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24226"/>
  <mc:AlternateContent xmlns:mc="http://schemas.openxmlformats.org/markup-compatibility/2006">
    <mc:Choice Requires="x15">
      <x15ac:absPath xmlns:x15ac="http://schemas.microsoft.com/office/spreadsheetml/2010/11/ac" url="C:\Dev\PTV-Investing\excel\"/>
    </mc:Choice>
  </mc:AlternateContent>
  <xr:revisionPtr revIDLastSave="0" documentId="13_ncr:1_{C8536056-A658-4C77-A6ED-D94F2BD4BE82}" xr6:coauthVersionLast="43" xr6:coauthVersionMax="43" xr10:uidLastSave="{00000000-0000-0000-0000-000000000000}"/>
  <bookViews>
    <workbookView xWindow="-120" yWindow="-120" windowWidth="29040" windowHeight="15840" activeTab="2" xr2:uid="{00000000-000D-0000-FFFF-FFFF00000000}"/>
  </bookViews>
  <sheets>
    <sheet name="Best" sheetId="11" r:id="rId1"/>
    <sheet name="Best (2)" sheetId="12" r:id="rId2"/>
    <sheet name="Sheet2" sheetId="13" r:id="rId3"/>
    <sheet name="Overview" sheetId="5" r:id="rId4"/>
    <sheet name="Summary" sheetId="2" r:id="rId5"/>
    <sheet name="Prices" sheetId="4" r:id="rId6"/>
    <sheet name="Financials" sheetId="1" r:id="rId7"/>
    <sheet name="Growth" sheetId="3" r:id="rId8"/>
    <sheet name="Multiples" sheetId="6" r:id="rId9"/>
    <sheet name="Ratios" sheetId="7" r:id="rId10"/>
    <sheet name="Estimates" sheetId="8" r:id="rId11"/>
    <sheet name="Valuation" sheetId="9"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4" i="13" l="1"/>
  <c r="D72" i="13"/>
  <c r="D65" i="13"/>
  <c r="D70" i="13"/>
  <c r="D68" i="13"/>
  <c r="D63" i="13"/>
  <c r="D62" i="13"/>
  <c r="D61" i="13"/>
  <c r="D60" i="13"/>
  <c r="D59" i="13"/>
  <c r="D57" i="13"/>
  <c r="D56" i="13"/>
  <c r="D55" i="13"/>
  <c r="A108" i="7" l="1"/>
  <c r="A107" i="7"/>
  <c r="A106" i="7"/>
  <c r="A103" i="7"/>
  <c r="A102" i="7"/>
  <c r="A101" i="7"/>
  <c r="A98" i="7"/>
  <c r="A97" i="7"/>
  <c r="A96" i="7"/>
  <c r="A95" i="7"/>
  <c r="A92" i="7"/>
  <c r="A91" i="7"/>
  <c r="A89" i="7"/>
  <c r="A88" i="7"/>
  <c r="A87" i="7"/>
  <c r="A81" i="7"/>
  <c r="A80" i="7"/>
  <c r="A79" i="7"/>
  <c r="A76" i="7"/>
  <c r="A75" i="7"/>
  <c r="A74" i="7"/>
  <c r="A71" i="7"/>
  <c r="A70" i="7"/>
  <c r="A69" i="7"/>
  <c r="A68" i="7"/>
  <c r="A65" i="7"/>
  <c r="A64" i="7"/>
  <c r="A62" i="7"/>
  <c r="A61" i="7"/>
  <c r="A60" i="7"/>
  <c r="A54" i="7"/>
  <c r="A53" i="7"/>
  <c r="A52" i="7"/>
  <c r="A49" i="7"/>
  <c r="A48" i="7"/>
  <c r="A47" i="7"/>
  <c r="A44" i="7"/>
  <c r="A43" i="7"/>
  <c r="A42" i="7"/>
  <c r="A41" i="7"/>
  <c r="A38" i="7"/>
  <c r="A37" i="7"/>
  <c r="A36" i="7"/>
  <c r="A35" i="7"/>
  <c r="A34" i="7"/>
  <c r="A33" i="7"/>
  <c r="A35" i="6"/>
  <c r="A34" i="6"/>
  <c r="A33" i="6"/>
  <c r="A32" i="6"/>
  <c r="A31" i="6"/>
  <c r="A30" i="6"/>
  <c r="J5" i="1"/>
  <c r="I5" i="1"/>
  <c r="H5" i="1"/>
  <c r="G5" i="1"/>
  <c r="F5" i="1"/>
  <c r="E5" i="1"/>
  <c r="D5" i="1"/>
  <c r="C5" i="1"/>
  <c r="I12" i="13"/>
  <c r="H12" i="13"/>
  <c r="G12" i="13"/>
  <c r="F12" i="13"/>
  <c r="C3" i="13"/>
  <c r="J5" i="12"/>
  <c r="I5" i="12"/>
  <c r="H5" i="12"/>
  <c r="G5" i="12"/>
  <c r="F5" i="12"/>
  <c r="E5" i="12"/>
  <c r="D5" i="12"/>
  <c r="C5" i="12"/>
  <c r="J5" i="11"/>
  <c r="I5" i="11"/>
  <c r="H5" i="11"/>
  <c r="G5" i="11"/>
  <c r="F5" i="11"/>
  <c r="E5" i="11"/>
  <c r="D5" i="11"/>
  <c r="C5" i="11"/>
  <c r="E7" i="13"/>
  <c r="E3" i="13"/>
  <c r="E5" i="13"/>
  <c r="E6" i="13" s="1"/>
  <c r="D4" i="13"/>
  <c r="E74" i="13"/>
  <c r="E72" i="13"/>
  <c r="M70" i="13"/>
  <c r="H70" i="13"/>
  <c r="I70" i="13"/>
  <c r="J70" i="13"/>
  <c r="G70" i="13"/>
  <c r="L71" i="13"/>
  <c r="M71" i="13"/>
  <c r="K70" i="13"/>
  <c r="F70" i="13"/>
  <c r="L70" i="13"/>
  <c r="F14" i="13"/>
  <c r="G65" i="13"/>
  <c r="H65" i="13"/>
  <c r="I65" i="13"/>
  <c r="F65" i="13"/>
  <c r="M65" i="13"/>
  <c r="L65" i="13"/>
  <c r="K65" i="13"/>
  <c r="J65" i="13"/>
  <c r="L66" i="13"/>
  <c r="M66" i="13"/>
  <c r="J68" i="13"/>
  <c r="M68" i="13"/>
  <c r="L68" i="13"/>
  <c r="K68" i="13"/>
  <c r="L69" i="13"/>
  <c r="M69" i="13"/>
  <c r="F68" i="13"/>
  <c r="G68" i="13"/>
  <c r="H68" i="13"/>
  <c r="I68" i="13"/>
  <c r="F63" i="13"/>
  <c r="F61" i="13"/>
  <c r="F62" i="13"/>
  <c r="F60" i="13"/>
  <c r="F55" i="13"/>
  <c r="F56" i="13"/>
  <c r="F57" i="13"/>
  <c r="F59" i="13"/>
  <c r="F52" i="13"/>
  <c r="H53" i="13"/>
  <c r="F53" i="13"/>
  <c r="G52" i="13"/>
  <c r="I53" i="13"/>
  <c r="H52" i="13"/>
  <c r="G53" i="13"/>
  <c r="I52" i="13"/>
  <c r="G51" i="13"/>
  <c r="H51" i="13"/>
  <c r="I51" i="13"/>
  <c r="F51" i="13"/>
  <c r="D53" i="13"/>
  <c r="D52" i="13"/>
  <c r="D51" i="13"/>
  <c r="E6" i="8"/>
  <c r="E10" i="7"/>
  <c r="J15" i="8"/>
  <c r="J10" i="7"/>
  <c r="G16" i="8"/>
  <c r="E21" i="7"/>
  <c r="C33" i="8"/>
  <c r="E40" i="6"/>
  <c r="D53" i="3"/>
  <c r="C21" i="9"/>
  <c r="F39" i="6"/>
  <c r="C53" i="3"/>
  <c r="G8" i="3"/>
  <c r="I15" i="7"/>
  <c r="B8" i="6"/>
  <c r="B19" i="9"/>
  <c r="D18" i="6"/>
  <c r="C50" i="6"/>
  <c r="K11" i="3"/>
  <c r="E60" i="1"/>
  <c r="L26" i="1"/>
  <c r="D10" i="8"/>
  <c r="G15" i="7"/>
  <c r="C34" i="8"/>
  <c r="C16" i="7"/>
  <c r="C7" i="9"/>
  <c r="H26" i="7"/>
  <c r="E26" i="6"/>
  <c r="G90" i="7"/>
  <c r="B9" i="7"/>
  <c r="C14" i="8"/>
  <c r="G9" i="7"/>
  <c r="C15" i="8"/>
  <c r="B20" i="7"/>
  <c r="F16" i="8"/>
  <c r="G32" i="6"/>
  <c r="B49" i="3"/>
  <c r="C9" i="9"/>
  <c r="D27" i="6"/>
  <c r="G48" i="3"/>
  <c r="E7" i="3"/>
  <c r="D11" i="7"/>
  <c r="C7" i="6"/>
  <c r="B7" i="9"/>
  <c r="N14" i="6"/>
  <c r="E35" i="6"/>
  <c r="C10" i="3"/>
  <c r="H7" i="8"/>
  <c r="H11" i="7"/>
  <c r="C18" i="8"/>
  <c r="G81" i="7"/>
  <c r="G11" i="7"/>
  <c r="B22" i="7"/>
  <c r="C9" i="7"/>
  <c r="B35" i="3"/>
  <c r="J8" i="7"/>
  <c r="G34" i="3"/>
  <c r="F33" i="7"/>
  <c r="B53" i="3"/>
  <c r="B53" i="6"/>
  <c r="C11" i="6"/>
  <c r="B68" i="1"/>
  <c r="I28" i="1"/>
  <c r="E8" i="6"/>
  <c r="J78" i="1"/>
  <c r="B45" i="1"/>
  <c r="F41" i="6"/>
  <c r="I10" i="3"/>
  <c r="F59" i="1"/>
  <c r="C23" i="6"/>
  <c r="C48" i="1"/>
  <c r="D20" i="7"/>
  <c r="E42" i="6"/>
  <c r="I7" i="7"/>
  <c r="B25" i="6"/>
  <c r="D17" i="3"/>
  <c r="G24" i="6"/>
  <c r="C17" i="3"/>
  <c r="I8" i="7"/>
  <c r="F34" i="3"/>
  <c r="D11" i="6"/>
  <c r="D44" i="3"/>
  <c r="H61" i="1"/>
  <c r="F10" i="8"/>
  <c r="C48" i="3"/>
  <c r="D73" i="1"/>
  <c r="J39" i="1"/>
  <c r="D15" i="6"/>
  <c r="I84" i="1"/>
  <c r="G49" i="1"/>
  <c r="C38" i="3"/>
  <c r="E15" i="8"/>
  <c r="C20" i="7"/>
  <c r="G32" i="7"/>
  <c r="B21" i="7"/>
  <c r="B44" i="3"/>
  <c r="G20" i="7"/>
  <c r="G43" i="3"/>
  <c r="F79" i="7"/>
  <c r="E3" i="6"/>
  <c r="E26" i="7"/>
  <c r="N22" i="6"/>
  <c r="E73" i="1"/>
  <c r="I32" i="1"/>
  <c r="N11" i="6"/>
  <c r="G82" i="1"/>
  <c r="F48" i="1"/>
  <c r="C11" i="7"/>
  <c r="B14" i="3"/>
  <c r="C62" i="1"/>
  <c r="E63" i="7"/>
  <c r="G58" i="1"/>
  <c r="C23" i="8"/>
  <c r="J8" i="8"/>
  <c r="C8" i="8"/>
  <c r="D8" i="6"/>
  <c r="F9" i="8"/>
  <c r="C8" i="6"/>
  <c r="B21" i="9"/>
  <c r="O14" i="6"/>
  <c r="C24" i="9"/>
  <c r="J64" i="7"/>
  <c r="I6" i="3"/>
  <c r="G43" i="1"/>
  <c r="J5" i="7"/>
  <c r="H12" i="3"/>
  <c r="J60" i="1"/>
  <c r="G79" i="7"/>
  <c r="H5" i="7"/>
  <c r="G7" i="8"/>
  <c r="D7" i="7"/>
  <c r="D8" i="8"/>
  <c r="E15" i="7"/>
  <c r="H6" i="8"/>
  <c r="B23" i="6"/>
  <c r="B43" i="3"/>
  <c r="F14" i="8"/>
  <c r="Q22" i="6"/>
  <c r="G41" i="3"/>
  <c r="B27" i="9"/>
  <c r="D5" i="7"/>
  <c r="B59" i="3"/>
  <c r="G10" i="8"/>
  <c r="F9" i="6"/>
  <c r="B22" i="6"/>
  <c r="C7" i="3"/>
  <c r="F51" i="1"/>
  <c r="D7" i="8"/>
  <c r="D5" i="8"/>
  <c r="H9" i="7"/>
  <c r="D15" i="8"/>
  <c r="D10" i="7"/>
  <c r="I15" i="8"/>
  <c r="H20" i="7"/>
  <c r="G18" i="8"/>
  <c r="G71" i="7"/>
  <c r="G53" i="6"/>
  <c r="D6" i="8"/>
  <c r="F54" i="6"/>
  <c r="I6" i="8"/>
  <c r="B14" i="7"/>
  <c r="B81" i="7"/>
  <c r="F22" i="6"/>
  <c r="B40" i="3"/>
  <c r="J7" i="8"/>
  <c r="E22" i="6"/>
  <c r="G39" i="3"/>
  <c r="B15" i="9"/>
  <c r="F48" i="6"/>
  <c r="B57" i="3"/>
  <c r="C6" i="9"/>
  <c r="H7" i="6"/>
  <c r="C16" i="6"/>
  <c r="B6" i="3"/>
  <c r="E86" i="7"/>
  <c r="K7" i="7"/>
  <c r="C9" i="8"/>
  <c r="J22" i="7"/>
  <c r="D49" i="6"/>
  <c r="C10" i="7"/>
  <c r="B26" i="6"/>
  <c r="C20" i="3"/>
  <c r="G25" i="6"/>
  <c r="B20" i="3"/>
  <c r="J9" i="7"/>
  <c r="F35" i="3"/>
  <c r="B14" i="6"/>
  <c r="D48" i="3"/>
  <c r="E62" i="1"/>
  <c r="C26" i="8"/>
  <c r="D52" i="3"/>
  <c r="J73" i="1"/>
  <c r="F40" i="1"/>
  <c r="D17" i="6"/>
  <c r="G6" i="3"/>
  <c r="C50" i="1"/>
  <c r="C43" i="3"/>
  <c r="L35" i="1"/>
  <c r="F50" i="6"/>
  <c r="C19" i="9"/>
  <c r="B40" i="6"/>
  <c r="G15" i="6"/>
  <c r="H11" i="3"/>
  <c r="F15" i="6"/>
  <c r="G11" i="3"/>
  <c r="C27" i="6"/>
  <c r="G20" i="3"/>
  <c r="F52" i="3"/>
  <c r="F16" i="3"/>
  <c r="B57" i="1"/>
  <c r="C59" i="7"/>
  <c r="D29" i="3"/>
  <c r="D67" i="1"/>
  <c r="D33" i="1"/>
  <c r="N7" i="6"/>
  <c r="I78" i="1"/>
  <c r="L43" i="1"/>
  <c r="E11" i="3"/>
  <c r="D63" i="7"/>
  <c r="F8" i="7"/>
  <c r="H16" i="7"/>
  <c r="F49" i="6"/>
  <c r="C29" i="3"/>
  <c r="B49" i="6"/>
  <c r="B29" i="3"/>
  <c r="I21" i="7"/>
  <c r="F44" i="3"/>
  <c r="E24" i="6"/>
  <c r="G7" i="6"/>
  <c r="H66" i="1"/>
  <c r="G27" i="1"/>
  <c r="J6" i="6"/>
  <c r="G77" i="1"/>
  <c r="J42" i="1"/>
  <c r="E25" i="6"/>
  <c r="B9" i="3"/>
  <c r="C58" i="1"/>
  <c r="H11" i="6"/>
  <c r="I43" i="1"/>
  <c r="G59" i="7"/>
  <c r="E90" i="7"/>
  <c r="E44" i="7"/>
  <c r="D55" i="3"/>
  <c r="E59" i="7"/>
  <c r="C55" i="3"/>
  <c r="F6" i="8"/>
  <c r="N8" i="6"/>
  <c r="F65" i="7"/>
  <c r="E9" i="7"/>
  <c r="E78" i="1"/>
  <c r="E39" i="1"/>
  <c r="M22" i="6"/>
  <c r="D22" i="7"/>
  <c r="D86" i="7"/>
  <c r="C28" i="9"/>
  <c r="F9" i="7"/>
  <c r="H17" i="7"/>
  <c r="B34" i="3"/>
  <c r="D17" i="7"/>
  <c r="C33" i="3"/>
  <c r="F69" i="7"/>
  <c r="F49" i="3"/>
  <c r="H21" i="7"/>
  <c r="D10" i="6"/>
  <c r="E71" i="1"/>
  <c r="E61" i="7"/>
  <c r="G27" i="7"/>
  <c r="J6" i="8"/>
  <c r="G35" i="6"/>
  <c r="H14" i="7"/>
  <c r="D18" i="8"/>
  <c r="F42" i="6"/>
  <c r="F21" i="7"/>
  <c r="J97" i="7"/>
  <c r="C41" i="6"/>
  <c r="Q14" i="6"/>
  <c r="E14" i="3"/>
  <c r="P14" i="6"/>
  <c r="D14" i="3"/>
  <c r="F25" i="6"/>
  <c r="G27" i="3"/>
  <c r="E48" i="3"/>
  <c r="E31" i="3"/>
  <c r="J63" i="7"/>
  <c r="G26" i="6"/>
  <c r="E7" i="7"/>
  <c r="J107" i="7"/>
  <c r="G17" i="6"/>
  <c r="J92" i="7"/>
  <c r="I12" i="3"/>
  <c r="E11" i="6"/>
  <c r="G57" i="3"/>
  <c r="B82" i="1"/>
  <c r="I69" i="7"/>
  <c r="B10" i="3"/>
  <c r="J33" i="1"/>
  <c r="E34" i="3"/>
  <c r="G45" i="1"/>
  <c r="D72" i="1"/>
  <c r="B17" i="9"/>
  <c r="H44" i="7"/>
  <c r="I9" i="6"/>
  <c r="J21" i="7"/>
  <c r="F6" i="3"/>
  <c r="G6" i="6"/>
  <c r="F86" i="7"/>
  <c r="B74" i="1"/>
  <c r="J11" i="7"/>
  <c r="D84" i="1"/>
  <c r="E101" i="7"/>
  <c r="L14" i="3"/>
  <c r="E40" i="1"/>
  <c r="J59" i="1"/>
  <c r="D41" i="6"/>
  <c r="G9" i="8"/>
  <c r="D16" i="3"/>
  <c r="B9" i="6"/>
  <c r="G7" i="7"/>
  <c r="H15" i="8"/>
  <c r="D41" i="3"/>
  <c r="C45" i="1"/>
  <c r="C44" i="3"/>
  <c r="G61" i="1"/>
  <c r="H14" i="6"/>
  <c r="C73" i="1"/>
  <c r="D30" i="3"/>
  <c r="D14" i="7"/>
  <c r="C30" i="7"/>
  <c r="L22" i="6"/>
  <c r="J15" i="7"/>
  <c r="J14" i="3"/>
  <c r="B58" i="3"/>
  <c r="G8" i="6"/>
  <c r="H72" i="1"/>
  <c r="B86" i="7"/>
  <c r="I7" i="3"/>
  <c r="J46" i="1"/>
  <c r="H8" i="7"/>
  <c r="D13" i="3"/>
  <c r="F61" i="1"/>
  <c r="I17" i="7"/>
  <c r="D57" i="1"/>
  <c r="J11" i="1"/>
  <c r="C17" i="8"/>
  <c r="C6" i="8"/>
  <c r="C79" i="7"/>
  <c r="E7" i="6"/>
  <c r="G6" i="8"/>
  <c r="D7" i="6"/>
  <c r="B9" i="9"/>
  <c r="C14" i="6"/>
  <c r="G15" i="8"/>
  <c r="J59" i="7"/>
  <c r="E84" i="1"/>
  <c r="L42" i="1"/>
  <c r="B50" i="6"/>
  <c r="J11" i="3"/>
  <c r="D60" i="1"/>
  <c r="D69" i="7"/>
  <c r="E40" i="3"/>
  <c r="I71" i="1"/>
  <c r="G35" i="1"/>
  <c r="J74" i="1"/>
  <c r="H22" i="7"/>
  <c r="B54" i="3"/>
  <c r="G80" i="1"/>
  <c r="E49" i="1"/>
  <c r="F126" i="4"/>
  <c r="E83" i="4"/>
  <c r="D40" i="4"/>
  <c r="C82" i="1"/>
  <c r="I23" i="1"/>
  <c r="E120" i="4"/>
  <c r="D77" i="4"/>
  <c r="C34" i="4"/>
  <c r="E68" i="1"/>
  <c r="F17" i="1"/>
  <c r="G111" i="4"/>
  <c r="C40" i="3"/>
  <c r="D14" i="8"/>
  <c r="B35" i="6"/>
  <c r="I16" i="7"/>
  <c r="I86" i="7"/>
  <c r="E27" i="6"/>
  <c r="G11" i="6"/>
  <c r="D12" i="3"/>
  <c r="F11" i="6"/>
  <c r="C12" i="3"/>
  <c r="J22" i="6"/>
  <c r="G21" i="3"/>
  <c r="F15" i="8"/>
  <c r="E20" i="3"/>
  <c r="I41" i="1"/>
  <c r="C24" i="8"/>
  <c r="B45" i="6"/>
  <c r="C22" i="7"/>
  <c r="G101" i="7"/>
  <c r="D42" i="6"/>
  <c r="J26" i="7"/>
  <c r="C29" i="8"/>
  <c r="F33" i="6"/>
  <c r="B26" i="7"/>
  <c r="B27" i="7"/>
  <c r="D58" i="3"/>
  <c r="G26" i="7"/>
  <c r="C58" i="3"/>
  <c r="F91" i="7"/>
  <c r="M9" i="6"/>
  <c r="H38" i="7"/>
  <c r="G16" i="7"/>
  <c r="C26" i="9"/>
  <c r="G17" i="7"/>
  <c r="C57" i="7"/>
  <c r="F25" i="7"/>
  <c r="B10" i="9"/>
  <c r="B48" i="3"/>
  <c r="N9" i="6"/>
  <c r="H90" i="7"/>
  <c r="C27" i="8"/>
  <c r="D26" i="6"/>
  <c r="L46" i="1"/>
  <c r="B16" i="6"/>
  <c r="J62" i="1"/>
  <c r="E20" i="7"/>
  <c r="F74" i="1"/>
  <c r="G5" i="8"/>
  <c r="J23" i="1"/>
  <c r="L8" i="7"/>
  <c r="E54" i="7"/>
  <c r="C31" i="3"/>
  <c r="C59" i="3"/>
  <c r="F26" i="7"/>
  <c r="C90" i="7"/>
  <c r="E9" i="6"/>
  <c r="G40" i="1"/>
  <c r="F7" i="6"/>
  <c r="D58" i="1"/>
  <c r="H30" i="6"/>
  <c r="I67" i="1"/>
  <c r="B17" i="6"/>
  <c r="D48" i="6"/>
  <c r="G91" i="7"/>
  <c r="K14" i="6"/>
  <c r="B69" i="7"/>
  <c r="E10" i="3"/>
  <c r="G9" i="6"/>
  <c r="E44" i="3"/>
  <c r="B80" i="1"/>
  <c r="H37" i="7"/>
  <c r="F8" i="3"/>
  <c r="H32" i="1"/>
  <c r="F27" i="3"/>
  <c r="E43" i="1"/>
  <c r="G67" i="1"/>
  <c r="J7" i="7"/>
  <c r="B32" i="6"/>
  <c r="C27" i="3"/>
  <c r="D14" i="6"/>
  <c r="F20" i="7"/>
  <c r="B16" i="3"/>
  <c r="K6" i="6"/>
  <c r="I49" i="1"/>
  <c r="E59" i="3"/>
  <c r="J71" i="1"/>
  <c r="B18" i="9"/>
  <c r="F6" i="6"/>
  <c r="F77" i="1"/>
  <c r="I42" i="1"/>
  <c r="C8" i="3"/>
  <c r="J26" i="1"/>
  <c r="I32" i="7"/>
  <c r="F53" i="6"/>
  <c r="F11" i="7"/>
  <c r="B44" i="6"/>
  <c r="C26" i="3"/>
  <c r="C42" i="6"/>
  <c r="B26" i="3"/>
  <c r="C17" i="7"/>
  <c r="F41" i="3"/>
  <c r="C22" i="6"/>
  <c r="F59" i="3"/>
  <c r="H59" i="7"/>
  <c r="B26" i="9"/>
  <c r="C48" i="6"/>
  <c r="F59" i="7"/>
  <c r="I59" i="7"/>
  <c r="J8" i="6"/>
  <c r="I90" i="7"/>
  <c r="I8" i="6"/>
  <c r="D16" i="8"/>
  <c r="E15" i="6"/>
  <c r="F92" i="7"/>
  <c r="J69" i="7"/>
  <c r="E81" i="1"/>
  <c r="C35" i="1"/>
  <c r="J75" i="7"/>
  <c r="B33" i="6"/>
  <c r="G5" i="7"/>
  <c r="C86" i="7"/>
  <c r="J90" i="7"/>
  <c r="J20" i="7"/>
  <c r="C63" i="7"/>
  <c r="C22" i="9"/>
  <c r="E8" i="7"/>
  <c r="B15" i="7"/>
  <c r="C30" i="3"/>
  <c r="G14" i="7"/>
  <c r="B30" i="3"/>
  <c r="D59" i="7"/>
  <c r="F45" i="3"/>
  <c r="E14" i="7"/>
  <c r="F8" i="6"/>
  <c r="C8" i="9"/>
  <c r="E49" i="6"/>
  <c r="C26" i="7"/>
  <c r="F26" i="6"/>
  <c r="C69" i="7"/>
  <c r="J12" i="3"/>
  <c r="H6" i="6"/>
  <c r="E39" i="6"/>
  <c r="E5" i="8"/>
  <c r="E24" i="3"/>
  <c r="C41" i="1"/>
  <c r="D31" i="3"/>
  <c r="J58" i="1"/>
  <c r="M8" i="6"/>
  <c r="F68" i="1"/>
  <c r="M12" i="3"/>
  <c r="D17" i="8"/>
  <c r="H10" i="8"/>
  <c r="E22" i="7"/>
  <c r="F18" i="8"/>
  <c r="G44" i="3"/>
  <c r="E17" i="6"/>
  <c r="J32" i="7"/>
  <c r="H8" i="3"/>
  <c r="E33" i="1"/>
  <c r="C14" i="3"/>
  <c r="B49" i="1"/>
  <c r="E49" i="3"/>
  <c r="I62" i="1"/>
  <c r="J80" i="1"/>
  <c r="B11" i="9"/>
  <c r="C7" i="7"/>
  <c r="C9" i="6"/>
  <c r="G23" i="6"/>
  <c r="J84" i="1"/>
  <c r="G31" i="3"/>
  <c r="I79" i="7"/>
  <c r="B61" i="1"/>
  <c r="D9" i="7"/>
  <c r="G72" i="1"/>
  <c r="D91" i="7"/>
  <c r="C84" i="1"/>
  <c r="I39" i="1"/>
  <c r="F8" i="8"/>
  <c r="C40" i="6"/>
  <c r="E16" i="7"/>
  <c r="K14" i="3"/>
  <c r="G40" i="3"/>
  <c r="C53" i="6"/>
  <c r="B17" i="7"/>
  <c r="D35" i="3"/>
  <c r="C32" i="1"/>
  <c r="C41" i="3"/>
  <c r="J65" i="1"/>
  <c r="H81" i="7"/>
  <c r="E43" i="3"/>
  <c r="F72" i="1"/>
  <c r="C39" i="1"/>
  <c r="D77" i="1"/>
  <c r="B21" i="1"/>
  <c r="B11" i="7"/>
  <c r="G31" i="6"/>
  <c r="C49" i="6"/>
  <c r="G19" i="6"/>
  <c r="I13" i="3"/>
  <c r="F19" i="6"/>
  <c r="H13" i="3"/>
  <c r="D45" i="6"/>
  <c r="G26" i="3"/>
  <c r="L6" i="6"/>
  <c r="E29" i="3"/>
  <c r="B59" i="1"/>
  <c r="D79" i="7"/>
  <c r="C39" i="3"/>
  <c r="D71" i="1"/>
  <c r="B35" i="1"/>
  <c r="K10" i="6"/>
  <c r="I81" i="1"/>
  <c r="I46" i="1"/>
  <c r="E17" i="3"/>
  <c r="F87" i="7"/>
  <c r="G35" i="3"/>
  <c r="E29" i="1"/>
  <c r="C60" i="1"/>
  <c r="B9" i="1"/>
  <c r="G97" i="4"/>
  <c r="F54" i="4"/>
  <c r="E41" i="3"/>
  <c r="J35" i="1"/>
  <c r="G134" i="4"/>
  <c r="F91" i="4"/>
  <c r="E48" i="4"/>
  <c r="H10" i="3"/>
  <c r="B28" i="1"/>
  <c r="D126" i="4"/>
  <c r="E17" i="8"/>
  <c r="C20" i="9"/>
  <c r="H32" i="7"/>
  <c r="E54" i="6"/>
  <c r="C25" i="3"/>
  <c r="B25" i="3"/>
  <c r="F40" i="3"/>
  <c r="F57" i="3"/>
  <c r="C21" i="7"/>
  <c r="I63" i="7"/>
  <c r="K8" i="7"/>
  <c r="B31" i="6"/>
  <c r="E79" i="7"/>
  <c r="H10" i="6"/>
  <c r="G10" i="6"/>
  <c r="E19" i="6"/>
  <c r="F102" i="7"/>
  <c r="G35" i="7"/>
  <c r="B29" i="9"/>
  <c r="B10" i="6"/>
  <c r="L6" i="3"/>
  <c r="B90" i="7"/>
  <c r="F16" i="7"/>
  <c r="C7" i="8"/>
  <c r="L40" i="1"/>
  <c r="C5" i="8"/>
  <c r="D59" i="3"/>
  <c r="E14" i="8"/>
  <c r="D21" i="7"/>
  <c r="C26" i="6"/>
  <c r="I54" i="7"/>
  <c r="I33" i="1"/>
  <c r="C16" i="9"/>
  <c r="F10" i="3"/>
  <c r="F24" i="6"/>
  <c r="F14" i="3"/>
  <c r="D26" i="3"/>
  <c r="B7" i="6"/>
  <c r="G9" i="3"/>
  <c r="B16" i="7"/>
  <c r="E45" i="6"/>
  <c r="F43" i="3"/>
  <c r="B66" i="1"/>
  <c r="J81" i="1"/>
  <c r="E23" i="6"/>
  <c r="F57" i="1"/>
  <c r="G42" i="1"/>
  <c r="F47" i="7"/>
  <c r="F42" i="7"/>
  <c r="B48" i="7"/>
  <c r="G108" i="7"/>
  <c r="I53" i="7"/>
  <c r="H77" i="1"/>
  <c r="I24" i="1"/>
  <c r="B7" i="3"/>
  <c r="H41" i="1"/>
  <c r="F21" i="3"/>
  <c r="E52" i="1"/>
  <c r="J64" i="1"/>
  <c r="B10" i="7"/>
  <c r="H45" i="1"/>
  <c r="D14" i="1"/>
  <c r="D76" i="4"/>
  <c r="H22" i="6"/>
  <c r="C19" i="1"/>
  <c r="G98" i="4"/>
  <c r="D101" i="7"/>
  <c r="D34" i="1"/>
  <c r="F104" i="4"/>
  <c r="C25" i="6"/>
  <c r="E134" i="4"/>
  <c r="D57" i="4"/>
  <c r="B100" i="5"/>
  <c r="G43" i="13"/>
  <c r="H71" i="12"/>
  <c r="C24" i="3"/>
  <c r="F54" i="3"/>
  <c r="D19" i="6"/>
  <c r="J19" i="1"/>
  <c r="C111" i="4"/>
  <c r="G67" i="4"/>
  <c r="F44" i="7"/>
  <c r="I59" i="1"/>
  <c r="L12" i="1"/>
  <c r="G104" i="4"/>
  <c r="F61" i="4"/>
  <c r="I10" i="6"/>
  <c r="D43" i="1"/>
  <c r="H7" i="1"/>
  <c r="D96" i="4"/>
  <c r="D80" i="1"/>
  <c r="B12" i="1"/>
  <c r="C66" i="4"/>
  <c r="E8" i="4"/>
  <c r="C6" i="5"/>
  <c r="B76" i="12"/>
  <c r="G18" i="6"/>
  <c r="G59" i="3"/>
  <c r="F34" i="1"/>
  <c r="C26" i="1"/>
  <c r="C117" i="4"/>
  <c r="G73" i="4"/>
  <c r="F30" i="4"/>
  <c r="F67" i="1"/>
  <c r="L15" i="1"/>
  <c r="G110" i="4"/>
  <c r="F67" i="4"/>
  <c r="C15" i="7"/>
  <c r="D52" i="1"/>
  <c r="H11" i="1"/>
  <c r="D102" i="4"/>
  <c r="J8" i="3"/>
  <c r="B20" i="1"/>
  <c r="D75" i="4"/>
  <c r="E16" i="4"/>
  <c r="E26" i="5"/>
  <c r="E80" i="12"/>
  <c r="B16" i="9"/>
  <c r="B13" i="9"/>
  <c r="G64" i="1"/>
  <c r="G33" i="1"/>
  <c r="C123" i="4"/>
  <c r="G79" i="4"/>
  <c r="F36" i="4"/>
  <c r="C77" i="1"/>
  <c r="L20" i="1"/>
  <c r="G116" i="4"/>
  <c r="F73" i="4"/>
  <c r="E30" i="4"/>
  <c r="D16" i="7"/>
  <c r="C10" i="9"/>
  <c r="B8" i="7"/>
  <c r="H7" i="7"/>
  <c r="I27" i="7"/>
  <c r="C45" i="6"/>
  <c r="E65" i="1"/>
  <c r="G21" i="7"/>
  <c r="C25" i="9"/>
  <c r="D9" i="8"/>
  <c r="F15" i="7"/>
  <c r="B28" i="9"/>
  <c r="B11" i="3"/>
  <c r="K10" i="3"/>
  <c r="C19" i="3"/>
  <c r="N14" i="3"/>
  <c r="B14" i="9"/>
  <c r="G61" i="7"/>
  <c r="D25" i="7"/>
  <c r="M6" i="6"/>
  <c r="H74" i="1"/>
  <c r="E3" i="3"/>
  <c r="G15" i="3"/>
  <c r="D61" i="1"/>
  <c r="E17" i="7"/>
  <c r="E5" i="7"/>
  <c r="F48" i="3"/>
  <c r="E67" i="1"/>
  <c r="D78" i="1"/>
  <c r="K9" i="3"/>
  <c r="L45" i="1"/>
  <c r="C48" i="7"/>
  <c r="C57" i="3"/>
  <c r="E75" i="7"/>
  <c r="L39" i="1"/>
  <c r="G57" i="1"/>
  <c r="C67" i="1"/>
  <c r="E41" i="6"/>
  <c r="E14" i="6"/>
  <c r="I9" i="3"/>
  <c r="B24" i="9"/>
  <c r="B35" i="7"/>
  <c r="D42" i="1"/>
  <c r="E8" i="3"/>
  <c r="K8" i="6"/>
  <c r="C23" i="9"/>
  <c r="H63" i="7"/>
  <c r="D54" i="3"/>
  <c r="C54" i="3"/>
  <c r="H8" i="6"/>
  <c r="B7" i="7"/>
  <c r="C49" i="1"/>
  <c r="C10" i="6"/>
  <c r="D65" i="1"/>
  <c r="E3" i="7"/>
  <c r="I76" i="1"/>
  <c r="C8" i="7"/>
  <c r="C14" i="7"/>
  <c r="C13" i="6"/>
  <c r="F40" i="6"/>
  <c r="D112" i="4"/>
  <c r="E47" i="4"/>
  <c r="C61" i="1"/>
  <c r="F127" i="4"/>
  <c r="G62" i="4"/>
  <c r="E80" i="1"/>
  <c r="D8" i="1"/>
  <c r="C19" i="6"/>
  <c r="D35" i="1"/>
  <c r="D91" i="4"/>
  <c r="C26" i="4"/>
  <c r="B40" i="5"/>
  <c r="I14" i="13"/>
  <c r="E50" i="6"/>
  <c r="F14" i="7"/>
  <c r="E54" i="3"/>
  <c r="E53" i="3"/>
  <c r="F132" i="4"/>
  <c r="E89" i="4"/>
  <c r="D46" i="4"/>
  <c r="D11" i="3"/>
  <c r="D28" i="1"/>
  <c r="E126" i="4"/>
  <c r="D83" i="4"/>
  <c r="C40" i="4"/>
  <c r="B78" i="1"/>
  <c r="F21" i="1"/>
  <c r="G117" i="4"/>
  <c r="G14" i="6"/>
  <c r="I57" i="1"/>
  <c r="D103" i="4"/>
  <c r="F33" i="4"/>
  <c r="D56" i="5"/>
  <c r="D22" i="13"/>
  <c r="G8" i="7"/>
  <c r="B13" i="3"/>
  <c r="E74" i="7"/>
  <c r="C46" i="1"/>
  <c r="J7" i="1"/>
  <c r="E95" i="4"/>
  <c r="D52" i="4"/>
  <c r="F29" i="3"/>
  <c r="F33" i="1"/>
  <c r="E132" i="4"/>
  <c r="D89" i="4"/>
  <c r="C46" i="4"/>
  <c r="G7" i="3"/>
  <c r="H26" i="1"/>
  <c r="G123" i="4"/>
  <c r="G22" i="7"/>
  <c r="C74" i="1"/>
  <c r="D115" i="4"/>
  <c r="G42" i="4"/>
  <c r="D69" i="5"/>
  <c r="D30" i="13"/>
  <c r="E64" i="12"/>
  <c r="M10" i="6"/>
  <c r="G48" i="1"/>
  <c r="C76" i="1"/>
  <c r="F12" i="1"/>
  <c r="E101" i="4"/>
  <c r="D58" i="4"/>
  <c r="M7" i="6"/>
  <c r="F42" i="1"/>
  <c r="C7" i="1"/>
  <c r="D95" i="4"/>
  <c r="C52" i="4"/>
  <c r="C46" i="6"/>
  <c r="G103" i="7"/>
  <c r="G16" i="6"/>
  <c r="F16" i="6"/>
  <c r="C31" i="6"/>
  <c r="G54" i="3"/>
  <c r="E46" i="1"/>
  <c r="G54" i="6"/>
  <c r="F7" i="8"/>
  <c r="G48" i="7"/>
  <c r="F44" i="6"/>
  <c r="F52" i="7"/>
  <c r="B79" i="7"/>
  <c r="E9" i="8"/>
  <c r="J79" i="7"/>
  <c r="C29" i="9"/>
  <c r="F90" i="7"/>
  <c r="F45" i="6"/>
  <c r="F17" i="6"/>
  <c r="G24" i="3"/>
  <c r="H57" i="1"/>
  <c r="J67" i="1"/>
  <c r="F80" i="1"/>
  <c r="B29" i="1"/>
  <c r="G14" i="8"/>
  <c r="H9" i="6"/>
  <c r="G17" i="8"/>
  <c r="I45" i="1"/>
  <c r="D62" i="1"/>
  <c r="I73" i="1"/>
  <c r="J16" i="7"/>
  <c r="B24" i="6"/>
  <c r="C16" i="3"/>
  <c r="E10" i="6"/>
  <c r="E91" i="7"/>
  <c r="D39" i="1"/>
  <c r="C32" i="7"/>
  <c r="F35" i="7"/>
  <c r="F101" i="7"/>
  <c r="E76" i="1"/>
  <c r="B46" i="6"/>
  <c r="F27" i="7"/>
  <c r="C21" i="3"/>
  <c r="F38" i="3"/>
  <c r="D40" i="6"/>
  <c r="B33" i="8"/>
  <c r="E9" i="3"/>
  <c r="G53" i="3"/>
  <c r="G95" i="7"/>
  <c r="F10" i="6"/>
  <c r="D9" i="3"/>
  <c r="J68" i="1"/>
  <c r="J14" i="6"/>
  <c r="E50" i="1"/>
  <c r="C78" i="1"/>
  <c r="C13" i="9"/>
  <c r="B27" i="3"/>
  <c r="F13" i="3"/>
  <c r="F52" i="1"/>
  <c r="F66" i="1"/>
  <c r="F15" i="1"/>
  <c r="B22" i="9"/>
  <c r="L11" i="6"/>
  <c r="B25" i="9"/>
  <c r="H64" i="1"/>
  <c r="D20" i="3"/>
  <c r="H27" i="7"/>
  <c r="I60" i="1"/>
  <c r="E41" i="1"/>
  <c r="D9" i="6"/>
  <c r="E119" i="4"/>
  <c r="F75" i="7"/>
  <c r="L8" i="1"/>
  <c r="D41" i="4"/>
  <c r="J12" i="1"/>
  <c r="G81" i="1"/>
  <c r="F105" i="4"/>
  <c r="F9" i="4"/>
  <c r="F24" i="13"/>
  <c r="C35" i="6"/>
  <c r="C18" i="9"/>
  <c r="H27" i="1"/>
  <c r="F96" i="4"/>
  <c r="G31" i="4"/>
  <c r="H34" i="1"/>
  <c r="C112" i="4"/>
  <c r="D47" i="4"/>
  <c r="B58" i="1"/>
  <c r="C125" i="4"/>
  <c r="G10" i="3"/>
  <c r="F117" i="4"/>
  <c r="F17" i="4"/>
  <c r="F31" i="13"/>
  <c r="B48" i="6"/>
  <c r="E58" i="1"/>
  <c r="I34" i="1"/>
  <c r="F102" i="4"/>
  <c r="G37" i="4"/>
  <c r="H43" i="1"/>
  <c r="C118" i="4"/>
  <c r="D53" i="4"/>
  <c r="H65" i="1"/>
  <c r="C131" i="4"/>
  <c r="D27" i="3"/>
  <c r="F129" i="4"/>
  <c r="F23" i="4"/>
  <c r="F37" i="13"/>
  <c r="H18" i="8"/>
  <c r="C11" i="3"/>
  <c r="G84" i="1"/>
  <c r="F108" i="4"/>
  <c r="G43" i="4"/>
  <c r="C57" i="1"/>
  <c r="C124" i="4"/>
  <c r="D59" i="4"/>
  <c r="E6" i="3"/>
  <c r="L24" i="1"/>
  <c r="F122" i="4"/>
  <c r="H10" i="7"/>
  <c r="F71" i="1"/>
  <c r="G112" i="4"/>
  <c r="G40" i="4"/>
  <c r="D66" i="5"/>
  <c r="I28" i="13"/>
  <c r="H63" i="12"/>
  <c r="N6" i="6"/>
  <c r="E42" i="1"/>
  <c r="C71" i="1"/>
  <c r="D11" i="1"/>
  <c r="D100" i="4"/>
  <c r="C57" i="4"/>
  <c r="F58" i="3"/>
  <c r="D41" i="1"/>
  <c r="F6" i="1"/>
  <c r="C94" i="4"/>
  <c r="G50" i="4"/>
  <c r="K13" i="3"/>
  <c r="G29" i="1"/>
  <c r="F128" i="4"/>
  <c r="E85" i="4"/>
  <c r="G13" i="3"/>
  <c r="G124" i="4"/>
  <c r="C50" i="4"/>
  <c r="B88" i="5"/>
  <c r="I34" i="13"/>
  <c r="B69" i="12"/>
  <c r="H9" i="1"/>
  <c r="G92" i="4"/>
  <c r="I8" i="3"/>
  <c r="B58" i="12"/>
  <c r="H73" i="1"/>
  <c r="F112" i="4"/>
  <c r="F40" i="4"/>
  <c r="C66" i="5"/>
  <c r="H28" i="13"/>
  <c r="D62" i="12"/>
  <c r="C8" i="1"/>
  <c r="C60" i="4"/>
  <c r="B105" i="5"/>
  <c r="H35" i="13"/>
  <c r="B34" i="1"/>
  <c r="C90" i="4"/>
  <c r="E25" i="4"/>
  <c r="D39" i="5"/>
  <c r="D13" i="13"/>
  <c r="E56" i="12"/>
  <c r="B39" i="6"/>
  <c r="J35" i="7"/>
  <c r="D48" i="7"/>
  <c r="B59" i="7"/>
  <c r="C14" i="9"/>
  <c r="D50" i="6"/>
  <c r="B21" i="3"/>
  <c r="E52" i="3"/>
  <c r="H17" i="8"/>
  <c r="E18" i="6"/>
  <c r="M14" i="3"/>
  <c r="D82" i="1"/>
  <c r="H86" i="7"/>
  <c r="H80" i="1"/>
  <c r="F30" i="3"/>
  <c r="F35" i="6"/>
  <c r="B17" i="3"/>
  <c r="G66" i="1"/>
  <c r="G78" i="1"/>
  <c r="B41" i="3"/>
  <c r="G29" i="3"/>
  <c r="B11" i="6"/>
  <c r="J11" i="6"/>
  <c r="D25" i="3"/>
  <c r="I14" i="7"/>
  <c r="B39" i="3"/>
  <c r="I48" i="7"/>
  <c r="M14" i="6"/>
  <c r="E32" i="7"/>
  <c r="E51" i="1"/>
  <c r="G12" i="3"/>
  <c r="D6" i="6"/>
  <c r="I35" i="7"/>
  <c r="E28" i="1"/>
  <c r="C69" i="4"/>
  <c r="B48" i="1"/>
  <c r="E84" i="4"/>
  <c r="E59" i="1"/>
  <c r="E97" i="4"/>
  <c r="F23" i="1"/>
  <c r="E46" i="4"/>
  <c r="C29" i="5"/>
  <c r="H65" i="12"/>
  <c r="F39" i="3"/>
  <c r="N6" i="3"/>
  <c r="E125" i="4"/>
  <c r="F60" i="4"/>
  <c r="I80" i="1"/>
  <c r="E8" i="1"/>
  <c r="C76" i="4"/>
  <c r="E27" i="3"/>
  <c r="J15" i="1"/>
  <c r="C89" i="4"/>
  <c r="J32" i="1"/>
  <c r="D55" i="4"/>
  <c r="F38" i="5"/>
  <c r="B71" i="12"/>
  <c r="B42" i="6"/>
  <c r="L9" i="6"/>
  <c r="E131" i="4"/>
  <c r="F66" i="4"/>
  <c r="F9" i="3"/>
  <c r="E12" i="1"/>
  <c r="C82" i="4"/>
  <c r="L7" i="6"/>
  <c r="J20" i="1"/>
  <c r="C95" i="4"/>
  <c r="J49" i="1"/>
  <c r="E64" i="4"/>
  <c r="B53" i="5"/>
  <c r="E75" i="12"/>
  <c r="K7" i="3"/>
  <c r="E10" i="8"/>
  <c r="D7" i="1"/>
  <c r="F72" i="4"/>
  <c r="F24" i="3"/>
  <c r="E15" i="1"/>
  <c r="C88" i="4"/>
  <c r="C54" i="6"/>
  <c r="B50" i="1"/>
  <c r="B11" i="1"/>
  <c r="C101" i="4"/>
  <c r="F7" i="3"/>
  <c r="J17" i="1"/>
  <c r="D73" i="4"/>
  <c r="D13" i="4"/>
  <c r="C25" i="5"/>
  <c r="H79" i="12"/>
  <c r="B71" i="7"/>
  <c r="G8" i="8"/>
  <c r="G59" i="1"/>
  <c r="F31" i="1"/>
  <c r="G121" i="4"/>
  <c r="F78" i="4"/>
  <c r="E35" i="4"/>
  <c r="I74" i="1"/>
  <c r="E20" i="1"/>
  <c r="F115" i="4"/>
  <c r="E72" i="4"/>
  <c r="D29" i="4"/>
  <c r="B62" i="1"/>
  <c r="B14" i="1"/>
  <c r="C107" i="4"/>
  <c r="E15" i="3"/>
  <c r="C27" i="1"/>
  <c r="E82" i="4"/>
  <c r="D21" i="4"/>
  <c r="F32" i="5"/>
  <c r="F86" i="12"/>
  <c r="B52" i="3"/>
  <c r="D49" i="3"/>
  <c r="J28" i="1"/>
  <c r="B83" i="5"/>
  <c r="F39" i="12"/>
  <c r="L19" i="1"/>
  <c r="C73" i="4"/>
  <c r="C13" i="4"/>
  <c r="F24" i="5"/>
  <c r="D78" i="12"/>
  <c r="E45" i="1"/>
  <c r="F95" i="4"/>
  <c r="C28" i="4"/>
  <c r="B45" i="5"/>
  <c r="C17" i="6"/>
  <c r="D133" i="4"/>
  <c r="D56" i="4"/>
  <c r="C98" i="5"/>
  <c r="D43" i="13"/>
  <c r="E71" i="12"/>
  <c r="L37" i="12"/>
  <c r="C41" i="7"/>
  <c r="G98" i="7"/>
  <c r="G14" i="3"/>
  <c r="H23" i="1"/>
  <c r="C59" i="5"/>
  <c r="J38" i="12"/>
  <c r="I17" i="1"/>
  <c r="C71" i="4"/>
  <c r="G11" i="4"/>
  <c r="C21" i="5"/>
  <c r="G76" i="12"/>
  <c r="L41" i="1"/>
  <c r="D93" i="4"/>
  <c r="G26" i="4"/>
  <c r="B42" i="5"/>
  <c r="E6" i="6"/>
  <c r="G130" i="4"/>
  <c r="D54" i="4"/>
  <c r="C95" i="5"/>
  <c r="I37" i="13"/>
  <c r="H70" i="12"/>
  <c r="E37" i="12"/>
  <c r="E46" i="6"/>
  <c r="B63" i="7"/>
  <c r="E41" i="4"/>
  <c r="H71" i="1"/>
  <c r="D27" i="4"/>
  <c r="J41" i="12"/>
  <c r="B27" i="1"/>
  <c r="D80" i="4"/>
  <c r="G19" i="4"/>
  <c r="C30" i="5"/>
  <c r="J80" i="12"/>
  <c r="J61" i="1"/>
  <c r="D105" i="4"/>
  <c r="G34" i="4"/>
  <c r="D57" i="5"/>
  <c r="G14" i="13"/>
  <c r="D9" i="1"/>
  <c r="E63" i="4"/>
  <c r="C110" i="5"/>
  <c r="D47" i="13"/>
  <c r="B75" i="12"/>
  <c r="E40" i="12"/>
  <c r="I9" i="12"/>
  <c r="E77" i="4"/>
  <c r="F17" i="8"/>
  <c r="E80" i="4"/>
  <c r="J46" i="12"/>
  <c r="D40" i="1"/>
  <c r="C91" i="4"/>
  <c r="G25" i="4"/>
  <c r="F39" i="5"/>
  <c r="G13" i="13"/>
  <c r="F81" i="1"/>
  <c r="D117" i="4"/>
  <c r="C44" i="4"/>
  <c r="D71" i="5"/>
  <c r="I22" i="13"/>
  <c r="D17" i="1"/>
  <c r="D72" i="4"/>
  <c r="F12" i="4"/>
  <c r="F23" i="5"/>
  <c r="E79" i="12"/>
  <c r="E44" i="12"/>
  <c r="I13" i="12"/>
  <c r="E94" i="4"/>
  <c r="E113" i="4"/>
  <c r="C64" i="4"/>
  <c r="F14" i="1"/>
  <c r="E55" i="12"/>
  <c r="B60" i="1"/>
  <c r="C103" i="4"/>
  <c r="E33" i="4"/>
  <c r="C56" i="5"/>
  <c r="G20" i="13"/>
  <c r="P6" i="6"/>
  <c r="D129" i="4"/>
  <c r="G52" i="4"/>
  <c r="B93" i="5"/>
  <c r="I30" i="13"/>
  <c r="F26" i="1"/>
  <c r="E81" i="4"/>
  <c r="F20" i="4"/>
  <c r="C32" i="5"/>
  <c r="C86" i="12"/>
  <c r="E48" i="12"/>
  <c r="D40" i="3"/>
  <c r="D37" i="5"/>
  <c r="D19" i="13"/>
  <c r="C43" i="12"/>
  <c r="D20" i="4"/>
  <c r="C63" i="12"/>
  <c r="B18" i="12"/>
  <c r="C62" i="11"/>
  <c r="F27" i="11"/>
  <c r="I30" i="11"/>
  <c r="F47" i="11"/>
  <c r="C36" i="4"/>
  <c r="C70" i="12"/>
  <c r="J21" i="12"/>
  <c r="E65" i="11"/>
  <c r="I18" i="11"/>
  <c r="F18" i="11"/>
  <c r="C100" i="5"/>
  <c r="F57" i="12"/>
  <c r="L12" i="12"/>
  <c r="J58" i="11"/>
  <c r="F25" i="11"/>
  <c r="J17" i="11"/>
  <c r="B89" i="5"/>
  <c r="C21" i="1"/>
  <c r="C98" i="4"/>
  <c r="C101" i="5"/>
  <c r="E35" i="1"/>
  <c r="F30" i="13"/>
  <c r="G33" i="12"/>
  <c r="F76" i="11"/>
  <c r="H41" i="11"/>
  <c r="B12" i="11"/>
  <c r="B13" i="11"/>
  <c r="L7" i="1"/>
  <c r="I46" i="13"/>
  <c r="L39" i="12"/>
  <c r="H80" i="11"/>
  <c r="E27" i="7"/>
  <c r="B6" i="6"/>
  <c r="J25" i="7"/>
  <c r="B23" i="9"/>
  <c r="J14" i="7"/>
  <c r="B54" i="6"/>
  <c r="C25" i="7"/>
  <c r="C16" i="8"/>
  <c r="H25" i="7"/>
  <c r="D35" i="7"/>
  <c r="H49" i="1"/>
  <c r="G69" i="7"/>
  <c r="B31" i="3"/>
  <c r="C28" i="1"/>
  <c r="I58" i="1"/>
  <c r="D57" i="3"/>
  <c r="K11" i="7"/>
  <c r="I44" i="7"/>
  <c r="G37" i="7"/>
  <c r="J9" i="3"/>
  <c r="O22" i="6"/>
  <c r="D24" i="3"/>
  <c r="F25" i="3"/>
  <c r="D66" i="1"/>
  <c r="C28" i="8"/>
  <c r="C27" i="9"/>
  <c r="P22" i="6"/>
  <c r="K12" i="3"/>
  <c r="C21" i="6"/>
  <c r="D46" i="1"/>
  <c r="H7" i="3"/>
  <c r="K6" i="3"/>
  <c r="F7" i="7"/>
  <c r="F20" i="1"/>
  <c r="G61" i="4"/>
  <c r="L28" i="1"/>
  <c r="C70" i="4"/>
  <c r="F45" i="1"/>
  <c r="D90" i="4"/>
  <c r="D13" i="1"/>
  <c r="F35" i="4"/>
  <c r="C9" i="5"/>
  <c r="D26" i="7"/>
  <c r="D16" i="6"/>
  <c r="D51" i="1"/>
  <c r="D118" i="4"/>
  <c r="E53" i="4"/>
  <c r="I68" i="1"/>
  <c r="F133" i="4"/>
  <c r="G68" i="4"/>
  <c r="K8" i="3"/>
  <c r="D12" i="1"/>
  <c r="H60" i="7"/>
  <c r="D21" i="1"/>
  <c r="E44" i="4"/>
  <c r="B28" i="5"/>
  <c r="B65" i="12"/>
  <c r="G25" i="3"/>
  <c r="C81" i="1"/>
  <c r="D124" i="4"/>
  <c r="E59" i="4"/>
  <c r="F78" i="1"/>
  <c r="I7" i="1"/>
  <c r="G74" i="4"/>
  <c r="E21" i="3"/>
  <c r="D15" i="1"/>
  <c r="G87" i="4"/>
  <c r="B31" i="1"/>
  <c r="F53" i="4"/>
  <c r="E37" i="5"/>
  <c r="E70" i="12"/>
  <c r="D22" i="6"/>
  <c r="G55" i="3"/>
  <c r="D130" i="4"/>
  <c r="E65" i="4"/>
  <c r="B8" i="3"/>
  <c r="I11" i="1"/>
  <c r="G80" i="4"/>
  <c r="E58" i="3"/>
  <c r="J40" i="1"/>
  <c r="E6" i="1"/>
  <c r="G93" i="4"/>
  <c r="I8" i="8"/>
  <c r="H8" i="1"/>
  <c r="E62" i="4"/>
  <c r="B109" i="5"/>
  <c r="G46" i="13"/>
  <c r="H74" i="12"/>
  <c r="O6" i="6"/>
  <c r="C35" i="7"/>
  <c r="G63" i="7"/>
  <c r="D23" i="1"/>
  <c r="F114" i="4"/>
  <c r="E71" i="4"/>
  <c r="B12" i="9"/>
  <c r="I64" i="1"/>
  <c r="I14" i="1"/>
  <c r="E108" i="4"/>
  <c r="D65" i="4"/>
  <c r="B34" i="6"/>
  <c r="J48" i="1"/>
  <c r="F9" i="1"/>
  <c r="G99" i="4"/>
  <c r="D6" i="3"/>
  <c r="H15" i="1"/>
  <c r="F71" i="4"/>
  <c r="C12" i="4"/>
  <c r="C22" i="5"/>
  <c r="B79" i="12"/>
  <c r="G34" i="1"/>
  <c r="B40" i="1"/>
  <c r="E127" i="4"/>
  <c r="H33" i="13"/>
  <c r="J32" i="12"/>
  <c r="I9" i="1"/>
  <c r="D62" i="4"/>
  <c r="C108" i="5"/>
  <c r="F46" i="13"/>
  <c r="D72" i="12"/>
  <c r="L27" i="1"/>
  <c r="F81" i="4"/>
  <c r="G20" i="4"/>
  <c r="D32" i="5"/>
  <c r="B81" i="1"/>
  <c r="G118" i="4"/>
  <c r="E45" i="4"/>
  <c r="C78" i="5"/>
  <c r="I31" i="13"/>
  <c r="E65" i="12"/>
  <c r="E31" i="12"/>
  <c r="D10" i="3"/>
  <c r="B18" i="6"/>
  <c r="H29" i="1"/>
  <c r="D120" i="4"/>
  <c r="G25" i="13"/>
  <c r="H8" i="8"/>
  <c r="G8" i="1"/>
  <c r="D60" i="4"/>
  <c r="C105" i="5"/>
  <c r="F45" i="13"/>
  <c r="G71" i="12"/>
  <c r="G26" i="1"/>
  <c r="C80" i="4"/>
  <c r="F19" i="4"/>
  <c r="B30" i="5"/>
  <c r="F76" i="1"/>
  <c r="E116" i="4"/>
  <c r="E43" i="4"/>
  <c r="I22" i="7"/>
  <c r="G30" i="3"/>
  <c r="E53" i="6"/>
  <c r="J7" i="6"/>
  <c r="E8" i="8"/>
  <c r="D35" i="6"/>
  <c r="B45" i="3"/>
  <c r="H15" i="7"/>
  <c r="E16" i="6"/>
  <c r="C33" i="1"/>
  <c r="F23" i="6"/>
  <c r="B37" i="7"/>
  <c r="C39" i="6"/>
  <c r="C9" i="3"/>
  <c r="L29" i="1"/>
  <c r="G58" i="3"/>
  <c r="B38" i="3"/>
  <c r="F90" i="4"/>
  <c r="C106" i="4"/>
  <c r="C119" i="4"/>
  <c r="C68" i="4"/>
  <c r="H76" i="12"/>
  <c r="B41" i="1"/>
  <c r="C75" i="4"/>
  <c r="G17" i="1"/>
  <c r="C27" i="7"/>
  <c r="E103" i="4"/>
  <c r="G76" i="4"/>
  <c r="B82" i="12"/>
  <c r="G68" i="1"/>
  <c r="C81" i="4"/>
  <c r="G21" i="1"/>
  <c r="F31" i="4"/>
  <c r="E109" i="4"/>
  <c r="E86" i="4"/>
  <c r="E16" i="3"/>
  <c r="C87" i="4"/>
  <c r="I26" i="1"/>
  <c r="F37" i="4"/>
  <c r="H14" i="1"/>
  <c r="D21" i="3"/>
  <c r="C84" i="4"/>
  <c r="C35" i="5"/>
  <c r="E3" i="8"/>
  <c r="J10" i="3"/>
  <c r="C129" i="4"/>
  <c r="F42" i="4"/>
  <c r="B26" i="1"/>
  <c r="F79" i="4"/>
  <c r="B73" i="1"/>
  <c r="D114" i="4"/>
  <c r="B43" i="1"/>
  <c r="E28" i="4"/>
  <c r="F18" i="13"/>
  <c r="G55" i="4"/>
  <c r="C48" i="4"/>
  <c r="J29" i="1"/>
  <c r="D22" i="4"/>
  <c r="D85" i="12"/>
  <c r="C110" i="4"/>
  <c r="C60" i="5"/>
  <c r="H12" i="1"/>
  <c r="C9" i="4"/>
  <c r="E76" i="12"/>
  <c r="G17" i="12"/>
  <c r="C12" i="9"/>
  <c r="E42" i="4"/>
  <c r="E62" i="12"/>
  <c r="B46" i="1"/>
  <c r="E49" i="4"/>
  <c r="C45" i="5"/>
  <c r="G65" i="12"/>
  <c r="C122" i="4"/>
  <c r="E10" i="4"/>
  <c r="F27" i="13"/>
  <c r="C102" i="4"/>
  <c r="C17" i="4"/>
  <c r="F3" i="5"/>
  <c r="H64" i="12"/>
  <c r="C26" i="12"/>
  <c r="L17" i="1"/>
  <c r="G127" i="4"/>
  <c r="D35" i="4"/>
  <c r="B43" i="5"/>
  <c r="H71" i="7"/>
  <c r="D122" i="4"/>
  <c r="C37" i="4"/>
  <c r="C42" i="5"/>
  <c r="J75" i="12"/>
  <c r="C24" i="1"/>
  <c r="D67" i="4"/>
  <c r="B99" i="5"/>
  <c r="D25" i="13"/>
  <c r="E128" i="4"/>
  <c r="G41" i="4"/>
  <c r="C50" i="5"/>
  <c r="G3" i="13"/>
  <c r="L44" i="12"/>
  <c r="D32" i="7"/>
  <c r="F73" i="1"/>
  <c r="G105" i="4"/>
  <c r="B60" i="12"/>
  <c r="H62" i="1"/>
  <c r="D78" i="4"/>
  <c r="E9" i="4"/>
  <c r="F43" i="13"/>
  <c r="D64" i="12"/>
  <c r="F131" i="4"/>
  <c r="D33" i="4"/>
  <c r="D38" i="5"/>
  <c r="C68" i="1"/>
  <c r="D97" i="4"/>
  <c r="G21" i="4"/>
  <c r="D46" i="13"/>
  <c r="E69" i="12"/>
  <c r="G29" i="12"/>
  <c r="G46" i="1"/>
  <c r="H21" i="1"/>
  <c r="G22" i="6"/>
  <c r="G10" i="4"/>
  <c r="B37" i="12"/>
  <c r="G131" i="4"/>
  <c r="D44" i="4"/>
  <c r="E38" i="5"/>
  <c r="G79" i="12"/>
  <c r="J31" i="1"/>
  <c r="E74" i="4"/>
  <c r="F3" i="4"/>
  <c r="F20" i="13"/>
  <c r="I6" i="1"/>
  <c r="C49" i="4"/>
  <c r="F59" i="5"/>
  <c r="G15" i="13"/>
  <c r="I43" i="12"/>
  <c r="H44" i="12"/>
  <c r="E112" i="4"/>
  <c r="G10" i="5"/>
  <c r="D48" i="4"/>
  <c r="I55" i="12"/>
  <c r="G6" i="12"/>
  <c r="D43" i="11"/>
  <c r="B8" i="11"/>
  <c r="B71" i="11"/>
  <c r="C10" i="4"/>
  <c r="D48" i="12"/>
  <c r="E82" i="11"/>
  <c r="C39" i="11"/>
  <c r="D38" i="11"/>
  <c r="C40" i="5"/>
  <c r="L38" i="12"/>
  <c r="J74" i="11"/>
  <c r="H33" i="11"/>
  <c r="H37" i="11"/>
  <c r="J27" i="7"/>
  <c r="D16" i="4"/>
  <c r="D8" i="7"/>
  <c r="C18" i="12"/>
  <c r="F26" i="5"/>
  <c r="B29" i="12"/>
  <c r="F65" i="11"/>
  <c r="J26" i="11"/>
  <c r="E19" i="11"/>
  <c r="J43" i="1"/>
  <c r="I19" i="13"/>
  <c r="F26" i="12"/>
  <c r="H64" i="11"/>
  <c r="L15" i="11"/>
  <c r="B15" i="11"/>
  <c r="C91" i="5"/>
  <c r="F56" i="12"/>
  <c r="D12" i="12"/>
  <c r="D58" i="11"/>
  <c r="J24" i="11"/>
  <c r="H9" i="3"/>
  <c r="B78" i="5"/>
  <c r="D55" i="12"/>
  <c r="D49" i="1"/>
  <c r="C7" i="4"/>
  <c r="C34" i="5"/>
  <c r="B66" i="12"/>
  <c r="E37" i="4"/>
  <c r="F70" i="12"/>
  <c r="L21" i="12"/>
  <c r="I64" i="11"/>
  <c r="J30" i="11"/>
  <c r="G38" i="11"/>
  <c r="E64" i="11"/>
  <c r="F57" i="4"/>
  <c r="F76" i="12"/>
  <c r="I25" i="12"/>
  <c r="B70" i="11"/>
  <c r="G25" i="11"/>
  <c r="B31" i="11"/>
  <c r="C19" i="4"/>
  <c r="G62" i="12"/>
  <c r="J17" i="12"/>
  <c r="G62" i="11"/>
  <c r="J27" i="11"/>
  <c r="J29" i="11"/>
  <c r="L8" i="6"/>
  <c r="G19" i="1"/>
  <c r="D36" i="4"/>
  <c r="C80" i="1"/>
  <c r="H47" i="13"/>
  <c r="C40" i="12"/>
  <c r="C80" i="11"/>
  <c r="B46" i="11"/>
  <c r="F15" i="11"/>
  <c r="E7" i="11"/>
  <c r="I27" i="1"/>
  <c r="C36" i="5"/>
  <c r="G44" i="12"/>
  <c r="C7" i="12"/>
  <c r="F49" i="11"/>
  <c r="C15" i="12"/>
  <c r="F113" i="4"/>
  <c r="D29" i="13"/>
  <c r="D33" i="12"/>
  <c r="J76" i="11"/>
  <c r="B43" i="11"/>
  <c r="I12" i="12"/>
  <c r="D104" i="4"/>
  <c r="G22" i="13"/>
  <c r="D32" i="12"/>
  <c r="F22" i="7"/>
  <c r="I29" i="13"/>
  <c r="F39" i="1"/>
  <c r="E24" i="12"/>
  <c r="C103" i="5"/>
  <c r="I57" i="12"/>
  <c r="D13" i="12"/>
  <c r="F58" i="11"/>
  <c r="B25" i="11"/>
  <c r="L24" i="11"/>
  <c r="B37" i="11"/>
  <c r="D19" i="4"/>
  <c r="I62" i="12"/>
  <c r="L17" i="12"/>
  <c r="H62" i="11"/>
  <c r="E11" i="11"/>
  <c r="J57" i="1"/>
  <c r="G57" i="5"/>
  <c r="C48" i="12"/>
  <c r="B9" i="12"/>
  <c r="D56" i="11"/>
  <c r="E44" i="6"/>
  <c r="D39" i="3"/>
  <c r="B20" i="9"/>
  <c r="I14" i="6"/>
  <c r="I6" i="6"/>
  <c r="D61" i="7"/>
  <c r="D15" i="3"/>
  <c r="C17" i="9"/>
  <c r="H48" i="7"/>
  <c r="F61" i="7"/>
  <c r="E18" i="8"/>
  <c r="E34" i="1"/>
  <c r="D24" i="6"/>
  <c r="H9" i="8"/>
  <c r="E13" i="3"/>
  <c r="D46" i="6"/>
  <c r="E26" i="1"/>
  <c r="G32" i="1"/>
  <c r="M11" i="6"/>
  <c r="B6" i="9"/>
  <c r="D76" i="1"/>
  <c r="L31" i="1"/>
  <c r="I11" i="3"/>
  <c r="C72" i="1"/>
  <c r="D34" i="3"/>
  <c r="F60" i="1"/>
  <c r="F57" i="5"/>
  <c r="B24" i="3"/>
  <c r="F8" i="1"/>
  <c r="E35" i="3"/>
  <c r="E90" i="4"/>
  <c r="E27" i="1"/>
  <c r="I77" i="1"/>
  <c r="B77" i="5"/>
  <c r="F18" i="6"/>
  <c r="B13" i="1"/>
  <c r="J10" i="6"/>
  <c r="E96" i="4"/>
  <c r="B32" i="1"/>
  <c r="C45" i="3"/>
  <c r="B94" i="5"/>
  <c r="C15" i="9"/>
  <c r="H17" i="1"/>
  <c r="D15" i="7"/>
  <c r="E102" i="4"/>
  <c r="E64" i="1"/>
  <c r="D108" i="4"/>
  <c r="G28" i="1"/>
  <c r="E22" i="4"/>
  <c r="D3" i="13"/>
  <c r="K11" i="6"/>
  <c r="G73" i="1"/>
  <c r="G85" i="4"/>
  <c r="J6" i="3"/>
  <c r="G122" i="4"/>
  <c r="E36" i="4"/>
  <c r="H19" i="1"/>
  <c r="F55" i="3"/>
  <c r="C96" i="4"/>
  <c r="B46" i="5"/>
  <c r="C11" i="9"/>
  <c r="F12" i="3"/>
  <c r="B44" i="12"/>
  <c r="G83" i="4"/>
  <c r="B35" i="5"/>
  <c r="D68" i="1"/>
  <c r="E38" i="4"/>
  <c r="I16" i="13"/>
  <c r="C67" i="4"/>
  <c r="G7" i="5"/>
  <c r="G41" i="12"/>
  <c r="G23" i="1"/>
  <c r="F48" i="4"/>
  <c r="C64" i="1"/>
  <c r="F43" i="12"/>
  <c r="D110" i="4"/>
  <c r="C21" i="4"/>
  <c r="G27" i="13"/>
  <c r="G65" i="1"/>
  <c r="E58" i="4"/>
  <c r="E58" i="5"/>
  <c r="I31" i="1"/>
  <c r="C65" i="4"/>
  <c r="E53" i="5"/>
  <c r="E10" i="13"/>
  <c r="G46" i="12"/>
  <c r="E11" i="12"/>
  <c r="I7" i="6"/>
  <c r="E24" i="1"/>
  <c r="D45" i="3"/>
  <c r="H56" i="12"/>
  <c r="H42" i="1"/>
  <c r="E69" i="4"/>
  <c r="C102" i="5"/>
  <c r="G33" i="13"/>
  <c r="G10" i="7"/>
  <c r="F119" i="4"/>
  <c r="F25" i="4"/>
  <c r="F28" i="5"/>
  <c r="H48" i="1"/>
  <c r="D85" i="4"/>
  <c r="G13" i="4"/>
  <c r="H36" i="13"/>
  <c r="B64" i="12"/>
  <c r="G25" i="12"/>
  <c r="I29" i="1"/>
  <c r="D71" i="4"/>
  <c r="C20" i="4"/>
  <c r="H37" i="12"/>
  <c r="D134" i="4"/>
  <c r="G45" i="4"/>
  <c r="E57" i="5"/>
  <c r="D80" i="12"/>
  <c r="C34" i="1"/>
  <c r="E76" i="4"/>
  <c r="C8" i="4"/>
  <c r="D32" i="13"/>
  <c r="B8" i="1"/>
  <c r="F50" i="4"/>
  <c r="C65" i="5"/>
  <c r="H16" i="13"/>
  <c r="F49" i="12"/>
  <c r="C9" i="12"/>
  <c r="C52" i="3"/>
  <c r="F62" i="1"/>
  <c r="F98" i="4"/>
  <c r="E59" i="12"/>
  <c r="J34" i="1"/>
  <c r="F76" i="4"/>
  <c r="D8" i="4"/>
  <c r="F40" i="13"/>
  <c r="G63" i="12"/>
  <c r="G114" i="4"/>
  <c r="D31" i="4"/>
  <c r="C37" i="5"/>
  <c r="F65" i="1"/>
  <c r="G94" i="4"/>
  <c r="E11" i="4"/>
  <c r="D45" i="13"/>
  <c r="H66" i="12"/>
  <c r="L27" i="12"/>
  <c r="E23" i="4"/>
  <c r="J13" i="1"/>
  <c r="F14" i="6"/>
  <c r="I33" i="13"/>
  <c r="I29" i="12"/>
  <c r="C66" i="11"/>
  <c r="J22" i="11"/>
  <c r="L11" i="11"/>
  <c r="G12" i="1"/>
  <c r="H24" i="13"/>
  <c r="C27" i="12"/>
  <c r="E60" i="11"/>
  <c r="J7" i="11"/>
  <c r="C92" i="4"/>
  <c r="D76" i="12"/>
  <c r="D19" i="12"/>
  <c r="F50" i="11"/>
  <c r="G27" i="12"/>
  <c r="G82" i="4"/>
  <c r="B103" i="5"/>
  <c r="I48" i="1"/>
  <c r="D44" i="13"/>
  <c r="C43" i="4"/>
  <c r="I60" i="12"/>
  <c r="B11" i="12"/>
  <c r="D47" i="11"/>
  <c r="F7" i="11"/>
  <c r="B69" i="11"/>
  <c r="G30" i="4"/>
  <c r="G58" i="12"/>
  <c r="F8" i="12"/>
  <c r="G46" i="11"/>
  <c r="B79" i="11"/>
  <c r="G84" i="4"/>
  <c r="D30" i="12"/>
  <c r="D74" i="11"/>
  <c r="H39" i="11"/>
  <c r="E78" i="11"/>
  <c r="F77" i="4"/>
  <c r="F85" i="12"/>
  <c r="E29" i="12"/>
  <c r="F33" i="12"/>
  <c r="F29" i="1"/>
  <c r="C47" i="4"/>
  <c r="B15" i="3"/>
  <c r="C14" i="5"/>
  <c r="B41" i="12"/>
  <c r="I80" i="11"/>
  <c r="H46" i="11"/>
  <c r="B17" i="11"/>
  <c r="G8" i="11"/>
  <c r="H33" i="1"/>
  <c r="B41" i="5"/>
  <c r="F46" i="12"/>
  <c r="I7" i="12"/>
  <c r="B55" i="11"/>
  <c r="B19" i="12"/>
  <c r="G120" i="4"/>
  <c r="H32" i="13"/>
  <c r="C37" i="12"/>
  <c r="G78" i="11"/>
  <c r="H43" i="11"/>
  <c r="J15" i="12"/>
  <c r="G9" i="1"/>
  <c r="C93" i="5"/>
  <c r="C24" i="5"/>
  <c r="B62" i="12"/>
  <c r="D32" i="4"/>
  <c r="C69" i="12"/>
  <c r="D21" i="12"/>
  <c r="C64" i="11"/>
  <c r="D30" i="11"/>
  <c r="E37" i="11"/>
  <c r="H60" i="11"/>
  <c r="E52" i="4"/>
  <c r="C75" i="12"/>
  <c r="B25" i="12"/>
  <c r="E69" i="11"/>
  <c r="E24" i="11"/>
  <c r="H27" i="11"/>
  <c r="E13" i="4"/>
  <c r="F60" i="12"/>
  <c r="C17" i="12"/>
  <c r="J60" i="11"/>
  <c r="D27" i="11"/>
  <c r="F26" i="11"/>
  <c r="G8" i="4"/>
  <c r="D59" i="12"/>
  <c r="D15" i="12"/>
  <c r="C115" i="4"/>
  <c r="C62" i="4"/>
  <c r="C41" i="5"/>
  <c r="E130" i="4"/>
  <c r="F16" i="13"/>
  <c r="C31" i="12"/>
  <c r="F74" i="11"/>
  <c r="J39" i="11"/>
  <c r="D9" i="11"/>
  <c r="G6" i="11"/>
  <c r="C121" i="4"/>
  <c r="I32" i="13"/>
  <c r="D37" i="12"/>
  <c r="H78" i="11"/>
  <c r="G41" i="11"/>
  <c r="H69" i="11"/>
  <c r="D68" i="4"/>
  <c r="J79" i="12"/>
  <c r="B27" i="12"/>
  <c r="D71" i="11"/>
  <c r="J37" i="11"/>
  <c r="G37" i="13"/>
  <c r="C17" i="1"/>
  <c r="D99" i="4"/>
  <c r="B63" i="11"/>
  <c r="C76" i="12"/>
  <c r="H9" i="12"/>
  <c r="I56" i="11"/>
  <c r="G22" i="11"/>
  <c r="D111" i="4"/>
  <c r="I27" i="13"/>
  <c r="J33" i="12"/>
  <c r="D81" i="4"/>
  <c r="E70" i="4"/>
  <c r="G16" i="13"/>
  <c r="E39" i="11"/>
  <c r="F29" i="5"/>
  <c r="H8" i="11"/>
  <c r="E40" i="11"/>
  <c r="D37" i="11"/>
  <c r="C33" i="5"/>
  <c r="I24" i="12"/>
  <c r="C65" i="11"/>
  <c r="C31" i="11"/>
  <c r="L49" i="1"/>
  <c r="E56" i="5"/>
  <c r="D49" i="12"/>
  <c r="J41" i="11"/>
  <c r="E43" i="11"/>
  <c r="G31" i="11"/>
  <c r="H6" i="12"/>
  <c r="J57" i="12"/>
  <c r="D59" i="11"/>
  <c r="D78" i="11"/>
  <c r="J62" i="11"/>
  <c r="C43" i="1"/>
  <c r="C12" i="12"/>
  <c r="F82" i="4"/>
  <c r="B43" i="12"/>
  <c r="C41" i="11"/>
  <c r="G71" i="1"/>
  <c r="F78" i="12"/>
  <c r="E32" i="11"/>
  <c r="C44" i="12"/>
  <c r="E7" i="12"/>
  <c r="G69" i="11"/>
  <c r="I15" i="12"/>
  <c r="F75" i="12"/>
  <c r="C74" i="4"/>
  <c r="D30" i="4"/>
  <c r="B40" i="11"/>
  <c r="C71" i="12"/>
  <c r="D8" i="12"/>
  <c r="F55" i="11"/>
  <c r="E21" i="11"/>
  <c r="G96" i="4"/>
  <c r="G18" i="13"/>
  <c r="C32" i="12"/>
  <c r="E20" i="4"/>
  <c r="D11" i="4"/>
  <c r="J44" i="12"/>
  <c r="L13" i="11"/>
  <c r="J55" i="11"/>
  <c r="J66" i="11"/>
  <c r="I56" i="12"/>
  <c r="G55" i="11"/>
  <c r="C74" i="11"/>
  <c r="E9" i="13"/>
  <c r="L18" i="12"/>
  <c r="G70" i="12"/>
  <c r="G7" i="1"/>
  <c r="D6" i="12"/>
  <c r="F44" i="4"/>
  <c r="D34" i="13"/>
  <c r="E32" i="4"/>
  <c r="J64" i="11"/>
  <c r="I47" i="12"/>
  <c r="L31" i="11"/>
  <c r="L19" i="11"/>
  <c r="H26" i="11"/>
  <c r="I45" i="13"/>
  <c r="J19" i="12"/>
  <c r="I63" i="11"/>
  <c r="L29" i="11"/>
  <c r="C31" i="1"/>
  <c r="B39" i="5"/>
  <c r="L46" i="12"/>
  <c r="J32" i="11"/>
  <c r="B7" i="11"/>
  <c r="E22" i="11"/>
  <c r="G63" i="11"/>
  <c r="J80" i="11"/>
  <c r="F24" i="11"/>
  <c r="E49" i="12"/>
  <c r="L8" i="11"/>
  <c r="E19" i="1"/>
  <c r="J75" i="11"/>
  <c r="D7" i="12"/>
  <c r="C97" i="4"/>
  <c r="L38" i="11"/>
  <c r="F63" i="12"/>
  <c r="I25" i="13"/>
  <c r="L25" i="12"/>
  <c r="D8" i="11"/>
  <c r="C63" i="11"/>
  <c r="F59" i="4"/>
  <c r="B82" i="11"/>
  <c r="E50" i="4"/>
  <c r="B40" i="12"/>
  <c r="F29" i="4"/>
  <c r="B72" i="12"/>
  <c r="F16" i="4"/>
  <c r="E50" i="12"/>
  <c r="F82" i="11"/>
  <c r="B38" i="11"/>
  <c r="I39" i="11"/>
  <c r="B44" i="11"/>
  <c r="B110" i="5"/>
  <c r="E47" i="12"/>
  <c r="H75" i="11"/>
  <c r="L37" i="11"/>
  <c r="H58" i="11"/>
  <c r="G51" i="4"/>
  <c r="J74" i="12"/>
  <c r="J24" i="12"/>
  <c r="D69" i="11"/>
  <c r="B33" i="11"/>
  <c r="H56" i="11"/>
  <c r="D45" i="4"/>
  <c r="F72" i="12"/>
  <c r="B24" i="12"/>
  <c r="L11" i="1"/>
  <c r="F83" i="4"/>
  <c r="C81" i="5"/>
  <c r="H28" i="1"/>
  <c r="H25" i="13"/>
  <c r="H32" i="12"/>
  <c r="B41" i="11"/>
  <c r="F11" i="11"/>
  <c r="D11" i="11"/>
  <c r="E135" i="4"/>
  <c r="I43" i="13"/>
  <c r="B39" i="12"/>
  <c r="B80" i="11"/>
  <c r="E44" i="11"/>
  <c r="E75" i="11"/>
  <c r="C79" i="4"/>
  <c r="B86" i="12"/>
  <c r="F29" i="12"/>
  <c r="G72" i="11"/>
  <c r="B39" i="11"/>
  <c r="B74" i="11"/>
  <c r="E91" i="4"/>
  <c r="D37" i="13"/>
  <c r="I61" i="1"/>
  <c r="E27" i="12"/>
  <c r="E7" i="4"/>
  <c r="I58" i="12"/>
  <c r="C59" i="11"/>
  <c r="H25" i="11"/>
  <c r="C26" i="11"/>
  <c r="F39" i="11"/>
  <c r="G22" i="4"/>
  <c r="C64" i="12"/>
  <c r="E63" i="11"/>
  <c r="G12" i="11"/>
  <c r="C67" i="5"/>
  <c r="J9" i="12"/>
  <c r="J56" i="11"/>
  <c r="C51" i="1"/>
  <c r="L47" i="12"/>
  <c r="J14" i="1"/>
  <c r="B108" i="5"/>
  <c r="I76" i="12"/>
  <c r="J25" i="12"/>
  <c r="D33" i="11"/>
  <c r="H76" i="11"/>
  <c r="D86" i="12"/>
  <c r="H72" i="11"/>
  <c r="H44" i="11"/>
  <c r="G35" i="4"/>
  <c r="I21" i="12"/>
  <c r="D31" i="11"/>
  <c r="E38" i="12"/>
  <c r="H19" i="13"/>
  <c r="D60" i="12"/>
  <c r="G47" i="11"/>
  <c r="L17" i="11"/>
  <c r="C85" i="12"/>
  <c r="J82" i="12"/>
  <c r="D79" i="12"/>
  <c r="G80" i="12"/>
  <c r="L29" i="12"/>
  <c r="B9" i="11"/>
  <c r="H18" i="13"/>
  <c r="C60" i="11"/>
  <c r="L9" i="1"/>
  <c r="G6" i="5"/>
  <c r="H19" i="11"/>
  <c r="I8" i="11"/>
  <c r="G19" i="11"/>
  <c r="C8" i="11"/>
  <c r="C32" i="11"/>
  <c r="C69" i="11"/>
  <c r="E21" i="4"/>
  <c r="E30" i="11"/>
  <c r="J37" i="12"/>
  <c r="G18" i="11"/>
  <c r="J29" i="12"/>
  <c r="D106" i="4"/>
  <c r="C25" i="12"/>
  <c r="G66" i="12"/>
  <c r="H6" i="1"/>
  <c r="F80" i="11"/>
  <c r="I15" i="11"/>
  <c r="F79" i="12"/>
  <c r="J60" i="12"/>
  <c r="J58" i="12"/>
  <c r="B22" i="12"/>
  <c r="D57" i="11"/>
  <c r="F12" i="12"/>
  <c r="D49" i="11"/>
  <c r="L43" i="12"/>
  <c r="G80" i="11"/>
  <c r="C28" i="5"/>
  <c r="J70" i="11"/>
  <c r="G75" i="12"/>
  <c r="E55" i="11"/>
  <c r="G9" i="12"/>
  <c r="J12" i="12"/>
  <c r="E25" i="11"/>
  <c r="G132" i="4"/>
  <c r="G39" i="12"/>
  <c r="D48" i="1"/>
  <c r="H7" i="11"/>
  <c r="G60" i="12"/>
  <c r="C19" i="12"/>
  <c r="F27" i="12"/>
  <c r="C13" i="11"/>
  <c r="C24" i="11"/>
  <c r="G76" i="11"/>
  <c r="D63" i="12"/>
  <c r="F125" i="4"/>
  <c r="G44" i="4"/>
  <c r="G6" i="1"/>
  <c r="G86" i="4"/>
  <c r="I66" i="1"/>
  <c r="H27" i="13"/>
  <c r="E122" i="4"/>
  <c r="D18" i="13"/>
  <c r="B85" i="5"/>
  <c r="D18" i="4"/>
  <c r="C22" i="12"/>
  <c r="D37" i="4"/>
  <c r="G81" i="4"/>
  <c r="G82" i="12"/>
  <c r="G34" i="13"/>
  <c r="D24" i="4"/>
  <c r="I30" i="12"/>
  <c r="G62" i="1"/>
  <c r="F93" i="4"/>
  <c r="G47" i="4"/>
  <c r="H14" i="13"/>
  <c r="D9" i="4"/>
  <c r="F19" i="1"/>
  <c r="B32" i="8"/>
  <c r="C15" i="3"/>
  <c r="B32" i="7"/>
  <c r="K7" i="6"/>
  <c r="G25" i="7"/>
  <c r="F32" i="7"/>
  <c r="I20" i="7"/>
  <c r="L14" i="6"/>
  <c r="E16" i="8"/>
  <c r="E45" i="3"/>
  <c r="K22" i="6"/>
  <c r="J76" i="1"/>
  <c r="E32" i="1"/>
  <c r="E11" i="7"/>
  <c r="B72" i="1"/>
  <c r="C25" i="8"/>
  <c r="B51" i="1"/>
  <c r="G133" i="4"/>
  <c r="G13" i="1"/>
  <c r="B23" i="1"/>
  <c r="C120" i="4"/>
  <c r="G32" i="13"/>
  <c r="B64" i="1"/>
  <c r="G103" i="4"/>
  <c r="J45" i="1"/>
  <c r="E54" i="4"/>
  <c r="D132" i="4"/>
  <c r="C132" i="4"/>
  <c r="G40" i="13"/>
  <c r="E26" i="3"/>
  <c r="G109" i="4"/>
  <c r="F58" i="1"/>
  <c r="E60" i="4"/>
  <c r="B7" i="1"/>
  <c r="J9" i="1"/>
  <c r="G47" i="13"/>
  <c r="E7" i="8"/>
  <c r="G115" i="4"/>
  <c r="C66" i="1"/>
  <c r="E66" i="4"/>
  <c r="D31" i="1"/>
  <c r="F86" i="4"/>
  <c r="D127" i="4"/>
  <c r="B91" i="5"/>
  <c r="H69" i="12"/>
  <c r="H82" i="1"/>
  <c r="B17" i="1"/>
  <c r="D64" i="4"/>
  <c r="F50" i="1"/>
  <c r="D101" i="4"/>
  <c r="C49" i="3"/>
  <c r="G135" i="4"/>
  <c r="F54" i="7"/>
  <c r="G60" i="4"/>
  <c r="G45" i="13"/>
  <c r="C65" i="1"/>
  <c r="D84" i="4"/>
  <c r="D43" i="3"/>
  <c r="E51" i="4"/>
  <c r="I35" i="13"/>
  <c r="E17" i="1"/>
  <c r="F11" i="4"/>
  <c r="C59" i="1"/>
  <c r="F34" i="4"/>
  <c r="H22" i="13"/>
  <c r="I26" i="12"/>
  <c r="C116" i="4"/>
  <c r="G128" i="4"/>
  <c r="C108" i="4"/>
  <c r="E25" i="3"/>
  <c r="G95" i="4"/>
  <c r="C85" i="5"/>
  <c r="I15" i="13"/>
  <c r="C15" i="1"/>
  <c r="F47" i="4"/>
  <c r="C11" i="5"/>
  <c r="H20" i="1"/>
  <c r="F32" i="4"/>
  <c r="C38" i="5"/>
  <c r="H80" i="12"/>
  <c r="L40" i="12"/>
  <c r="C6" i="3"/>
  <c r="H6" i="3"/>
  <c r="F121" i="4"/>
  <c r="H40" i="1"/>
  <c r="F47" i="12"/>
  <c r="G15" i="1"/>
  <c r="F58" i="4"/>
  <c r="C82" i="5"/>
  <c r="F25" i="13"/>
  <c r="D7" i="3"/>
  <c r="G90" i="4"/>
  <c r="E18" i="4"/>
  <c r="C8" i="5"/>
  <c r="D29" i="1"/>
  <c r="D74" i="4"/>
  <c r="C92" i="5"/>
  <c r="G29" i="13"/>
  <c r="B59" i="12"/>
  <c r="L19" i="12"/>
  <c r="F120" i="4"/>
  <c r="H60" i="1"/>
  <c r="B31" i="5"/>
  <c r="J17" i="7"/>
  <c r="G119" i="4"/>
  <c r="C35" i="4"/>
  <c r="B29" i="5"/>
  <c r="D75" i="12"/>
  <c r="L21" i="1"/>
  <c r="F65" i="4"/>
  <c r="B96" i="5"/>
  <c r="F13" i="13"/>
  <c r="C126" i="4"/>
  <c r="G39" i="4"/>
  <c r="C47" i="5"/>
  <c r="I86" i="12"/>
  <c r="I39" i="12"/>
  <c r="E55" i="3"/>
  <c r="D44" i="6"/>
  <c r="C14" i="1"/>
  <c r="J82" i="1"/>
  <c r="D46" i="12"/>
  <c r="E23" i="1"/>
  <c r="G65" i="4"/>
  <c r="C96" i="5"/>
  <c r="D31" i="13"/>
  <c r="G76" i="1"/>
  <c r="E100" i="4"/>
  <c r="D23" i="4"/>
  <c r="C26" i="5"/>
  <c r="J41" i="1"/>
  <c r="F70" i="4"/>
  <c r="C104" i="5"/>
  <c r="F34" i="13"/>
  <c r="H62" i="12"/>
  <c r="C63" i="4"/>
  <c r="E86" i="12"/>
  <c r="F68" i="4"/>
  <c r="G60" i="1"/>
  <c r="G86" i="12"/>
  <c r="F24" i="12"/>
  <c r="C57" i="11"/>
  <c r="D18" i="11"/>
  <c r="D15" i="11"/>
  <c r="F106" i="4"/>
  <c r="C80" i="12"/>
  <c r="G15" i="12"/>
  <c r="E56" i="11"/>
  <c r="H82" i="11"/>
  <c r="E57" i="4"/>
  <c r="D65" i="12"/>
  <c r="H7" i="12"/>
  <c r="J44" i="11"/>
  <c r="I75" i="11"/>
  <c r="L13" i="12"/>
  <c r="H18" i="12"/>
  <c r="J66" i="1"/>
  <c r="B50" i="12"/>
  <c r="H22" i="11"/>
  <c r="F56" i="5"/>
  <c r="D42" i="4"/>
  <c r="F64" i="4"/>
  <c r="F69" i="11"/>
  <c r="L44" i="11"/>
  <c r="D79" i="4"/>
  <c r="H29" i="12"/>
  <c r="E31" i="11"/>
  <c r="J69" i="12"/>
  <c r="D65" i="11"/>
  <c r="E25" i="5"/>
  <c r="H31" i="1"/>
  <c r="I82" i="11"/>
  <c r="G71" i="4"/>
  <c r="B26" i="12"/>
  <c r="D75" i="11"/>
  <c r="D123" i="4"/>
  <c r="B65" i="11"/>
  <c r="B17" i="12"/>
  <c r="G26" i="11"/>
  <c r="E41" i="12"/>
  <c r="D62" i="11"/>
  <c r="E13" i="12"/>
  <c r="I11" i="6"/>
  <c r="E8" i="12"/>
  <c r="C9" i="1"/>
  <c r="B57" i="11"/>
  <c r="I19" i="12"/>
  <c r="C41" i="12"/>
  <c r="F82" i="12"/>
  <c r="D57" i="12"/>
  <c r="E46" i="11"/>
  <c r="C61" i="4"/>
  <c r="H24" i="12"/>
  <c r="D55" i="11"/>
  <c r="I21" i="11"/>
  <c r="D21" i="11"/>
  <c r="B46" i="12"/>
  <c r="E39" i="3"/>
  <c r="F66" i="11"/>
  <c r="F9" i="12"/>
  <c r="G23" i="4"/>
  <c r="J21" i="11"/>
  <c r="E11" i="13"/>
  <c r="I58" i="11"/>
  <c r="H40" i="13"/>
  <c r="H78" i="1"/>
  <c r="C29" i="1"/>
  <c r="I46" i="11"/>
  <c r="D50" i="4"/>
  <c r="H12" i="12"/>
  <c r="F35" i="13"/>
  <c r="I37" i="12"/>
  <c r="B11" i="11"/>
  <c r="C50" i="11"/>
  <c r="D20" i="1"/>
  <c r="E31" i="1"/>
  <c r="B84" i="1"/>
  <c r="C99" i="4"/>
  <c r="G29" i="4"/>
  <c r="E124" i="4"/>
  <c r="E82" i="12"/>
  <c r="I26" i="7"/>
  <c r="B71" i="1"/>
  <c r="J6" i="1"/>
  <c r="F11" i="1"/>
  <c r="H75" i="12"/>
  <c r="E78" i="4"/>
  <c r="D38" i="12"/>
  <c r="F58" i="5"/>
  <c r="C78" i="4"/>
  <c r="F52" i="4"/>
  <c r="B8" i="9"/>
  <c r="L10" i="6"/>
  <c r="H54" i="7"/>
  <c r="D53" i="6"/>
  <c r="E3" i="9"/>
  <c r="L33" i="1"/>
  <c r="I5" i="7"/>
  <c r="F43" i="1"/>
  <c r="I7" i="8"/>
  <c r="L48" i="1"/>
  <c r="J62" i="7"/>
  <c r="H35" i="1"/>
  <c r="K6" i="8"/>
  <c r="G38" i="3"/>
  <c r="I35" i="1"/>
  <c r="I22" i="6"/>
  <c r="F10" i="7"/>
  <c r="C105" i="4"/>
  <c r="D113" i="4"/>
  <c r="E133" i="4"/>
  <c r="G78" i="4"/>
  <c r="H82" i="12"/>
  <c r="G74" i="1"/>
  <c r="D82" i="4"/>
  <c r="C23" i="1"/>
  <c r="G32" i="4"/>
  <c r="F110" i="4"/>
  <c r="G88" i="4"/>
  <c r="H13" i="13"/>
  <c r="C35" i="3"/>
  <c r="D88" i="4"/>
  <c r="F27" i="1"/>
  <c r="G38" i="4"/>
  <c r="F116" i="4"/>
  <c r="G100" i="4"/>
  <c r="H20" i="13"/>
  <c r="I25" i="7"/>
  <c r="D94" i="4"/>
  <c r="D32" i="1"/>
  <c r="Q6" i="6"/>
  <c r="E98" i="4"/>
  <c r="B49" i="5"/>
  <c r="C10" i="8"/>
  <c r="C44" i="6"/>
  <c r="G49" i="4"/>
  <c r="E121" i="4"/>
  <c r="D39" i="4"/>
  <c r="F49" i="1"/>
  <c r="J21" i="1"/>
  <c r="F85" i="4"/>
  <c r="D60" i="5"/>
  <c r="G36" i="4"/>
  <c r="D27" i="5"/>
  <c r="D74" i="1"/>
  <c r="E7" i="1"/>
  <c r="G39" i="1"/>
  <c r="F33" i="13"/>
  <c r="G45" i="3"/>
  <c r="J7" i="3"/>
  <c r="F82" i="1"/>
  <c r="E57" i="3"/>
  <c r="C33" i="4"/>
  <c r="G18" i="4"/>
  <c r="C39" i="4"/>
  <c r="C34" i="3"/>
  <c r="H14" i="3"/>
  <c r="H76" i="1"/>
  <c r="G27" i="6"/>
  <c r="D131" i="4"/>
  <c r="F26" i="3"/>
  <c r="J102" i="7"/>
  <c r="D54" i="6"/>
  <c r="H39" i="1"/>
  <c r="B106" i="5"/>
  <c r="E66" i="12"/>
  <c r="D66" i="12"/>
  <c r="E104" i="4"/>
  <c r="L11" i="12"/>
  <c r="E57" i="12"/>
  <c r="E32" i="5"/>
  <c r="B102" i="5"/>
  <c r="G7" i="4"/>
  <c r="G21" i="12"/>
  <c r="B19" i="1"/>
  <c r="G107" i="4"/>
  <c r="J70" i="12"/>
  <c r="B79" i="5"/>
  <c r="C31" i="4"/>
  <c r="B80" i="12"/>
  <c r="I43" i="7"/>
  <c r="J13" i="3"/>
  <c r="G24" i="1"/>
  <c r="C99" i="5"/>
  <c r="B19" i="6"/>
  <c r="E24" i="4"/>
  <c r="D45" i="1"/>
  <c r="C107" i="5"/>
  <c r="E63" i="12"/>
  <c r="I8" i="1"/>
  <c r="H46" i="1"/>
  <c r="D23" i="6"/>
  <c r="F24" i="4"/>
  <c r="G74" i="12"/>
  <c r="F63" i="4"/>
  <c r="D90" i="7"/>
  <c r="D38" i="4"/>
  <c r="H78" i="12"/>
  <c r="F32" i="1"/>
  <c r="B78" i="12"/>
  <c r="J43" i="12"/>
  <c r="H38" i="11"/>
  <c r="D29" i="11"/>
  <c r="J40" i="12"/>
  <c r="L27" i="11"/>
  <c r="H43" i="13"/>
  <c r="J69" i="11"/>
  <c r="D26" i="1"/>
  <c r="D26" i="5"/>
  <c r="F31" i="3"/>
  <c r="H22" i="12"/>
  <c r="D22" i="11"/>
  <c r="E99" i="4"/>
  <c r="C21" i="12"/>
  <c r="H6" i="11"/>
  <c r="B36" i="5"/>
  <c r="B7" i="12"/>
  <c r="B18" i="11"/>
  <c r="D28" i="5"/>
  <c r="F134" i="4"/>
  <c r="M6" i="3"/>
  <c r="C11" i="4"/>
  <c r="H15" i="12"/>
  <c r="F64" i="1"/>
  <c r="C24" i="6"/>
  <c r="E48" i="1"/>
  <c r="D81" i="1"/>
  <c r="L12" i="3"/>
  <c r="B80" i="5"/>
  <c r="C15" i="6"/>
  <c r="J9" i="6"/>
  <c r="D19" i="1"/>
  <c r="B42" i="1"/>
  <c r="N10" i="6"/>
  <c r="F109" i="4"/>
  <c r="F46" i="1"/>
  <c r="C32" i="8"/>
  <c r="G16" i="3"/>
  <c r="D24" i="1"/>
  <c r="E60" i="5"/>
  <c r="C49" i="12"/>
  <c r="F20" i="3"/>
  <c r="G77" i="4"/>
  <c r="F53" i="3"/>
  <c r="B48" i="12"/>
  <c r="H34" i="13"/>
  <c r="B82" i="5"/>
  <c r="C71" i="5"/>
  <c r="L15" i="12"/>
  <c r="C113" i="4"/>
  <c r="E93" i="4"/>
  <c r="J64" i="12"/>
  <c r="E39" i="5"/>
  <c r="C23" i="4"/>
  <c r="B70" i="12"/>
  <c r="D50" i="1"/>
  <c r="H24" i="1"/>
  <c r="E14" i="1"/>
  <c r="C79" i="5"/>
  <c r="D59" i="1"/>
  <c r="D17" i="4"/>
  <c r="J27" i="1"/>
  <c r="C89" i="5"/>
  <c r="E58" i="12"/>
  <c r="C59" i="4"/>
  <c r="J8" i="1"/>
  <c r="E82" i="1"/>
  <c r="E17" i="4"/>
  <c r="G69" i="12"/>
  <c r="C42" i="4"/>
  <c r="F11" i="3"/>
  <c r="G27" i="4"/>
  <c r="H72" i="12"/>
  <c r="D86" i="4"/>
  <c r="I18" i="12"/>
  <c r="F37" i="12"/>
  <c r="B32" i="11"/>
  <c r="H58" i="1"/>
  <c r="F32" i="12"/>
  <c r="L7" i="11"/>
  <c r="D15" i="13"/>
  <c r="J63" i="11"/>
  <c r="G125" i="4"/>
  <c r="J78" i="12"/>
  <c r="D87" i="4"/>
  <c r="E17" i="12"/>
  <c r="H17" i="11"/>
  <c r="D63" i="4"/>
  <c r="J13" i="12"/>
  <c r="D29" i="12"/>
  <c r="F36" i="13"/>
  <c r="D79" i="11"/>
  <c r="F21" i="12"/>
  <c r="H31" i="13"/>
  <c r="G44" i="13"/>
  <c r="D121" i="4"/>
  <c r="D59" i="5"/>
  <c r="E9" i="12"/>
  <c r="H21" i="11"/>
  <c r="F22" i="11"/>
  <c r="G57" i="12"/>
  <c r="B59" i="11"/>
  <c r="E21" i="1"/>
  <c r="G43" i="12"/>
  <c r="D48" i="11"/>
  <c r="G17" i="3"/>
  <c r="G12" i="4"/>
  <c r="E75" i="4"/>
  <c r="G26" i="12"/>
  <c r="J33" i="11"/>
  <c r="E80" i="11"/>
  <c r="E74" i="11"/>
  <c r="B48" i="11"/>
  <c r="D71" i="12"/>
  <c r="J65" i="11"/>
  <c r="J46" i="11"/>
  <c r="I69" i="12"/>
  <c r="E77" i="1"/>
  <c r="F26" i="4"/>
  <c r="H44" i="13"/>
  <c r="F79" i="11"/>
  <c r="J13" i="11"/>
  <c r="I21" i="1"/>
  <c r="H43" i="12"/>
  <c r="E48" i="11"/>
  <c r="E106" i="4"/>
  <c r="E32" i="12"/>
  <c r="F41" i="11"/>
  <c r="J43" i="11"/>
  <c r="F7" i="12"/>
  <c r="D25" i="4"/>
  <c r="I17" i="12"/>
  <c r="E38" i="11"/>
  <c r="G14" i="1"/>
  <c r="C62" i="12"/>
  <c r="H24" i="11"/>
  <c r="G71" i="11"/>
  <c r="I29" i="11"/>
  <c r="F30" i="12"/>
  <c r="B78" i="11"/>
  <c r="L14" i="1"/>
  <c r="G31" i="12"/>
  <c r="L46" i="11"/>
  <c r="C7" i="11"/>
  <c r="I80" i="12"/>
  <c r="E66" i="11"/>
  <c r="D69" i="12"/>
  <c r="C6" i="6"/>
  <c r="G86" i="7"/>
  <c r="F17" i="7"/>
  <c r="E25" i="7"/>
  <c r="I65" i="1"/>
  <c r="F55" i="4"/>
  <c r="I10" i="7"/>
  <c r="D119" i="4"/>
  <c r="G24" i="4"/>
  <c r="C45" i="4"/>
  <c r="K9" i="6"/>
  <c r="G41" i="1"/>
  <c r="F15" i="3"/>
  <c r="F51" i="4"/>
  <c r="E38" i="3"/>
  <c r="C11" i="1"/>
  <c r="F92" i="4"/>
  <c r="B74" i="12"/>
  <c r="C127" i="4"/>
  <c r="G70" i="4"/>
  <c r="C57" i="5"/>
  <c r="C135" i="4"/>
  <c r="F28" i="1"/>
  <c r="F63" i="7"/>
  <c r="H15" i="13"/>
  <c r="H30" i="13"/>
  <c r="G108" i="4"/>
  <c r="D16" i="13"/>
  <c r="C27" i="4"/>
  <c r="L13" i="1"/>
  <c r="D38" i="3"/>
  <c r="C68" i="5"/>
  <c r="B55" i="12"/>
  <c r="D34" i="4"/>
  <c r="E85" i="12"/>
  <c r="E105" i="4"/>
  <c r="G8" i="5"/>
  <c r="I12" i="1"/>
  <c r="F53" i="5"/>
  <c r="F111" i="4"/>
  <c r="B34" i="5"/>
  <c r="C33" i="12"/>
  <c r="B25" i="7"/>
  <c r="F69" i="4"/>
  <c r="C13" i="1"/>
  <c r="C72" i="5"/>
  <c r="C52" i="1"/>
  <c r="C16" i="4"/>
  <c r="B15" i="1"/>
  <c r="C84" i="5"/>
  <c r="H57" i="12"/>
  <c r="J72" i="1"/>
  <c r="F101" i="4"/>
  <c r="I11" i="12"/>
  <c r="H12" i="11"/>
  <c r="E68" i="4"/>
  <c r="D9" i="12"/>
  <c r="E62" i="11"/>
  <c r="E46" i="12"/>
  <c r="D40" i="11"/>
  <c r="F21" i="4"/>
  <c r="B48" i="5"/>
  <c r="C70" i="5"/>
  <c r="F71" i="11"/>
  <c r="G29" i="11"/>
  <c r="B50" i="5"/>
  <c r="H70" i="11"/>
  <c r="F33" i="11"/>
  <c r="J63" i="12"/>
  <c r="D63" i="11"/>
  <c r="D32" i="11"/>
  <c r="F62" i="12"/>
  <c r="G63" i="4"/>
  <c r="D33" i="13"/>
  <c r="F80" i="12"/>
  <c r="I70" i="11"/>
  <c r="I6" i="11"/>
  <c r="D92" i="4"/>
  <c r="B31" i="12"/>
  <c r="I33" i="11"/>
  <c r="F46" i="4"/>
  <c r="C24" i="12"/>
  <c r="F32" i="11"/>
  <c r="E72" i="12"/>
  <c r="G106" i="4"/>
  <c r="C53" i="5"/>
  <c r="H8" i="12"/>
  <c r="B21" i="11"/>
  <c r="B19" i="11"/>
  <c r="G56" i="12"/>
  <c r="E58" i="11"/>
  <c r="I15" i="1"/>
  <c r="H41" i="12"/>
  <c r="H47" i="11"/>
  <c r="E11" i="1"/>
  <c r="G40" i="12"/>
  <c r="C69" i="5"/>
  <c r="B57" i="12"/>
  <c r="I65" i="12"/>
  <c r="F63" i="11"/>
  <c r="C33" i="11"/>
  <c r="G46" i="4"/>
  <c r="D24" i="12"/>
  <c r="C22" i="11"/>
  <c r="G9" i="4"/>
  <c r="F15" i="12"/>
  <c r="E57" i="1"/>
  <c r="D13" i="11"/>
  <c r="H31" i="12"/>
  <c r="C39" i="5"/>
  <c r="I76" i="11"/>
  <c r="I31" i="11"/>
  <c r="E39" i="4"/>
  <c r="C55" i="12"/>
  <c r="C29" i="12"/>
  <c r="C38" i="11"/>
  <c r="H19" i="12"/>
  <c r="I72" i="11"/>
  <c r="F62" i="4"/>
  <c r="C72" i="4"/>
  <c r="L8" i="12"/>
  <c r="E41" i="11"/>
  <c r="C104" i="4"/>
  <c r="I70" i="12"/>
  <c r="G48" i="4"/>
  <c r="E21" i="12"/>
  <c r="C29" i="11"/>
  <c r="G31" i="1"/>
  <c r="D39" i="6"/>
  <c r="F5" i="7"/>
  <c r="I11" i="7"/>
  <c r="C42" i="1"/>
  <c r="B15" i="6"/>
  <c r="D31" i="6"/>
  <c r="F97" i="4"/>
  <c r="B97" i="5"/>
  <c r="D27" i="7"/>
  <c r="J77" i="1"/>
  <c r="F24" i="1"/>
  <c r="E74" i="1"/>
  <c r="C30" i="4"/>
  <c r="L34" i="1"/>
  <c r="C130" i="4"/>
  <c r="F46" i="6"/>
  <c r="B63" i="12"/>
  <c r="D98" i="4"/>
  <c r="D49" i="4"/>
  <c r="E28" i="5"/>
  <c r="G91" i="4"/>
  <c r="F124" i="4"/>
  <c r="B12" i="3"/>
  <c r="B52" i="1"/>
  <c r="D20" i="13"/>
  <c r="G69" i="4"/>
  <c r="H60" i="12"/>
  <c r="F10" i="4"/>
  <c r="C134" i="4"/>
  <c r="I72" i="1"/>
  <c r="B37" i="5"/>
  <c r="I33" i="12"/>
  <c r="I19" i="1"/>
  <c r="B56" i="12"/>
  <c r="E67" i="4"/>
  <c r="F32" i="13"/>
  <c r="G102" i="4"/>
  <c r="E27" i="5"/>
  <c r="C83" i="4"/>
  <c r="G35" i="13"/>
  <c r="L24" i="12"/>
  <c r="D70" i="4"/>
  <c r="C13" i="5"/>
  <c r="E117" i="4"/>
  <c r="F27" i="5"/>
  <c r="I20" i="1"/>
  <c r="D68" i="5"/>
  <c r="F123" i="4"/>
  <c r="C44" i="5"/>
  <c r="C39" i="12"/>
  <c r="E40" i="4"/>
  <c r="C83" i="5"/>
  <c r="C78" i="11"/>
  <c r="L40" i="11"/>
  <c r="C58" i="5"/>
  <c r="E76" i="11"/>
  <c r="L32" i="1"/>
  <c r="L30" i="12"/>
  <c r="B30" i="11"/>
  <c r="B30" i="6"/>
  <c r="F135" i="4"/>
  <c r="I82" i="12"/>
  <c r="F60" i="11"/>
  <c r="I9" i="11"/>
  <c r="I78" i="12"/>
  <c r="H59" i="11"/>
  <c r="D27" i="1"/>
  <c r="F44" i="12"/>
  <c r="E49" i="11"/>
  <c r="G20" i="1"/>
  <c r="E43" i="12"/>
  <c r="F47" i="13"/>
  <c r="L31" i="12"/>
  <c r="I59" i="12"/>
  <c r="I59" i="11"/>
  <c r="E27" i="11"/>
  <c r="E26" i="4"/>
  <c r="F19" i="12"/>
  <c r="I13" i="11"/>
  <c r="C80" i="5"/>
  <c r="G11" i="12"/>
  <c r="D24" i="11"/>
  <c r="E129" i="4"/>
  <c r="D58" i="5"/>
  <c r="I20" i="13"/>
  <c r="C75" i="11"/>
  <c r="J9" i="11"/>
  <c r="D128" i="4"/>
  <c r="C38" i="12"/>
  <c r="I43" i="11"/>
  <c r="E73" i="4"/>
  <c r="I27" i="12"/>
  <c r="F38" i="11"/>
  <c r="G66" i="4"/>
  <c r="L26" i="12"/>
  <c r="J62" i="12"/>
  <c r="G8" i="12"/>
  <c r="H46" i="12"/>
  <c r="B50" i="11"/>
  <c r="E15" i="11"/>
  <c r="B81" i="5"/>
  <c r="H11" i="12"/>
  <c r="J11" i="11"/>
  <c r="G9" i="5"/>
  <c r="D82" i="11"/>
  <c r="G126" i="4"/>
  <c r="F17" i="11"/>
  <c r="G75" i="11"/>
  <c r="D28" i="13"/>
  <c r="I71" i="11"/>
  <c r="C27" i="11"/>
  <c r="D12" i="4"/>
  <c r="D43" i="12"/>
  <c r="D116" i="4"/>
  <c r="G11" i="11"/>
  <c r="I12" i="11"/>
  <c r="D39" i="11"/>
  <c r="G78" i="12"/>
  <c r="E12" i="4"/>
  <c r="C82" i="11"/>
  <c r="I37" i="11"/>
  <c r="D66" i="4"/>
  <c r="C60" i="12"/>
  <c r="J71" i="12"/>
  <c r="G65" i="11"/>
  <c r="B49" i="12"/>
  <c r="J56" i="12"/>
  <c r="I13" i="1"/>
  <c r="D17" i="12"/>
  <c r="L32" i="11"/>
  <c r="F30" i="11"/>
  <c r="E79" i="4"/>
  <c r="G28" i="4"/>
  <c r="C77" i="4"/>
  <c r="B34" i="8"/>
  <c r="B88" i="7"/>
  <c r="C18" i="6"/>
  <c r="B55" i="3"/>
  <c r="H68" i="1"/>
  <c r="E12" i="3"/>
  <c r="C40" i="1"/>
  <c r="B67" i="1"/>
  <c r="F27" i="6"/>
  <c r="D125" i="4"/>
  <c r="C32" i="4"/>
  <c r="C51" i="4"/>
  <c r="G129" i="4"/>
  <c r="D36" i="13"/>
  <c r="E107" i="4"/>
  <c r="C58" i="4"/>
  <c r="F7" i="1"/>
  <c r="E3" i="1"/>
  <c r="C90" i="5"/>
  <c r="C18" i="5"/>
  <c r="E60" i="12"/>
  <c r="H81" i="1"/>
  <c r="F38" i="4"/>
  <c r="F107" i="4"/>
  <c r="F87" i="4"/>
  <c r="H59" i="12"/>
  <c r="F84" i="4"/>
  <c r="N12" i="3"/>
  <c r="G11" i="5"/>
  <c r="E56" i="4"/>
  <c r="C114" i="4"/>
  <c r="F25" i="5"/>
  <c r="C30" i="12"/>
  <c r="E114" i="4"/>
  <c r="D41" i="12"/>
  <c r="F56" i="4"/>
  <c r="D24" i="13"/>
  <c r="E88" i="4"/>
  <c r="C5" i="5"/>
  <c r="E61" i="4"/>
  <c r="F28" i="13"/>
  <c r="E19" i="12"/>
  <c r="F5" i="8"/>
  <c r="E78" i="12"/>
  <c r="F88" i="4"/>
  <c r="G5" i="5"/>
  <c r="G11" i="1"/>
  <c r="B51" i="5"/>
  <c r="D109" i="4"/>
  <c r="C17" i="5"/>
  <c r="G32" i="12"/>
  <c r="D65" i="5"/>
  <c r="C31" i="5"/>
  <c r="C72" i="11"/>
  <c r="G21" i="11"/>
  <c r="C10" i="5"/>
  <c r="E71" i="11"/>
  <c r="D135" i="4"/>
  <c r="H25" i="12"/>
  <c r="D19" i="11"/>
  <c r="F35" i="1"/>
  <c r="G57" i="4"/>
  <c r="I71" i="12"/>
  <c r="F56" i="11"/>
  <c r="B12" i="12"/>
  <c r="I66" i="12"/>
  <c r="H55" i="11"/>
  <c r="C128" i="4"/>
  <c r="B38" i="12"/>
  <c r="D44" i="11"/>
  <c r="F118" i="4"/>
  <c r="L33" i="12"/>
  <c r="J72" i="12"/>
  <c r="C13" i="12"/>
  <c r="F48" i="12"/>
  <c r="I55" i="11"/>
  <c r="C18" i="11"/>
  <c r="B101" i="5"/>
  <c r="B13" i="12"/>
  <c r="H18" i="11"/>
  <c r="D29" i="5"/>
  <c r="E6" i="12"/>
  <c r="J15" i="11"/>
  <c r="I9" i="7"/>
  <c r="F103" i="4"/>
  <c r="F43" i="4"/>
  <c r="D25" i="6"/>
  <c r="E66" i="1"/>
  <c r="F13" i="1"/>
  <c r="C29" i="4"/>
  <c r="D10" i="4"/>
  <c r="D26" i="4"/>
  <c r="F31" i="11"/>
  <c r="F29" i="11"/>
  <c r="F37" i="11"/>
  <c r="B75" i="11"/>
  <c r="G66" i="11"/>
  <c r="G72" i="4"/>
  <c r="J31" i="12"/>
  <c r="F8" i="11"/>
  <c r="E79" i="11"/>
  <c r="D82" i="12"/>
  <c r="E70" i="11"/>
  <c r="H58" i="12"/>
  <c r="C43" i="5"/>
  <c r="F19" i="11"/>
  <c r="G55" i="12"/>
  <c r="C12" i="1"/>
  <c r="B47" i="11"/>
  <c r="I47" i="11"/>
  <c r="F25" i="12"/>
  <c r="D64" i="1"/>
  <c r="D46" i="11"/>
  <c r="D18" i="12"/>
  <c r="E33" i="12"/>
  <c r="D44" i="12"/>
  <c r="I11" i="11"/>
  <c r="F13" i="12"/>
  <c r="D6" i="11"/>
  <c r="E6" i="11"/>
  <c r="F27" i="4"/>
  <c r="E111" i="4"/>
  <c r="D35" i="13"/>
  <c r="H65" i="11"/>
  <c r="C77" i="5"/>
  <c r="I66" i="11"/>
  <c r="C30" i="11"/>
  <c r="D61" i="4"/>
  <c r="I40" i="1"/>
  <c r="B15" i="12"/>
  <c r="J24" i="1"/>
  <c r="C48" i="11"/>
  <c r="H13" i="12"/>
  <c r="F31" i="12"/>
  <c r="C9" i="11"/>
  <c r="D50" i="12"/>
  <c r="H11" i="11"/>
  <c r="E48" i="6"/>
  <c r="D7" i="4"/>
  <c r="E110" i="4"/>
  <c r="D28" i="4"/>
  <c r="F44" i="13"/>
  <c r="D8" i="3"/>
  <c r="E74" i="12"/>
  <c r="C86" i="4"/>
  <c r="C74" i="12"/>
  <c r="J79" i="11"/>
  <c r="J25" i="11"/>
  <c r="C18" i="4"/>
  <c r="D26" i="11"/>
  <c r="B64" i="11"/>
  <c r="G57" i="11"/>
  <c r="I24" i="13"/>
  <c r="C70" i="11"/>
  <c r="C85" i="4"/>
  <c r="G32" i="11"/>
  <c r="F22" i="12"/>
  <c r="E34" i="4"/>
  <c r="E9" i="1"/>
  <c r="D39" i="12"/>
  <c r="J19" i="11"/>
  <c r="F6" i="12"/>
  <c r="G24" i="13"/>
  <c r="E19" i="4"/>
  <c r="J40" i="11"/>
  <c r="I65" i="11"/>
  <c r="F60" i="5"/>
  <c r="D66" i="11"/>
  <c r="F100" i="4"/>
  <c r="E26" i="12"/>
  <c r="C76" i="11"/>
  <c r="G33" i="4"/>
  <c r="J22" i="12"/>
  <c r="H86" i="12"/>
  <c r="G37" i="12"/>
  <c r="E87" i="4"/>
  <c r="C82" i="12"/>
  <c r="C57" i="12"/>
  <c r="L43" i="11"/>
  <c r="F18" i="12"/>
  <c r="F74" i="12"/>
  <c r="J76" i="12"/>
  <c r="G58" i="11"/>
  <c r="H32" i="11"/>
  <c r="H40" i="11"/>
  <c r="B107" i="5"/>
  <c r="G13" i="12"/>
  <c r="C37" i="11"/>
  <c r="D6" i="1"/>
  <c r="C59" i="12"/>
  <c r="D17" i="11"/>
  <c r="G60" i="11"/>
  <c r="D12" i="11"/>
  <c r="F38" i="12"/>
  <c r="I22" i="12"/>
  <c r="C65" i="12"/>
  <c r="C88" i="5"/>
  <c r="D31" i="12"/>
  <c r="L9" i="12"/>
  <c r="I27" i="11"/>
  <c r="C49" i="11"/>
  <c r="C21" i="11"/>
  <c r="H29" i="13"/>
  <c r="F71" i="12"/>
  <c r="G59" i="11"/>
  <c r="D56" i="12"/>
  <c r="I69" i="11"/>
  <c r="C15" i="11"/>
  <c r="C97" i="5"/>
  <c r="L22" i="12"/>
  <c r="J59" i="12"/>
  <c r="L33" i="11"/>
  <c r="E39" i="12"/>
  <c r="D47" i="12"/>
  <c r="I24" i="11"/>
  <c r="I17" i="11"/>
  <c r="L7" i="12"/>
  <c r="F11" i="12"/>
  <c r="G31" i="13"/>
  <c r="H15" i="11"/>
  <c r="J65" i="12"/>
  <c r="E57" i="11"/>
  <c r="G17" i="4"/>
  <c r="I64" i="12"/>
  <c r="I82" i="1"/>
  <c r="E29" i="4"/>
  <c r="F49" i="4"/>
  <c r="D69" i="4"/>
  <c r="F45" i="4"/>
  <c r="F18" i="4"/>
  <c r="B76" i="1"/>
  <c r="D40" i="13"/>
  <c r="J47" i="11"/>
  <c r="E59" i="11"/>
  <c r="I31" i="12"/>
  <c r="B77" i="1"/>
  <c r="C8" i="12"/>
  <c r="B56" i="11"/>
  <c r="D50" i="11"/>
  <c r="G12" i="12"/>
  <c r="C55" i="11"/>
  <c r="B92" i="5"/>
  <c r="H13" i="11"/>
  <c r="J82" i="11"/>
  <c r="C7" i="5"/>
  <c r="I36" i="13"/>
  <c r="G19" i="12"/>
  <c r="B58" i="11"/>
  <c r="H66" i="11"/>
  <c r="F59" i="12"/>
  <c r="H67" i="1"/>
  <c r="F21" i="11"/>
  <c r="I60" i="11"/>
  <c r="F22" i="5"/>
  <c r="I32" i="12"/>
  <c r="D51" i="4"/>
  <c r="G70" i="11"/>
  <c r="C71" i="11"/>
  <c r="F8" i="4"/>
  <c r="G16" i="4"/>
  <c r="J8" i="11"/>
  <c r="G44" i="11"/>
  <c r="C94" i="5"/>
  <c r="I38" i="12"/>
  <c r="H30" i="12"/>
  <c r="I44" i="12"/>
  <c r="F78" i="11"/>
  <c r="B27" i="11"/>
  <c r="G37" i="11"/>
  <c r="E31" i="4"/>
  <c r="C43" i="11"/>
  <c r="B21" i="12"/>
  <c r="C23" i="5"/>
  <c r="F75" i="11"/>
  <c r="G30" i="11"/>
  <c r="F28" i="4"/>
  <c r="J47" i="12"/>
  <c r="F17" i="12"/>
  <c r="L26" i="11"/>
  <c r="B39" i="1"/>
  <c r="C46" i="11"/>
  <c r="I22" i="11"/>
  <c r="H27" i="12"/>
  <c r="H79" i="11"/>
  <c r="B104" i="5"/>
  <c r="F41" i="1"/>
  <c r="L12" i="11"/>
  <c r="B32" i="12"/>
  <c r="I32" i="11"/>
  <c r="F64" i="12"/>
  <c r="G22" i="12"/>
  <c r="B24" i="11"/>
  <c r="H39" i="12"/>
  <c r="E50" i="11"/>
  <c r="G9" i="11"/>
  <c r="I13" i="13"/>
  <c r="C6" i="12"/>
  <c r="E59" i="5"/>
  <c r="F130" i="4"/>
  <c r="C17" i="11"/>
  <c r="B26" i="11"/>
  <c r="B33" i="5"/>
  <c r="C54" i="4"/>
  <c r="C50" i="12"/>
  <c r="F72" i="11"/>
  <c r="B76" i="11"/>
  <c r="L39" i="11"/>
  <c r="G24" i="11"/>
  <c r="L18" i="11"/>
  <c r="G15" i="11"/>
  <c r="H33" i="12"/>
  <c r="F19" i="13"/>
  <c r="H59" i="1"/>
  <c r="C93" i="4"/>
  <c r="E15" i="12"/>
  <c r="C55" i="4"/>
  <c r="C47" i="11"/>
  <c r="G18" i="12"/>
  <c r="D27" i="12"/>
  <c r="F55" i="12"/>
  <c r="G47" i="12"/>
  <c r="E12" i="12"/>
  <c r="C100" i="4"/>
  <c r="H29" i="11"/>
  <c r="D25" i="11"/>
  <c r="E3" i="12"/>
  <c r="I7" i="11"/>
  <c r="H37" i="13"/>
  <c r="F29" i="13"/>
  <c r="E17" i="11"/>
  <c r="D64" i="11"/>
  <c r="E33" i="11"/>
  <c r="B41" i="6"/>
  <c r="F46" i="11"/>
  <c r="I41" i="11"/>
  <c r="G53" i="4"/>
  <c r="D7" i="11"/>
  <c r="F59" i="11"/>
  <c r="H45" i="13"/>
  <c r="F13" i="11"/>
  <c r="B8" i="12"/>
  <c r="C49" i="5"/>
  <c r="G82" i="11"/>
  <c r="D26" i="12"/>
  <c r="J57" i="11"/>
  <c r="B29" i="11"/>
  <c r="B98" i="5"/>
  <c r="I79" i="11"/>
  <c r="E55" i="4"/>
  <c r="F50" i="12"/>
  <c r="D72" i="11"/>
  <c r="C58" i="11"/>
  <c r="L22" i="11"/>
  <c r="E118" i="4"/>
  <c r="F9" i="11"/>
  <c r="D70" i="5"/>
  <c r="I40" i="11"/>
  <c r="J38" i="11"/>
  <c r="F94" i="4"/>
  <c r="F39" i="4"/>
  <c r="L47" i="11"/>
  <c r="J26" i="12"/>
  <c r="F41" i="4"/>
  <c r="I74" i="11"/>
  <c r="C25" i="4"/>
  <c r="G30" i="12"/>
  <c r="G39" i="11"/>
  <c r="B47" i="12"/>
  <c r="G79" i="11"/>
  <c r="B27" i="6"/>
  <c r="H13" i="1"/>
  <c r="E115" i="4"/>
  <c r="C48" i="5"/>
  <c r="G75" i="4"/>
  <c r="F99" i="4"/>
  <c r="D70" i="12"/>
  <c r="D107" i="4"/>
  <c r="G59" i="4"/>
  <c r="E18" i="12"/>
  <c r="F74" i="4"/>
  <c r="I26" i="11"/>
  <c r="C22" i="4"/>
  <c r="D41" i="11"/>
  <c r="I14" i="3"/>
  <c r="B65" i="1"/>
  <c r="E13" i="1"/>
  <c r="F40" i="11"/>
  <c r="G36" i="13"/>
  <c r="H71" i="11"/>
  <c r="J71" i="11"/>
  <c r="I79" i="12"/>
  <c r="E92" i="4"/>
  <c r="J7" i="12"/>
  <c r="E30" i="3"/>
  <c r="H57" i="11"/>
  <c r="I40" i="12"/>
  <c r="I78" i="11"/>
  <c r="G89" i="4"/>
  <c r="L41" i="11"/>
  <c r="C72" i="12"/>
  <c r="H26" i="12"/>
  <c r="F43" i="11"/>
  <c r="C56" i="11"/>
  <c r="F22" i="13"/>
  <c r="C38" i="4"/>
  <c r="D53" i="5"/>
  <c r="J78" i="11"/>
  <c r="I57" i="11"/>
  <c r="C44" i="11"/>
  <c r="E47" i="11"/>
  <c r="J18" i="11"/>
  <c r="F62" i="11"/>
  <c r="G7" i="11"/>
  <c r="D80" i="11"/>
  <c r="B90" i="5"/>
  <c r="H74" i="11"/>
  <c r="G64" i="11"/>
  <c r="D14" i="13"/>
  <c r="F70" i="11"/>
  <c r="L25" i="11"/>
  <c r="C106" i="5"/>
  <c r="F40" i="12"/>
  <c r="G30" i="13"/>
  <c r="J6" i="11"/>
  <c r="I47" i="13"/>
  <c r="G24" i="12"/>
  <c r="F13" i="4"/>
  <c r="J6" i="12"/>
  <c r="B32" i="5"/>
  <c r="C24" i="4"/>
  <c r="B47" i="5"/>
  <c r="C20" i="1"/>
  <c r="E13" i="11"/>
  <c r="G27" i="11"/>
  <c r="J18" i="12"/>
  <c r="B66" i="11"/>
  <c r="C133" i="4"/>
  <c r="B30" i="12"/>
  <c r="I44" i="11"/>
  <c r="E3" i="11"/>
  <c r="C78" i="12"/>
  <c r="B60" i="11"/>
  <c r="H47" i="12"/>
  <c r="J55" i="12"/>
  <c r="D25" i="12"/>
  <c r="G60" i="5"/>
  <c r="I75" i="12"/>
  <c r="F75" i="4"/>
  <c r="H9" i="11"/>
  <c r="F57" i="11"/>
  <c r="E123" i="4"/>
  <c r="I38" i="11"/>
  <c r="C6" i="1"/>
  <c r="C15" i="5"/>
  <c r="C79" i="11"/>
  <c r="H38" i="12"/>
  <c r="J39" i="12"/>
  <c r="E8" i="11"/>
  <c r="B38" i="5"/>
  <c r="G64" i="4"/>
  <c r="C13" i="3"/>
  <c r="C47" i="12"/>
  <c r="F84" i="1"/>
  <c r="F17" i="3"/>
  <c r="G58" i="4"/>
  <c r="L41" i="12"/>
  <c r="F65" i="12"/>
  <c r="J66" i="12"/>
  <c r="G17" i="11"/>
  <c r="D25" i="5"/>
  <c r="F12" i="11"/>
  <c r="E27" i="4"/>
  <c r="I72" i="12"/>
  <c r="D60" i="11"/>
  <c r="B33" i="12"/>
  <c r="E72" i="11"/>
  <c r="D58" i="12"/>
  <c r="E25" i="12"/>
  <c r="E26" i="11"/>
  <c r="I6" i="12"/>
  <c r="J72" i="11"/>
  <c r="H84" i="1"/>
  <c r="L30" i="11"/>
  <c r="B72" i="11"/>
  <c r="J30" i="12"/>
  <c r="F6" i="11"/>
  <c r="H63" i="11"/>
  <c r="D74" i="12"/>
  <c r="C25" i="11"/>
  <c r="G13" i="11"/>
  <c r="F48" i="11"/>
  <c r="C56" i="12"/>
  <c r="G56" i="4"/>
  <c r="F58" i="12"/>
  <c r="G33" i="11"/>
  <c r="C58" i="12"/>
  <c r="G56" i="11"/>
  <c r="B24" i="1"/>
  <c r="D22" i="12"/>
  <c r="B22" i="11"/>
  <c r="C27" i="5"/>
  <c r="I40" i="13"/>
  <c r="J12" i="11"/>
  <c r="D70" i="11"/>
  <c r="E22" i="12"/>
  <c r="F69" i="12"/>
  <c r="G74" i="11"/>
  <c r="D43" i="4"/>
  <c r="D67" i="5"/>
  <c r="I44" i="13"/>
  <c r="C51" i="5"/>
  <c r="F66" i="12"/>
  <c r="I19" i="11"/>
  <c r="B49" i="11"/>
  <c r="G101" i="4"/>
  <c r="D40" i="12"/>
  <c r="B44" i="5"/>
  <c r="J86" i="7"/>
  <c r="B33" i="1"/>
  <c r="G19" i="13"/>
  <c r="G28" i="13"/>
  <c r="H55" i="12"/>
  <c r="I18" i="13"/>
  <c r="G54" i="4"/>
  <c r="H40" i="12"/>
  <c r="D27" i="13"/>
  <c r="G59" i="12"/>
  <c r="G38" i="12"/>
  <c r="F22" i="4"/>
  <c r="F80" i="4"/>
  <c r="F15" i="13"/>
  <c r="G72" i="12"/>
  <c r="C53" i="4"/>
  <c r="C79" i="12"/>
  <c r="C6" i="11"/>
  <c r="E30" i="12"/>
  <c r="C41" i="4"/>
  <c r="J31" i="11"/>
  <c r="H21" i="12"/>
  <c r="E72" i="1"/>
  <c r="F44" i="11"/>
  <c r="E29" i="5"/>
  <c r="D11" i="12"/>
  <c r="D76" i="11"/>
  <c r="I41" i="12"/>
  <c r="C46" i="12"/>
  <c r="E12" i="11"/>
  <c r="H17" i="12"/>
  <c r="L9" i="11"/>
  <c r="G113" i="4"/>
  <c r="I74" i="12"/>
  <c r="L21" i="11"/>
  <c r="L32" i="12"/>
  <c r="G64" i="12"/>
  <c r="J59" i="11"/>
  <c r="C12" i="11"/>
  <c r="H31" i="11"/>
  <c r="C19" i="11"/>
  <c r="I25" i="11"/>
  <c r="H46" i="13"/>
  <c r="G43" i="11"/>
  <c r="C109" i="4"/>
  <c r="F7" i="4"/>
  <c r="B85" i="12"/>
  <c r="J27" i="12"/>
  <c r="H30" i="11"/>
  <c r="F41" i="12"/>
  <c r="F64" i="11"/>
  <c r="C11" i="11"/>
  <c r="C46" i="5"/>
  <c r="J8" i="12"/>
  <c r="E18" i="11"/>
  <c r="L23" i="1"/>
  <c r="I46" i="12"/>
  <c r="G40" i="11"/>
  <c r="B62" i="11"/>
  <c r="E29" i="11"/>
  <c r="E61" i="1"/>
  <c r="F37" i="5"/>
  <c r="I63" i="12"/>
  <c r="J86" i="12"/>
  <c r="B95" i="5"/>
  <c r="C11" i="12"/>
  <c r="I62" i="11"/>
  <c r="C109" i="5"/>
  <c r="C56" i="4"/>
  <c r="G7" i="12"/>
  <c r="C40" i="11"/>
  <c r="F89" i="4"/>
  <c r="C66" i="12"/>
  <c r="B84" i="5"/>
  <c r="I8" i="12"/>
  <c r="E9" i="11"/>
  <c r="J11" i="12"/>
  <c r="E73" i="13" l="1"/>
  <c r="E66" i="13"/>
  <c r="F66" i="13"/>
  <c r="E65" i="13"/>
  <c r="I66" i="13"/>
  <c r="H66" i="13"/>
  <c r="G66" i="13"/>
  <c r="F71" i="13"/>
  <c r="E70" i="13"/>
  <c r="E75" i="13" s="1"/>
  <c r="E71" i="13"/>
  <c r="G71" i="13"/>
  <c r="I71" i="13"/>
  <c r="H71" i="13"/>
  <c r="I69" i="13"/>
  <c r="H69" i="13"/>
  <c r="G69" i="13"/>
  <c r="F69" i="13"/>
  <c r="E69" i="13"/>
  <c r="E68" i="13"/>
  <c r="L57" i="13" s="1"/>
  <c r="E63" i="13"/>
  <c r="E62" i="13"/>
  <c r="E61" i="13"/>
  <c r="E60" i="13"/>
  <c r="G50" i="13"/>
  <c r="I50" i="13"/>
  <c r="H50" i="13"/>
  <c r="E53" i="13"/>
  <c r="E59" i="13"/>
  <c r="E57" i="13"/>
  <c r="E56" i="13"/>
  <c r="E55" i="13"/>
  <c r="E51" i="13"/>
  <c r="E52" i="13"/>
  <c r="E22" i="13"/>
  <c r="E35" i="13"/>
  <c r="E36" i="13"/>
  <c r="E50" i="13" s="1"/>
  <c r="F50" i="13" s="1"/>
  <c r="E15" i="13"/>
  <c r="E29" i="13"/>
  <c r="E16" i="13"/>
  <c r="E30" i="13"/>
  <c r="E28" i="13"/>
  <c r="E34" i="13"/>
  <c r="E13" i="13"/>
  <c r="E20" i="13"/>
  <c r="E27" i="13"/>
  <c r="E33" i="13"/>
  <c r="E19" i="13"/>
  <c r="E32" i="13"/>
  <c r="E40" i="13"/>
  <c r="E43" i="13"/>
  <c r="E44" i="13"/>
  <c r="E45" i="13"/>
  <c r="E46" i="13"/>
  <c r="E47" i="13"/>
  <c r="E18" i="13"/>
  <c r="E24" i="13"/>
  <c r="E31" i="13"/>
  <c r="E37" i="13"/>
  <c r="H79" i="7"/>
  <c r="F95" i="7"/>
  <c r="E36" i="7"/>
  <c r="C64" i="7"/>
  <c r="G53" i="7"/>
  <c r="H102" i="7"/>
  <c r="G96" i="7"/>
  <c r="G41" i="7"/>
  <c r="C97" i="7"/>
  <c r="D102" i="7"/>
  <c r="C74" i="7"/>
  <c r="I107" i="7"/>
  <c r="D62" i="7"/>
  <c r="J49" i="7"/>
  <c r="C68" i="7"/>
  <c r="D76" i="7"/>
  <c r="H95" i="7"/>
  <c r="E98" i="7"/>
  <c r="F106" i="7"/>
  <c r="I106" i="7"/>
  <c r="I47" i="7"/>
  <c r="G49" i="7"/>
  <c r="E95" i="7"/>
  <c r="G106" i="7"/>
  <c r="F21" i="13"/>
  <c r="I95" i="7"/>
  <c r="G89" i="7"/>
  <c r="G97" i="7"/>
  <c r="F107" i="7"/>
  <c r="H108" i="7"/>
  <c r="E33" i="7"/>
  <c r="I36" i="7"/>
  <c r="E38" i="7"/>
  <c r="C75" i="7"/>
  <c r="B43" i="7"/>
  <c r="F49" i="7"/>
  <c r="B62" i="7"/>
  <c r="C96" i="7"/>
  <c r="F76" i="7"/>
  <c r="E80" i="7"/>
  <c r="F31" i="6"/>
  <c r="I70" i="7"/>
  <c r="E87" i="7"/>
  <c r="J76" i="7"/>
  <c r="B95" i="7"/>
  <c r="H69" i="7"/>
  <c r="G92" i="7"/>
  <c r="G70" i="7"/>
  <c r="J42" i="7"/>
  <c r="D92" i="7"/>
  <c r="H49" i="7"/>
  <c r="G44" i="7"/>
  <c r="B107" i="7"/>
  <c r="G52" i="7"/>
  <c r="E97" i="7"/>
  <c r="E64" i="7"/>
  <c r="H70" i="7"/>
  <c r="I81" i="7"/>
  <c r="G34" i="7"/>
  <c r="B96" i="7"/>
  <c r="D33" i="6"/>
  <c r="G62" i="7"/>
  <c r="G107" i="7"/>
  <c r="H103" i="7"/>
  <c r="I101" i="7"/>
  <c r="B103" i="7"/>
  <c r="D47" i="7"/>
  <c r="B108" i="7"/>
  <c r="C103" i="7"/>
  <c r="J95" i="7"/>
  <c r="I33" i="7"/>
  <c r="F96" i="7"/>
  <c r="H92" i="7"/>
  <c r="J96" i="7"/>
  <c r="F38" i="7"/>
  <c r="D49" i="7"/>
  <c r="D80" i="7"/>
  <c r="J106" i="7"/>
  <c r="E65" i="7"/>
  <c r="H107" i="7"/>
  <c r="B42" i="7"/>
  <c r="I61" i="7"/>
  <c r="E31" i="6"/>
  <c r="F30" i="6"/>
  <c r="G21" i="13"/>
  <c r="D34" i="7"/>
  <c r="E103" i="7"/>
  <c r="K30" i="6"/>
  <c r="I34" i="7"/>
  <c r="H47" i="7"/>
  <c r="G43" i="7"/>
  <c r="C92" i="7"/>
  <c r="F108" i="7"/>
  <c r="D32" i="6"/>
  <c r="B41" i="7"/>
  <c r="Q30" i="6"/>
  <c r="I75" i="7"/>
  <c r="F97" i="7"/>
  <c r="D106" i="7"/>
  <c r="D43" i="7"/>
  <c r="C95" i="7"/>
  <c r="D60" i="7"/>
  <c r="E68" i="7"/>
  <c r="G65" i="7"/>
  <c r="I64" i="7"/>
  <c r="F53" i="7"/>
  <c r="I96" i="7"/>
  <c r="J91" i="7"/>
  <c r="I68" i="7"/>
  <c r="K38" i="7"/>
  <c r="I74" i="7"/>
  <c r="D103" i="7"/>
  <c r="C49" i="7"/>
  <c r="H106" i="7"/>
  <c r="I42" i="7"/>
  <c r="H87" i="7"/>
  <c r="B64" i="7"/>
  <c r="K33" i="7"/>
  <c r="H33" i="7"/>
  <c r="B65" i="7"/>
  <c r="J48" i="7"/>
  <c r="E69" i="7"/>
  <c r="J70" i="7"/>
  <c r="C70" i="7"/>
  <c r="E81" i="7"/>
  <c r="J52" i="7"/>
  <c r="P30" i="6"/>
  <c r="J65" i="7"/>
  <c r="H80" i="7"/>
  <c r="O30" i="6"/>
  <c r="B91" i="7"/>
  <c r="D70" i="7"/>
  <c r="J71" i="7"/>
  <c r="G34" i="6"/>
  <c r="D88" i="7"/>
  <c r="D97" i="7"/>
  <c r="G80" i="7"/>
  <c r="B70" i="7"/>
  <c r="H21" i="13"/>
  <c r="C42" i="7"/>
  <c r="F88" i="7"/>
  <c r="E76" i="7"/>
  <c r="F81" i="7"/>
  <c r="F41" i="7"/>
  <c r="B76" i="7"/>
  <c r="F37" i="7"/>
  <c r="E37" i="7"/>
  <c r="G88" i="7"/>
  <c r="B89" i="7"/>
  <c r="D38" i="7"/>
  <c r="I60" i="7"/>
  <c r="J37" i="7"/>
  <c r="G76" i="7"/>
  <c r="C47" i="7"/>
  <c r="H61" i="7"/>
  <c r="J108" i="7"/>
  <c r="D36" i="7"/>
  <c r="H96" i="7"/>
  <c r="H68" i="7"/>
  <c r="D68" i="7"/>
  <c r="C32" i="6"/>
  <c r="B53" i="7"/>
  <c r="D34" i="6"/>
  <c r="E49" i="7"/>
  <c r="H75" i="7"/>
  <c r="E92" i="7"/>
  <c r="C33" i="7"/>
  <c r="C101" i="7"/>
  <c r="H101" i="7"/>
  <c r="C37" i="7"/>
  <c r="D107" i="7"/>
  <c r="J41" i="7"/>
  <c r="B80" i="7"/>
  <c r="F98" i="7"/>
  <c r="F48" i="7"/>
  <c r="C108" i="7"/>
  <c r="C33" i="6"/>
  <c r="I91" i="7"/>
  <c r="K60" i="7"/>
  <c r="K65" i="7"/>
  <c r="H53" i="7"/>
  <c r="D53" i="7"/>
  <c r="J60" i="7"/>
  <c r="N30" i="6"/>
  <c r="E108" i="7"/>
  <c r="H41" i="7"/>
  <c r="D75" i="7"/>
  <c r="J103" i="7"/>
  <c r="B44" i="7"/>
  <c r="H42" i="7"/>
  <c r="I62" i="7"/>
  <c r="J54" i="7"/>
  <c r="L30" i="6"/>
  <c r="F64" i="7"/>
  <c r="H65" i="7"/>
  <c r="F103" i="7"/>
  <c r="E42" i="7"/>
  <c r="J80" i="7"/>
  <c r="D65" i="7"/>
  <c r="B74" i="7"/>
  <c r="D96" i="7"/>
  <c r="C106" i="7"/>
  <c r="C52" i="7"/>
  <c r="F32" i="6"/>
  <c r="C34" i="7"/>
  <c r="I103" i="7"/>
  <c r="D33" i="7"/>
  <c r="E48" i="7"/>
  <c r="G47" i="7"/>
  <c r="H91" i="7"/>
  <c r="E47" i="7"/>
  <c r="J34" i="7"/>
  <c r="J88" i="7"/>
  <c r="D71" i="7"/>
  <c r="C107" i="7"/>
  <c r="D98" i="7"/>
  <c r="C98" i="7"/>
  <c r="G36" i="7"/>
  <c r="E41" i="7"/>
  <c r="D81" i="7"/>
  <c r="G102" i="7"/>
  <c r="F89" i="7"/>
  <c r="I89" i="7"/>
  <c r="F34" i="7"/>
  <c r="I80" i="7"/>
  <c r="E106" i="7"/>
  <c r="E96" i="7"/>
  <c r="M30" i="6"/>
  <c r="J89" i="7"/>
  <c r="H76" i="7"/>
  <c r="J61" i="7"/>
  <c r="D95" i="7"/>
  <c r="D41" i="7"/>
  <c r="D42" i="7"/>
  <c r="D30" i="6"/>
  <c r="J38" i="7"/>
  <c r="B52" i="7"/>
  <c r="C87" i="7"/>
  <c r="H88" i="7"/>
  <c r="G60" i="7"/>
  <c r="G33" i="7"/>
  <c r="B36" i="7"/>
  <c r="C54" i="7"/>
  <c r="C38" i="7"/>
  <c r="G38" i="7"/>
  <c r="C65" i="7"/>
  <c r="B87" i="7"/>
  <c r="G30" i="6"/>
  <c r="C88" i="7"/>
  <c r="B92" i="7"/>
  <c r="J36" i="7"/>
  <c r="H62" i="7"/>
  <c r="H97" i="7"/>
  <c r="H98" i="7"/>
  <c r="C76" i="7"/>
  <c r="F43" i="7"/>
  <c r="C102" i="7"/>
  <c r="I65" i="7"/>
  <c r="H64" i="7"/>
  <c r="C60" i="7"/>
  <c r="C61" i="7"/>
  <c r="D54" i="7"/>
  <c r="D64" i="7"/>
  <c r="B61" i="7"/>
  <c r="B102" i="7"/>
  <c r="F80" i="7"/>
  <c r="J98" i="7"/>
  <c r="F60" i="7"/>
  <c r="G68" i="7"/>
  <c r="C34" i="6"/>
  <c r="I108" i="7"/>
  <c r="I37" i="7"/>
  <c r="F71" i="7"/>
  <c r="H36" i="7"/>
  <c r="C80" i="7"/>
  <c r="I102" i="7"/>
  <c r="E70" i="7"/>
  <c r="F36" i="7"/>
  <c r="I92" i="7"/>
  <c r="B60" i="7"/>
  <c r="J43" i="7"/>
  <c r="I88" i="7"/>
  <c r="J44" i="7"/>
  <c r="E32" i="6"/>
  <c r="J101" i="7"/>
  <c r="I30" i="6"/>
  <c r="J81" i="7"/>
  <c r="C36" i="7"/>
  <c r="E43" i="7"/>
  <c r="C53" i="7"/>
  <c r="B38" i="7"/>
  <c r="I41" i="7"/>
  <c r="E107" i="7"/>
  <c r="F68" i="7"/>
  <c r="D37" i="7"/>
  <c r="I76" i="7"/>
  <c r="I21" i="13"/>
  <c r="C81" i="7"/>
  <c r="E60" i="7"/>
  <c r="I71" i="7"/>
  <c r="F62" i="7"/>
  <c r="E53" i="7"/>
  <c r="G87" i="7"/>
  <c r="C30" i="6"/>
  <c r="G42" i="7"/>
  <c r="B101" i="7"/>
  <c r="E102" i="7"/>
  <c r="I38" i="7"/>
  <c r="C62" i="7"/>
  <c r="D52" i="7"/>
  <c r="C43" i="7"/>
  <c r="E30" i="6"/>
  <c r="B68" i="7"/>
  <c r="I49" i="7"/>
  <c r="B75" i="7"/>
  <c r="I98" i="7"/>
  <c r="B34" i="7"/>
  <c r="B106" i="7"/>
  <c r="E89" i="7"/>
  <c r="D87" i="7"/>
  <c r="J53" i="7"/>
  <c r="H74" i="7"/>
  <c r="F34" i="6"/>
  <c r="J68" i="7"/>
  <c r="H52" i="7"/>
  <c r="J74" i="7"/>
  <c r="D108" i="7"/>
  <c r="G64" i="7"/>
  <c r="E34" i="7"/>
  <c r="E34" i="6"/>
  <c r="D89" i="7"/>
  <c r="C71" i="7"/>
  <c r="B54" i="7"/>
  <c r="I97" i="7"/>
  <c r="H89" i="7"/>
  <c r="B49" i="7"/>
  <c r="H35" i="7"/>
  <c r="J87" i="7"/>
  <c r="G74" i="7"/>
  <c r="B33" i="7"/>
  <c r="D44" i="7"/>
  <c r="B98" i="7"/>
  <c r="F74" i="7"/>
  <c r="I87" i="7"/>
  <c r="F70" i="7"/>
  <c r="E71" i="7"/>
  <c r="H34" i="7"/>
  <c r="E88" i="7"/>
  <c r="H43" i="7"/>
  <c r="C44" i="7"/>
  <c r="J47" i="7"/>
  <c r="J33" i="7"/>
  <c r="G33" i="6"/>
  <c r="C89" i="7"/>
  <c r="J30" i="6"/>
  <c r="B97" i="7"/>
  <c r="E33" i="6"/>
  <c r="G54" i="7"/>
  <c r="G75" i="7"/>
  <c r="E35" i="7"/>
  <c r="E62" i="7"/>
  <c r="D74" i="7"/>
  <c r="I52" i="7"/>
  <c r="C91" i="7"/>
  <c r="E52" i="7"/>
  <c r="B47" i="7"/>
  <c r="E80" i="13" l="1"/>
  <c r="E14" i="13"/>
  <c r="E79" i="13"/>
  <c r="E25" i="13"/>
  <c r="E21" i="13"/>
  <c r="E38" i="13" s="1"/>
  <c r="E41" i="13"/>
  <c r="E48"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 van Rijswijk</author>
  </authors>
  <commentList>
    <comment ref="B449" authorId="0" shapeId="0" xr:uid="{00000000-0006-0000-0000-000001000000}">
      <text>
        <r>
          <rPr>
            <sz val="9"/>
            <color indexed="81"/>
            <rFont val="Tahoma"/>
            <family val="2"/>
          </rPr>
          <t>- New data field: Period type Q1-Q8
Indicates where the quarterly period length of the income statement
or cash flow statement is in months (M) or weeks (W).
- New data field: Period type Y1-Y7
Indicates where the annual period length of the income statement
or cash flow statement is in months (M) or weeks (W).</t>
        </r>
      </text>
    </comment>
    <comment ref="B450" authorId="0" shapeId="0" xr:uid="{00000000-0006-0000-0000-000002000000}">
      <text>
        <r>
          <rPr>
            <sz val="9"/>
            <color indexed="81"/>
            <rFont val="Tahoma"/>
            <family val="2"/>
          </rPr>
          <t xml:space="preserve">- New data field: Update type Q1-Q8, Y1-Y7
Data Category: Dates and Periods
A company can submit an original update to their financials, 
a reclassification or a restatement. When updating a company’s
information, Thomson Reuters chooses from one of three update
options:
Normal Update (first letter of update code is U)—the date is 
updated from the original report
Reclassification (first letter of update code is C)—this can occur
when, for instance, the company’s auditors or accounting department
discover that an item such as a cost of revenue or accounts payable
has been classified incorrectly. Reclassifications will generally
change the breakdown within the major number, but leave “bottom
line” numbers, such as Net Income, Total Assets, etc., unchanged.
Restatement (first letter of the update code is R)—this can occur
when, for instance, when a company sells a division or a business
(which would be accounted for as discontinued operations); a change
in the company’s accounting policies; there were errors in the
reporting procedures or in previously reported financials.
Restatements will result in a change in the “bottom line” numbers—
revenues, net income, total assets, etc.
Here are the Update Types reported by Thomson Reuters (the most
common update types are UPD and RES):
CCA—Reclassified Calculated
Financial data for the period is derived as the result of a
reclassification.
CLA—Reclassified Normal
Reclassifying a prior period using the most recent period’s source
document. For example, figures in the 2006 annual income statement
are revised using the data reported for the 2006 period in the 2007
annual income statement.
CSP—Reclassified Special
Reclassifying a prior period, which results in a non-standard period
length.
RCA—Restated Calculated
Financial data for the period is derived as the result of a
restatement.
RES—Restated Normal
Restating a prior period using the most recent period’s source
document. . For example, figures in the 2006 annual income statement
are revised using the data reported for the 2006 period in the 2007
annual income statement.
RSP—Restated Special
Restating a period, which results in a non-standard period length.
UCA—Updated Calculated
Financial data is derived from information in existing reports to
enable an update. For example, if a company has only filed 1st and
3rd quarter statements, the figures for the 2nd quarter can be
derived using the two existing quarterly reports.
UPD—Update Normal
Adding the most recent annual or quarterly data.
USP—Update Special
A company files financial reports that are not of a standard length.
For example, a newly listed company’s first annual report may only
be for 10 months and not the standard 12 months.
</t>
        </r>
      </text>
    </comment>
    <comment ref="B451" authorId="0" shapeId="0" xr:uid="{00000000-0006-0000-0000-000003000000}">
      <text>
        <r>
          <rPr>
            <sz val="9"/>
            <color indexed="81"/>
            <rFont val="Tahoma"/>
            <family val="2"/>
          </rPr>
          <t xml:space="preserve">
The sum of depreciation and amortization expenses as reported on the company cash flow statement.
This addresses missing depreciation and amortization data on the income
statement, since many firms no longer break these items out separately
on the income statement.</t>
        </r>
      </text>
    </comment>
  </commentList>
</comments>
</file>

<file path=xl/sharedStrings.xml><?xml version="1.0" encoding="utf-8"?>
<sst xmlns="http://schemas.openxmlformats.org/spreadsheetml/2006/main" count="2520" uniqueCount="1819">
  <si>
    <t>PcntRankTimesInterestEarned12M</t>
  </si>
  <si>
    <t>PcntRankReceivablesTurnover12M</t>
  </si>
  <si>
    <t>FlashEPSDilutedContinuing</t>
  </si>
  <si>
    <t>FlashGrossOperatingIncome</t>
  </si>
  <si>
    <t>FlashDate</t>
  </si>
  <si>
    <t>FlashSales</t>
  </si>
  <si>
    <t>FlashIncomeForPrimaryEPS</t>
  </si>
  <si>
    <t>FlashPreTaxIncome</t>
  </si>
  <si>
    <t>PricePerGrowthFlow</t>
  </si>
  <si>
    <t>Inve$tWareRelativeValue</t>
  </si>
  <si>
    <t>Inve$tWareEstYield</t>
  </si>
  <si>
    <t>PEtoDivAdjEPSEstGrowth</t>
  </si>
  <si>
    <t>EarningsYield12M</t>
  </si>
  <si>
    <t>FundamentalRuleOfThumb</t>
  </si>
  <si>
    <t>PEHighY_x</t>
  </si>
  <si>
    <t>PELowY_x</t>
  </si>
  <si>
    <t>PERelativeHighAve5Y</t>
  </si>
  <si>
    <t>PERelativeLowAve5Y</t>
  </si>
  <si>
    <t>PERelativeAve5Y</t>
  </si>
  <si>
    <t>PERelativeValuation</t>
  </si>
  <si>
    <t>PERelativeValuationPcntPrice</t>
  </si>
  <si>
    <t>PERelativeAdjPE</t>
  </si>
  <si>
    <t>YieldHighAve7Y</t>
  </si>
  <si>
    <t>PFCFtoFCFGrowth</t>
  </si>
  <si>
    <t>GrossMargin12M</t>
  </si>
  <si>
    <t>OperatingMargin12M</t>
  </si>
  <si>
    <t>TimesInterestEarned12M</t>
  </si>
  <si>
    <t>ReceivablesTurnover12M</t>
  </si>
  <si>
    <t>NetMargin12M</t>
  </si>
  <si>
    <t>PayoutRatio12M</t>
  </si>
  <si>
    <t>ReturnOnAssets12M</t>
  </si>
  <si>
    <t>ReturnOnEquity12M</t>
  </si>
  <si>
    <t>CurrentRatioQ1</t>
  </si>
  <si>
    <t>QuickRatioQ1</t>
  </si>
  <si>
    <t>TotalLiabilitiesAssetsQ1</t>
  </si>
  <si>
    <t>LTDebtTotalCapitalQ1</t>
  </si>
  <si>
    <t>LTDebtEquityQ1</t>
  </si>
  <si>
    <t>InventoryTurnover12M</t>
  </si>
  <si>
    <t>AssetTurnover12M</t>
  </si>
  <si>
    <t>PretaxMargin12M</t>
  </si>
  <si>
    <t>RandDasPcntOfSales12M</t>
  </si>
  <si>
    <t>ReturnOnEquityAve7Y</t>
  </si>
  <si>
    <t>PayoutAve7Y</t>
  </si>
  <si>
    <t>EarningsRetainedToBook</t>
  </si>
  <si>
    <t>FScoreTTM</t>
  </si>
  <si>
    <t>FScoreY1</t>
  </si>
  <si>
    <t>PriceChangevsBVChange</t>
  </si>
  <si>
    <t>Flash - Sales</t>
  </si>
  <si>
    <t>Earnings Retained to Book</t>
  </si>
  <si>
    <t>Fundamental Rule of Thumb</t>
  </si>
  <si>
    <t>IndustryLTDebtWorkingCapQ1</t>
  </si>
  <si>
    <t>SectorLTDebtWorkingCapQ1</t>
  </si>
  <si>
    <t>PcntRankLtDebtWorkingCapital</t>
  </si>
  <si>
    <t>Database (see help file):</t>
  </si>
  <si>
    <t>% Rank Short Interest Ratio</t>
  </si>
  <si>
    <t>Industry Short Interest Ratio</t>
  </si>
  <si>
    <t>Sector Short Interest Ratio</t>
  </si>
  <si>
    <t>IndustryShortInterestRatioM_x</t>
  </si>
  <si>
    <t>SectorShortInterestRatioM_x</t>
  </si>
  <si>
    <t>SectorPriceAsPcntof52WeekHigh</t>
  </si>
  <si>
    <t>Valuation</t>
  </si>
  <si>
    <t>52 Week High</t>
  </si>
  <si>
    <t>52 Week Low</t>
  </si>
  <si>
    <t>Price as % of 52 Week High</t>
  </si>
  <si>
    <t>Current Year</t>
  </si>
  <si>
    <t>Next Year</t>
  </si>
  <si>
    <t>Foll. Year</t>
  </si>
  <si>
    <t>Earnings Estimates</t>
  </si>
  <si>
    <t>Current Year (Y0)</t>
  </si>
  <si>
    <t>Next Year (Y1)</t>
  </si>
  <si>
    <t>Following Year (Y2)</t>
  </si>
  <si>
    <t>Curr Qtr</t>
  </si>
  <si>
    <t>Next Qtr.</t>
  </si>
  <si>
    <t>Current Qtr (Q0)</t>
  </si>
  <si>
    <t>Following Qtr (Q1)</t>
  </si>
  <si>
    <t>IndustryPEHighAve3Y</t>
  </si>
  <si>
    <t>IndustryPELowAve3Y</t>
  </si>
  <si>
    <t>IndustryPEHighAve5Y</t>
  </si>
  <si>
    <t>IndustryPELowAve5Y</t>
  </si>
  <si>
    <t>IndustryPEHighAve7Y</t>
  </si>
  <si>
    <t>IndustryPELowAve7Y</t>
  </si>
  <si>
    <t>SectorPEHighAve7Y</t>
  </si>
  <si>
    <t>SectorPELowAve7Y</t>
  </si>
  <si>
    <t>SectorPEHighAve5Y</t>
  </si>
  <si>
    <t>SectorPELowAve5Y</t>
  </si>
  <si>
    <t>SectorPEHighAve3Y</t>
  </si>
  <si>
    <t>SectorPELowAve3Y</t>
  </si>
  <si>
    <t>PE High - Average</t>
  </si>
  <si>
    <t>PE Low - Average</t>
  </si>
  <si>
    <t>PE to EPS growth 5 Years</t>
  </si>
  <si>
    <t>PE to EPS Est growth 5 Years</t>
  </si>
  <si>
    <t>PE to Div Adj EPS growth 5 Years</t>
  </si>
  <si>
    <t>PE using Avg EPS 3 Years</t>
  </si>
  <si>
    <t>IndustryPEUsingAveEPS3Y</t>
  </si>
  <si>
    <t>SectorPEUsingAveEPS3Y</t>
  </si>
  <si>
    <t>PcntRankPEUsingAveEPS3Y</t>
  </si>
  <si>
    <t>Price Info</t>
  </si>
  <si>
    <t>Price Change</t>
  </si>
  <si>
    <t>4 Week</t>
  </si>
  <si>
    <t>13 Week</t>
  </si>
  <si>
    <t>26 Week</t>
  </si>
  <si>
    <t>52 Week</t>
  </si>
  <si>
    <t>PriceChange</t>
  </si>
  <si>
    <t>Relative Strengh</t>
  </si>
  <si>
    <t>RelativeStrength</t>
  </si>
  <si>
    <t>Weighted 4Q</t>
  </si>
  <si>
    <t>Average Shares</t>
  </si>
  <si>
    <t>Qtr</t>
  </si>
  <si>
    <t>Period -n</t>
  </si>
  <si>
    <t>SharesAve</t>
  </si>
  <si>
    <t>Volume Ave 3 Month</t>
  </si>
  <si>
    <t>Volume Ave 10 Day</t>
  </si>
  <si>
    <t>Short Interest</t>
  </si>
  <si>
    <t>Short Interest Date</t>
  </si>
  <si>
    <t>Month (2 Periods)</t>
  </si>
  <si>
    <t>1YearAgo</t>
  </si>
  <si>
    <t>1 Year Ago</t>
  </si>
  <si>
    <t>3 Y Ave</t>
  </si>
  <si>
    <t>Ave3Y</t>
  </si>
  <si>
    <t>Ave5Y</t>
  </si>
  <si>
    <t>5 Y Ave</t>
  </si>
  <si>
    <t>7 Y Ave</t>
  </si>
  <si>
    <t>Ave7Y</t>
  </si>
  <si>
    <t>Year 1 Ave</t>
  </si>
  <si>
    <t>Year 2 Ave</t>
  </si>
  <si>
    <t>Year 3 Ave</t>
  </si>
  <si>
    <t>Year 4 Ave</t>
  </si>
  <si>
    <t>Year 5 Ave</t>
  </si>
  <si>
    <t>Year 6 Ave</t>
  </si>
  <si>
    <t>Year 7 Ave</t>
  </si>
  <si>
    <t>AveY_x</t>
  </si>
  <si>
    <t>ForwardEPSY0</t>
  </si>
  <si>
    <t>ForwardEPSY1</t>
  </si>
  <si>
    <t>ForwardEPSY2</t>
  </si>
  <si>
    <t>Curr. Y Est.</t>
  </si>
  <si>
    <t>Next Year Est</t>
  </si>
  <si>
    <t>Y2 Est</t>
  </si>
  <si>
    <t>Company:</t>
  </si>
  <si>
    <t>Income statement</t>
  </si>
  <si>
    <t>CashFlow Statement</t>
  </si>
  <si>
    <t>Balance Sheet</t>
  </si>
  <si>
    <t>Liabilities</t>
  </si>
  <si>
    <t>msft</t>
  </si>
  <si>
    <t>Q</t>
  </si>
  <si>
    <t>Sales</t>
  </si>
  <si>
    <t>EndingDate</t>
  </si>
  <si>
    <t>CostOfGoodsSold</t>
  </si>
  <si>
    <t>GrossIncome</t>
  </si>
  <si>
    <t>Depreciation</t>
  </si>
  <si>
    <t>ResearchAndDevelopment</t>
  </si>
  <si>
    <t>InterestExpense</t>
  </si>
  <si>
    <t>UnusualIncome</t>
  </si>
  <si>
    <t>TotalOperatingExpense</t>
  </si>
  <si>
    <t>GrossOperatingIncome</t>
  </si>
  <si>
    <t>InterestExpenseNonOp</t>
  </si>
  <si>
    <t>OtherIncome</t>
  </si>
  <si>
    <t>PreTaxIncome</t>
  </si>
  <si>
    <t>IncomeTax</t>
  </si>
  <si>
    <t>IncomeAfterTaxes</t>
  </si>
  <si>
    <t>IncomeForPrimaryEPS</t>
  </si>
  <si>
    <t>NonRecurringItems</t>
  </si>
  <si>
    <t>NetIncome</t>
  </si>
  <si>
    <t>EPS</t>
  </si>
  <si>
    <t>EPSContinuing</t>
  </si>
  <si>
    <t>EPSDiluted</t>
  </si>
  <si>
    <t>EPSDilutedContinuing</t>
  </si>
  <si>
    <t>CashFromOperations</t>
  </si>
  <si>
    <t>CashFromInvesting</t>
  </si>
  <si>
    <t>CashFromFinancing</t>
  </si>
  <si>
    <t>ExchangeRateEffects</t>
  </si>
  <si>
    <t>CashFlow</t>
  </si>
  <si>
    <t>CapitalExpenditures</t>
  </si>
  <si>
    <t>CashFlowPerShare</t>
  </si>
  <si>
    <t>FreeCashFlowPerShare</t>
  </si>
  <si>
    <t>Cash</t>
  </si>
  <si>
    <t>ShortTermInvestments</t>
  </si>
  <si>
    <t>AccountsReceivable</t>
  </si>
  <si>
    <t>Inventory</t>
  </si>
  <si>
    <t>OtherCurrentAssets</t>
  </si>
  <si>
    <t>CurrentAssets</t>
  </si>
  <si>
    <t>NetFixedAssets</t>
  </si>
  <si>
    <t>LTInvestments</t>
  </si>
  <si>
    <t>GoodwillAndIntangibles</t>
  </si>
  <si>
    <t>OtherLTAssets</t>
  </si>
  <si>
    <t>TotalAssets</t>
  </si>
  <si>
    <t>AccountsPayable</t>
  </si>
  <si>
    <t>ShortTermDebt</t>
  </si>
  <si>
    <t>OtherCurrentLiabilities</t>
  </si>
  <si>
    <t>CurrentLiabilities</t>
  </si>
  <si>
    <t>LTDebt</t>
  </si>
  <si>
    <t>OtherLTLiabilities</t>
  </si>
  <si>
    <t>TotalLiabilities</t>
  </si>
  <si>
    <t>PreferredStock</t>
  </si>
  <si>
    <t>EquityCommon</t>
  </si>
  <si>
    <t>LiabilitiesAndEquity</t>
  </si>
  <si>
    <t>BookValuePerShare</t>
  </si>
  <si>
    <t>Dividend</t>
  </si>
  <si>
    <t>AdjToIncome</t>
  </si>
  <si>
    <t>Current</t>
  </si>
  <si>
    <t>Year</t>
  </si>
  <si>
    <t>Cost Of Goods Sold</t>
  </si>
  <si>
    <t>Gross Income</t>
  </si>
  <si>
    <t>Depreciation &amp; Amortization</t>
  </si>
  <si>
    <t>Research And Development</t>
  </si>
  <si>
    <t>Interest Expense</t>
  </si>
  <si>
    <t>Unusual Expense/(Income)</t>
  </si>
  <si>
    <t>Total Operating Expenses</t>
  </si>
  <si>
    <t>Gross Operating Income</t>
  </si>
  <si>
    <t>Interest Expense-Non-Op.</t>
  </si>
  <si>
    <t>Other Expense/(Income)</t>
  </si>
  <si>
    <t>Pre-Tax Income</t>
  </si>
  <si>
    <t>Income Tax</t>
  </si>
  <si>
    <t>Income After Taxes</t>
  </si>
  <si>
    <t>Adjustments To Income</t>
  </si>
  <si>
    <t>Income For Primary EPS</t>
  </si>
  <si>
    <t>Nonrecurring Items</t>
  </si>
  <si>
    <t>Net Income</t>
  </si>
  <si>
    <t>EPS-Continuing</t>
  </si>
  <si>
    <t>EPS-Diluted</t>
  </si>
  <si>
    <t>EPS-Diluted Continuing</t>
  </si>
  <si>
    <t>Cash From Operations</t>
  </si>
  <si>
    <t>Cash From Investing</t>
  </si>
  <si>
    <t>Cash From Financing</t>
  </si>
  <si>
    <t>Exchange Rate Effects</t>
  </si>
  <si>
    <t>Cash Flow</t>
  </si>
  <si>
    <t>Capital Expenditures</t>
  </si>
  <si>
    <t>Cash Flow/Share</t>
  </si>
  <si>
    <t>Free Cash Flow/Share</t>
  </si>
  <si>
    <t>Short-Term Investments</t>
  </si>
  <si>
    <t>Accounts Receivable</t>
  </si>
  <si>
    <t>Other Current Assets</t>
  </si>
  <si>
    <t>Current Assets</t>
  </si>
  <si>
    <t>Net Fixed Assets (PP&amp;E)</t>
  </si>
  <si>
    <t>Long-Term Investments</t>
  </si>
  <si>
    <t>Goodwill And Intangibles</t>
  </si>
  <si>
    <t>Other Long-Term Assets</t>
  </si>
  <si>
    <t>Total Assets</t>
  </si>
  <si>
    <t>Accounts Payable</t>
  </si>
  <si>
    <t>Short-Term Debt</t>
  </si>
  <si>
    <t>Other Current Liabilities</t>
  </si>
  <si>
    <t>Current Liabilities</t>
  </si>
  <si>
    <t>Long-Term Debt</t>
  </si>
  <si>
    <t>Other Long-Term Liabilities</t>
  </si>
  <si>
    <t>Total Liabilities</t>
  </si>
  <si>
    <t>Preferred Stock</t>
  </si>
  <si>
    <t>Equity (Common)</t>
  </si>
  <si>
    <t>Liabilities And Equity</t>
  </si>
  <si>
    <t>Book Value/Share</t>
  </si>
  <si>
    <t>Current year (12M)</t>
  </si>
  <si>
    <t>SalesQ_X</t>
  </si>
  <si>
    <t>SalesY_X</t>
  </si>
  <si>
    <t>Sales12M</t>
  </si>
  <si>
    <t>CostOfGoodsSoldQ_X</t>
  </si>
  <si>
    <t>CostOfGoodsSoldY_X</t>
  </si>
  <si>
    <t>CostOfGoodsSold12M</t>
  </si>
  <si>
    <t>GrossIncomeQ_X</t>
  </si>
  <si>
    <t>GrossIncomeY_X</t>
  </si>
  <si>
    <t>GrossIncome12M</t>
  </si>
  <si>
    <t>DepreciationQ_X</t>
  </si>
  <si>
    <t>DepreciationY_X</t>
  </si>
  <si>
    <t>Depreciation12M</t>
  </si>
  <si>
    <t>ResearchAndDevelopmentQ_X</t>
  </si>
  <si>
    <t>ResearchAndDevelopmentY_X</t>
  </si>
  <si>
    <t>ResearchAndDevelopment12M</t>
  </si>
  <si>
    <t>InterestExpenseQ_X</t>
  </si>
  <si>
    <t>InterestExpenseY_X</t>
  </si>
  <si>
    <t>InterestExpense12M</t>
  </si>
  <si>
    <t>UnusualIncomeQ_X</t>
  </si>
  <si>
    <t>UnusualIncomeY_X</t>
  </si>
  <si>
    <t>UnusualIncome12M</t>
  </si>
  <si>
    <t>TotalOperatingExpenseQ_X</t>
  </si>
  <si>
    <t>TotalOperatingExpenseY_X</t>
  </si>
  <si>
    <t>TotalOperatingExpense12M</t>
  </si>
  <si>
    <t>GrossOperatingIncomeQ_X</t>
  </si>
  <si>
    <t>GrossOperatingIncomeY_X</t>
  </si>
  <si>
    <t>GrossOperatingIncome12M</t>
  </si>
  <si>
    <t>InterestExpenseNonOpQ_X</t>
  </si>
  <si>
    <t>InterestExpenseNonOpY_X</t>
  </si>
  <si>
    <t>InterestExpenseNonOp12M</t>
  </si>
  <si>
    <t>OtherIncomeQ_X</t>
  </si>
  <si>
    <t>OtherIncomeY_X</t>
  </si>
  <si>
    <t>OtherIncome12M</t>
  </si>
  <si>
    <t>PreTaxIncomeQ_X</t>
  </si>
  <si>
    <t>PreTaxIncomeY_X</t>
  </si>
  <si>
    <t>PreTaxIncome12M</t>
  </si>
  <si>
    <t>IncomeTaxQ_X</t>
  </si>
  <si>
    <t>IncomeTaxY_X</t>
  </si>
  <si>
    <t>IncomeTax12M</t>
  </si>
  <si>
    <t>IncomeAfterTaxesQ_X</t>
  </si>
  <si>
    <t>IncomeAfterTaxesY_X</t>
  </si>
  <si>
    <t>IncomeAfterTaxes12M</t>
  </si>
  <si>
    <t>AdjToIncomeQ_X</t>
  </si>
  <si>
    <t>AdjToIncomeY_X</t>
  </si>
  <si>
    <t>AdjToIncome12M</t>
  </si>
  <si>
    <t>IncomeForPrimaryEPSQ_X</t>
  </si>
  <si>
    <t>IncomeForPrimaryEPSY_X</t>
  </si>
  <si>
    <t>IncomeForPrimaryEPS12M</t>
  </si>
  <si>
    <t>NonRecurringItemsQ_X</t>
  </si>
  <si>
    <t>NonRecurringItemsY_X</t>
  </si>
  <si>
    <t>NonRecurringItems12M</t>
  </si>
  <si>
    <t>NetIncomeQ_X</t>
  </si>
  <si>
    <t>NetIncomeY_X</t>
  </si>
  <si>
    <t>NetIncome12M</t>
  </si>
  <si>
    <t>EPSQ_X</t>
  </si>
  <si>
    <t>EPSY_X</t>
  </si>
  <si>
    <t>EPS12M</t>
  </si>
  <si>
    <t>EPSContinuingQ_X</t>
  </si>
  <si>
    <t>EPSContinuingY_X</t>
  </si>
  <si>
    <t>EPSContinuing12M</t>
  </si>
  <si>
    <t>EPSDilutedQ_X</t>
  </si>
  <si>
    <t>EPSDilutedY_X</t>
  </si>
  <si>
    <t>EPSDiluted12M</t>
  </si>
  <si>
    <t>EPSDilutedContinuingQ_X</t>
  </si>
  <si>
    <t>EPSDilutedContinuingY_X</t>
  </si>
  <si>
    <t>EPSDilutedContinuing12M</t>
  </si>
  <si>
    <t>DividendQ_X</t>
  </si>
  <si>
    <t>DividendY_X</t>
  </si>
  <si>
    <t>Dividend12M</t>
  </si>
  <si>
    <t>CashFromOperationsQ_X</t>
  </si>
  <si>
    <t>CashFromOperationsY_X</t>
  </si>
  <si>
    <t>CashFromOperations12M</t>
  </si>
  <si>
    <t>CashFromInvestingQ_X</t>
  </si>
  <si>
    <t>CashFromInvestingY_X</t>
  </si>
  <si>
    <t>CashFromInvesting12M</t>
  </si>
  <si>
    <t>CashFromFinancingQ_X</t>
  </si>
  <si>
    <t>CashFromFinancingY_X</t>
  </si>
  <si>
    <t>CashFromFinancing12M</t>
  </si>
  <si>
    <t>ExchangeRateEffectsQ_X</t>
  </si>
  <si>
    <t>ExchangeRateEffectsY_X</t>
  </si>
  <si>
    <t>ExchangeRateEffects12M</t>
  </si>
  <si>
    <t>CashFlowQ_X</t>
  </si>
  <si>
    <t>CashFlowY_X</t>
  </si>
  <si>
    <t>CashFlow12M</t>
  </si>
  <si>
    <t>CapitalExpendituresQ_X</t>
  </si>
  <si>
    <t>CapitalExpendituresY_X</t>
  </si>
  <si>
    <t>CapitalExpenditures12M</t>
  </si>
  <si>
    <t>CashFlowPerShareQ_X</t>
  </si>
  <si>
    <t>CashFlowPerShareY_X</t>
  </si>
  <si>
    <t>CashFlowPerShare12M</t>
  </si>
  <si>
    <t>FreeCashFlowPerShareQ_X</t>
  </si>
  <si>
    <t>FreeCashFlowPerShareY_X</t>
  </si>
  <si>
    <t>FreeCashFlowPerShare12M</t>
  </si>
  <si>
    <t>CashQ_X</t>
  </si>
  <si>
    <t>CashY_X</t>
  </si>
  <si>
    <t>ShortTermInvestmentsQ_X</t>
  </si>
  <si>
    <t>ShortTermInvestmentsY_X</t>
  </si>
  <si>
    <t>AccountsReceivableQ_X</t>
  </si>
  <si>
    <t>AccountsReceivableY_X</t>
  </si>
  <si>
    <t>InventoryQ_X</t>
  </si>
  <si>
    <t>InventoryY_X</t>
  </si>
  <si>
    <t>OtherCurrentAssetsQ_X</t>
  </si>
  <si>
    <t>OtherCurrentAssetsY_X</t>
  </si>
  <si>
    <t>CurrentAssetsQ_X</t>
  </si>
  <si>
    <t>CurrentAssetsY_X</t>
  </si>
  <si>
    <t>NetFixedAssetsQ_X</t>
  </si>
  <si>
    <t>NetFixedAssetsY_X</t>
  </si>
  <si>
    <t>LTInvestmentsQ_X</t>
  </si>
  <si>
    <t>LTInvestmentsY_X</t>
  </si>
  <si>
    <t>GoodwillAndIntangiblesQ_X</t>
  </si>
  <si>
    <t>GoodwillAndIntangiblesY_X</t>
  </si>
  <si>
    <t>OtherLTAssetsQ_X</t>
  </si>
  <si>
    <t>OtherLTAssetsY_X</t>
  </si>
  <si>
    <t>TotalAssetsQ_X</t>
  </si>
  <si>
    <t>TotalAssetsY_X</t>
  </si>
  <si>
    <t>AccountsPayableQ_X</t>
  </si>
  <si>
    <t>AccountsPayableY_X</t>
  </si>
  <si>
    <t>ShortTermDebtQ_X</t>
  </si>
  <si>
    <t>ShortTermDebtY_X</t>
  </si>
  <si>
    <t>OtherCurrentLiabilitiesQ_X</t>
  </si>
  <si>
    <t>OtherCurrentLiabilitiesY_X</t>
  </si>
  <si>
    <t>CurrentLiabilitiesQ_X</t>
  </si>
  <si>
    <t>CurrentLiabilitiesY_X</t>
  </si>
  <si>
    <t>LTDebtQ_X</t>
  </si>
  <si>
    <t>LTDebtY_X</t>
  </si>
  <si>
    <t>OtherLTLiabilitiesQ_X</t>
  </si>
  <si>
    <t>OtherLTLiabilitiesY_X</t>
  </si>
  <si>
    <t>TotalLiabilitiesQ_X</t>
  </si>
  <si>
    <t>TotalLiabilitiesY_X</t>
  </si>
  <si>
    <t>PreferredStockQ_X</t>
  </si>
  <si>
    <t>PreferredStockY_X</t>
  </si>
  <si>
    <t>EquityCommonQ_X</t>
  </si>
  <si>
    <t>EquityCommonY_X</t>
  </si>
  <si>
    <t>LiabilitiesAndEquityQ_X</t>
  </si>
  <si>
    <t>LiabilitiesAndEquityY_X</t>
  </si>
  <si>
    <t>BookValuePerShareQ_X</t>
  </si>
  <si>
    <t>BookValuePerShareY_X</t>
  </si>
  <si>
    <t>Enter Q or Y</t>
  </si>
  <si>
    <t>Enter Company</t>
  </si>
  <si>
    <t>SalesGrowth1Y</t>
  </si>
  <si>
    <t>SalesGrowth3Y</t>
  </si>
  <si>
    <t>SalesGrowth5Y</t>
  </si>
  <si>
    <t>SalesGrowth7Y</t>
  </si>
  <si>
    <t>SalesGrowth12M</t>
  </si>
  <si>
    <t>SalesGrowthQ5toQ1</t>
  </si>
  <si>
    <t>SalesGrowthQ6toQ2</t>
  </si>
  <si>
    <t>SalesGrowthQ7toQ3</t>
  </si>
  <si>
    <t>SalesGrowthQ8toQ4</t>
  </si>
  <si>
    <t>SalesGrowthLS3Y</t>
  </si>
  <si>
    <t>SalesGrowthLS5Y</t>
  </si>
  <si>
    <t>SalesGrowthR27Y</t>
  </si>
  <si>
    <t>GrossIncomeGrowth1Y</t>
  </si>
  <si>
    <t>GrossIncomeGrowth3Y</t>
  </si>
  <si>
    <t>GrossIncomeGrowth5Y</t>
  </si>
  <si>
    <t>GrossIncomeGrowth7Y</t>
  </si>
  <si>
    <t>GrossIncomeGrowth12M</t>
  </si>
  <si>
    <t>GrossIncomeGrowthQ5toQ1</t>
  </si>
  <si>
    <t>GrossIncomeGrowthQ6toQ2</t>
  </si>
  <si>
    <t>GrossIncomeGrowthQ7toQ3</t>
  </si>
  <si>
    <t>GrossIncomeGrowthQ8toQ4</t>
  </si>
  <si>
    <t>PreTaxIncomeGrowth1Y</t>
  </si>
  <si>
    <t>PreTaxIncomeGrowth3Y</t>
  </si>
  <si>
    <t>PreTaxIncomeGrowth5Y</t>
  </si>
  <si>
    <t>PreTaxIncomeGrowth7Y</t>
  </si>
  <si>
    <t>PreTaxIncomeGrowth12M</t>
  </si>
  <si>
    <t>PreTaxIncomeGrowthQ5toQ1</t>
  </si>
  <si>
    <t>PreTaxIncomeGrowthQ6toQ2</t>
  </si>
  <si>
    <t>PreTaxIncomeGrowthQ7toQ3</t>
  </si>
  <si>
    <t>PreTaxIncomeGrowthQ8toQ4</t>
  </si>
  <si>
    <t>OperatingIncomeGrowth1Y</t>
  </si>
  <si>
    <t>OperatingIncomeGrowth3Y</t>
  </si>
  <si>
    <t>OperatingIncomeGrowth5Y</t>
  </si>
  <si>
    <t>OperatingIncomeGrowth7Y</t>
  </si>
  <si>
    <t>OperatingIncomeGrowth12M</t>
  </si>
  <si>
    <t>OperatingIncomeGrowthQ5toQ1</t>
  </si>
  <si>
    <t>OperatingIncomeGrowthQ6toQ2</t>
  </si>
  <si>
    <t>OperatingIncomeGrowthQ7toQ3</t>
  </si>
  <si>
    <t>OperatingIncomeGrowthQ8toQ4</t>
  </si>
  <si>
    <t>NetIncomeGrowth1Y</t>
  </si>
  <si>
    <t>NetIncomeGrowth3Y</t>
  </si>
  <si>
    <t>NetIncomeGrowth5Y</t>
  </si>
  <si>
    <t>NetIncomeGrowth7Y</t>
  </si>
  <si>
    <t>NetIncomeGrowth12M</t>
  </si>
  <si>
    <t>NetIncomeGrowthQ5toQ1</t>
  </si>
  <si>
    <t>NetIncomeGrowthQ6toQ2</t>
  </si>
  <si>
    <t>NetIncomeGrowthQ7toQ3</t>
  </si>
  <si>
    <t>NetIncomeGrowthQ8toQ4</t>
  </si>
  <si>
    <t>EPSGrowth1Y</t>
  </si>
  <si>
    <t>EPSGrowth3Y</t>
  </si>
  <si>
    <t>EPSGrowth5Y</t>
  </si>
  <si>
    <t>EPSGrowth7Y</t>
  </si>
  <si>
    <t>EPSGrowth12M</t>
  </si>
  <si>
    <t>EPSGrowthQ5toQ1</t>
  </si>
  <si>
    <t>EPSGrowthQ6toQ2</t>
  </si>
  <si>
    <t>EPSGrowthQ7toQ3</t>
  </si>
  <si>
    <t>EPSGrowthQ8toQ4</t>
  </si>
  <si>
    <t>EPSContGrowth1Y</t>
  </si>
  <si>
    <t>EPSContGrowth3Y</t>
  </si>
  <si>
    <t>EPSContGrowth5Y</t>
  </si>
  <si>
    <t>EPSContGrowth7Y</t>
  </si>
  <si>
    <t>EPSContGrowth12M</t>
  </si>
  <si>
    <t>EPSContGrowthQ5toQ1</t>
  </si>
  <si>
    <t>EPSContGrowthQ6toQ2</t>
  </si>
  <si>
    <t>EPSContGrowthQ7toQ3</t>
  </si>
  <si>
    <t>EPSContGrowthQ8toQ4</t>
  </si>
  <si>
    <t>EPSDilGrowth1Y</t>
  </si>
  <si>
    <t>EPSDilGrowth3Y</t>
  </si>
  <si>
    <t>EPSDilGrowth5Y</t>
  </si>
  <si>
    <t>EPSDilGrowth7Y</t>
  </si>
  <si>
    <t>EPSDilGrowth12M</t>
  </si>
  <si>
    <t>EPSDilGrowthQ5toQ1</t>
  </si>
  <si>
    <t>EPSDilGrowthQ6toQ2</t>
  </si>
  <si>
    <t>EPSDilGrowthQ7toQ3</t>
  </si>
  <si>
    <t>EPSDilGrowthQ8toQ4</t>
  </si>
  <si>
    <t>EPSDilContGrowth1Y</t>
  </si>
  <si>
    <t>EPSDilContGrowth3Y</t>
  </si>
  <si>
    <t>EPSDilContGrowth5Y</t>
  </si>
  <si>
    <t>EPSDilContGrowth7Y</t>
  </si>
  <si>
    <t>EPSDilContGrowth12M</t>
  </si>
  <si>
    <t>EPSDilContGrowthQ5toQ1</t>
  </si>
  <si>
    <t>EPSDilContGrowthQ6toQ2</t>
  </si>
  <si>
    <t>EPSDilContGrowthQ7toQ3</t>
  </si>
  <si>
    <t>EPSDilContGrowthQ8toQ4</t>
  </si>
  <si>
    <t>CashFlowGrowth1Y</t>
  </si>
  <si>
    <t>CashFlowGrowth3Y</t>
  </si>
  <si>
    <t>CashFlowGrowth5Y</t>
  </si>
  <si>
    <t>CashFlowGrowth7Y</t>
  </si>
  <si>
    <t>CashFlowGrowth12M</t>
  </si>
  <si>
    <t>FreeCashFlowGrowth1Y</t>
  </si>
  <si>
    <t>FreeCashFlowGrowth3Y</t>
  </si>
  <si>
    <t>FreeCashFlowGrowth5Y</t>
  </si>
  <si>
    <t>FreeCashFlowGrowth7Y</t>
  </si>
  <si>
    <t>FreeCashFlowGrowth12M</t>
  </si>
  <si>
    <t>DividendGrowth1Y</t>
  </si>
  <si>
    <t>DividendGrowth3Y</t>
  </si>
  <si>
    <t>DividendGrowth5Y</t>
  </si>
  <si>
    <t>DividendGrowth7Y</t>
  </si>
  <si>
    <t>DividendGrowth12M</t>
  </si>
  <si>
    <t>EPSContGrowthLS3Y</t>
  </si>
  <si>
    <t>EPSContGrowthLS5Y</t>
  </si>
  <si>
    <t>EPSContGrowthR27Y</t>
  </si>
  <si>
    <t>EPSDilContGrowthLS3Y</t>
  </si>
  <si>
    <t>EPSDilContGrowthLS5Y</t>
  </si>
  <si>
    <t>EPSDilContGrowthR27Y</t>
  </si>
  <si>
    <t>EPSContGrowthY3toY2</t>
  </si>
  <si>
    <t>EPSContGrowthY4toY3</t>
  </si>
  <si>
    <t>1Y</t>
  </si>
  <si>
    <t>3Y</t>
  </si>
  <si>
    <t>5Y</t>
  </si>
  <si>
    <t>7Y</t>
  </si>
  <si>
    <t>12M</t>
  </si>
  <si>
    <t>Q5toQ1</t>
  </si>
  <si>
    <t>Q6toQ2</t>
  </si>
  <si>
    <t>Q7toQ3</t>
  </si>
  <si>
    <t>Q8toQ4</t>
  </si>
  <si>
    <t>LS3Y</t>
  </si>
  <si>
    <t>LS5Y</t>
  </si>
  <si>
    <t>R27Y</t>
  </si>
  <si>
    <t>FromQ6Q8toQ4Q2</t>
  </si>
  <si>
    <t>SalesGrowth</t>
  </si>
  <si>
    <t>GrossIncomeGrowth</t>
  </si>
  <si>
    <t>PreTaxIncomeGrowth</t>
  </si>
  <si>
    <t>OperatingIncomeGrowth</t>
  </si>
  <si>
    <t>NetIncomeGrowth</t>
  </si>
  <si>
    <t>EPSGrowth</t>
  </si>
  <si>
    <t>EPSContGrowth</t>
  </si>
  <si>
    <t>EPSDilGrowth</t>
  </si>
  <si>
    <t>EPSDilContGrowth</t>
  </si>
  <si>
    <t>CashFlowGrowth</t>
  </si>
  <si>
    <t>FreeCashFlowGrowth</t>
  </si>
  <si>
    <t>DividendGrowth</t>
  </si>
  <si>
    <t>Growth</t>
  </si>
  <si>
    <t>Year 3</t>
  </si>
  <si>
    <t>Year 5</t>
  </si>
  <si>
    <t>Year7</t>
  </si>
  <si>
    <t>Last 3 Years</t>
  </si>
  <si>
    <t>Last 5 years</t>
  </si>
  <si>
    <t>R2 7 Year</t>
  </si>
  <si>
    <t>Year 1</t>
  </si>
  <si>
    <t>Year 3 to Year 2</t>
  </si>
  <si>
    <t>Year 4 to Year 3</t>
  </si>
  <si>
    <t>Sales-Growth</t>
  </si>
  <si>
    <t>Gross Income-Growth</t>
  </si>
  <si>
    <t>Pre-tax Income-Growth</t>
  </si>
  <si>
    <t>Oper. Income-Growth</t>
  </si>
  <si>
    <t>Net Income-Growth</t>
  </si>
  <si>
    <t>EPS-Growth</t>
  </si>
  <si>
    <t>EPS Cont-Growth</t>
  </si>
  <si>
    <t>EPS Dil-Growth</t>
  </si>
  <si>
    <t>EPS Dil Cont-Growth</t>
  </si>
  <si>
    <t>Cash Flow-Growth</t>
  </si>
  <si>
    <t>Free Cash Flow-Growth</t>
  </si>
  <si>
    <t>Dividend-Growth</t>
  </si>
  <si>
    <t>Company</t>
  </si>
  <si>
    <t>MSFT</t>
  </si>
  <si>
    <t>1 Year</t>
  </si>
  <si>
    <t>3 Year</t>
  </si>
  <si>
    <t>5 Year</t>
  </si>
  <si>
    <t>7 Year</t>
  </si>
  <si>
    <t>1 year Ago</t>
  </si>
  <si>
    <t>Industry</t>
  </si>
  <si>
    <t>IndustrySalesGrowth</t>
  </si>
  <si>
    <t>IndustryGrossIncomeGrowth</t>
  </si>
  <si>
    <t>IndustryNetIncomeGrowth</t>
  </si>
  <si>
    <t>IndustryEPSGrowth</t>
  </si>
  <si>
    <t>IndustryEPSContGrowth</t>
  </si>
  <si>
    <t>IndustryEPSDilGrowth</t>
  </si>
  <si>
    <t>IndustryCashFlowGrowth</t>
  </si>
  <si>
    <t>IndustryFreeCashFlowGrowth</t>
  </si>
  <si>
    <t>IndustryDividendGrowth</t>
  </si>
  <si>
    <t>Sector</t>
  </si>
  <si>
    <t>SectorSalesGrowth</t>
  </si>
  <si>
    <t>SectorGrossIncomeGrowth</t>
  </si>
  <si>
    <t>SectorNetIncomeGrowth</t>
  </si>
  <si>
    <t>SectorEPSGrowth</t>
  </si>
  <si>
    <t>SectorEPSContGrowth</t>
  </si>
  <si>
    <t>SectorEPSDilGrowth</t>
  </si>
  <si>
    <t>SectorCashFlowGrowth</t>
  </si>
  <si>
    <t>SectorFreeCashFlowGrowth</t>
  </si>
  <si>
    <t>SectorDividendGrowth</t>
  </si>
  <si>
    <t>1 Year ago (12M)</t>
  </si>
  <si>
    <t>Industry Sales-Growth</t>
  </si>
  <si>
    <t>IndustrySalesGrowth1Y</t>
  </si>
  <si>
    <t>IndustrySalesGrowth3Y</t>
  </si>
  <si>
    <t>IndustrySalesGrowth5Y</t>
  </si>
  <si>
    <t>IndustrySalesGrowth7Y</t>
  </si>
  <si>
    <t>IndustrySalesGrowth12M</t>
  </si>
  <si>
    <t>Industry Gross Income-Growth</t>
  </si>
  <si>
    <t>IndustryGrossIncomeGrowth1Y</t>
  </si>
  <si>
    <t>IndustryGrossIncomeGrowth3Y</t>
  </si>
  <si>
    <t>IndustryGrossIncomeGrowth5Y</t>
  </si>
  <si>
    <t>IndustryGrossIncomeGrowth7Y</t>
  </si>
  <si>
    <t>IndustryGrossIncomeGrowth12M</t>
  </si>
  <si>
    <t>Industry Net Income-Growth</t>
  </si>
  <si>
    <t>IndustryNetIncomeGrowth1Y</t>
  </si>
  <si>
    <t>IndustryNetIncomeGrowth3Y</t>
  </si>
  <si>
    <t>IndustryNetIncomeGrowth5Y</t>
  </si>
  <si>
    <t>IndustryNetIncomeGrowth7Y</t>
  </si>
  <si>
    <t>IndustryNetIncomeGrowth12M</t>
  </si>
  <si>
    <t>Industry EPS-Growth</t>
  </si>
  <si>
    <t>IndustryEPSGrowth1Y</t>
  </si>
  <si>
    <t>IndustryEPSGrowth3Y</t>
  </si>
  <si>
    <t>IndustryEPSGrowth5Y</t>
  </si>
  <si>
    <t>IndustryEPSGrowth7Y</t>
  </si>
  <si>
    <t>IndustryEPSGrowth12M</t>
  </si>
  <si>
    <t>Industry EPS Cont-Growth</t>
  </si>
  <si>
    <t>IndustryEPSContGrowth1Y</t>
  </si>
  <si>
    <t>IndustryEPSContGrowth3Y</t>
  </si>
  <si>
    <t>IndustryEPSContGrowth5Y</t>
  </si>
  <si>
    <t>IndustryEPSContGrowth7Y</t>
  </si>
  <si>
    <t>IndustryEPSContGrowth12M</t>
  </si>
  <si>
    <t>Industry EPS Dil Cont-Growth</t>
  </si>
  <si>
    <t>IndustryEPSDilGrowth1Y</t>
  </si>
  <si>
    <t>IndustryEPSDilGrowth3Y</t>
  </si>
  <si>
    <t>IndustryEPSDilGrowth5Y</t>
  </si>
  <si>
    <t>IndustryEPSDilGrowth7Y</t>
  </si>
  <si>
    <t>IndustryEPSDilGrowth12M</t>
  </si>
  <si>
    <t>Industry Cash Flow-Growth</t>
  </si>
  <si>
    <t>IndustryCashFlowGrowth1Y</t>
  </si>
  <si>
    <t>IndustryCashFlowGrowth3Y</t>
  </si>
  <si>
    <t>IndustryCashFlowGrowth5Y</t>
  </si>
  <si>
    <t>IndustryCashFlowGrowth7Y</t>
  </si>
  <si>
    <t>IndustryCashFlowGrowth12M</t>
  </si>
  <si>
    <t>Industry Free Cash Flow-Growth</t>
  </si>
  <si>
    <t>Database</t>
  </si>
  <si>
    <t>Enter Period (B1 = database)</t>
  </si>
  <si>
    <t>=xlqaaii("Symbol", "Field", Period,Database)</t>
  </si>
  <si>
    <t>Database - optional, allowing you to work with up to 5 different datasets for historic comparisons</t>
  </si>
  <si>
    <t>IndustryFreeCashFlowGrowth1Y</t>
  </si>
  <si>
    <t>IndustryFreeCashFlowGrowth3Y</t>
  </si>
  <si>
    <t>IndustryFreeCashFlowGrowth5Y</t>
  </si>
  <si>
    <t>IndustryFreeCashFlowGrowth7Y</t>
  </si>
  <si>
    <t>IndustryFreeCashFlowGrowth12M</t>
  </si>
  <si>
    <t>Industry Dividend-Growth</t>
  </si>
  <si>
    <t>IndustryDividendGrowth1Y</t>
  </si>
  <si>
    <t>IndustryDividendGrowth3Y</t>
  </si>
  <si>
    <t>IndustryDividendGrowth5Y</t>
  </si>
  <si>
    <t>IndustryDividendGrowth7Y</t>
  </si>
  <si>
    <t>IndustryDividendGrowth12M</t>
  </si>
  <si>
    <t>Sector Sales-Growth</t>
  </si>
  <si>
    <t>SectorSalesGrowth1Y</t>
  </si>
  <si>
    <t>SectorSalesGrowth3Y</t>
  </si>
  <si>
    <t>SectorSalesGrowth5Y</t>
  </si>
  <si>
    <t>SectorSalesGrowth7Y</t>
  </si>
  <si>
    <t>SectorSalesGrowth12M</t>
  </si>
  <si>
    <t>Sector Gross Income-Growth</t>
  </si>
  <si>
    <t>SectorGrossIncomeGrowth1Y</t>
  </si>
  <si>
    <t>SectorGrossIncomeGrowth3Y</t>
  </si>
  <si>
    <t>SectorGrossIncomeGrowth5Y</t>
  </si>
  <si>
    <t>SectorGrossIncomeGrowth7Y</t>
  </si>
  <si>
    <t>SectorGrossIncomeGrowth12M</t>
  </si>
  <si>
    <t>Sector Net Income-Growth</t>
  </si>
  <si>
    <t>SectorNetIncomeGrowth1Y</t>
  </si>
  <si>
    <t>SectorNetIncomeGrowth3Y</t>
  </si>
  <si>
    <t>SectorNetIncomeGrowth5Y</t>
  </si>
  <si>
    <t>SectorNetIncomeGrowth7Y</t>
  </si>
  <si>
    <t>SectorNetIncomeGrowth12M</t>
  </si>
  <si>
    <t>Sector EPS-Growth</t>
  </si>
  <si>
    <t>SectorEPSGrowth1Y</t>
  </si>
  <si>
    <t>SectorEPSGrowth3Y</t>
  </si>
  <si>
    <t>SectorEPSGrowth5Y</t>
  </si>
  <si>
    <t>SectorEPSGrowth7Y</t>
  </si>
  <si>
    <t>SectorEPSGrowth12M</t>
  </si>
  <si>
    <t>Sector EPS Cont-Growth</t>
  </si>
  <si>
    <t>SectorEPSContGrowth1Y</t>
  </si>
  <si>
    <t>SectorEPSContGrowth3Y</t>
  </si>
  <si>
    <t>SectorEPSContGrowth5Y</t>
  </si>
  <si>
    <t>SectorEPSContGrowth7Y</t>
  </si>
  <si>
    <t>SectorEPSContGrowth12M</t>
  </si>
  <si>
    <t>EPSDCGrowthFromQ6Q8toQ2Q4</t>
  </si>
  <si>
    <t>Sector EPS Dil Cont-Growth</t>
  </si>
  <si>
    <t>SectorEPSDilGrowth1Y</t>
  </si>
  <si>
    <t>SectorEPSDilGrowth3Y</t>
  </si>
  <si>
    <t>SectorEPSDilGrowth5Y</t>
  </si>
  <si>
    <t>SectorEPSDilGrowth7Y</t>
  </si>
  <si>
    <t>SectorEPSDilGrowth12M</t>
  </si>
  <si>
    <t>Sector Cash Flow-Growth</t>
  </si>
  <si>
    <t>SectorCashFlowGrowth1Y</t>
  </si>
  <si>
    <t>SectorCashFlowGrowth3Y</t>
  </si>
  <si>
    <t>SectorCashFlowGrowth5Y</t>
  </si>
  <si>
    <t>SectorCashFlowGrowth7Y</t>
  </si>
  <si>
    <t>SectorCashFlowGrowth12M</t>
  </si>
  <si>
    <t>Sector Free Cash Flow-Growth</t>
  </si>
  <si>
    <t>SectorFreeCashFlowGrowth1Y</t>
  </si>
  <si>
    <t>SectorFreeCashFlowGrowth3Y</t>
  </si>
  <si>
    <t>SectorFreeCashFlowGrowth5Y</t>
  </si>
  <si>
    <t>SectorFreeCashFlowGrowth7Y</t>
  </si>
  <si>
    <t>SectorFreeCashFlowGrowth12M</t>
  </si>
  <si>
    <t>Sector Dividend-Growth</t>
  </si>
  <si>
    <t>Field names ending with _X require a period (default is 1)</t>
  </si>
  <si>
    <t>Use concatenation (&amp;) to create field names across rows and cols</t>
  </si>
  <si>
    <t>shown. If a period parameter is included, the period reference is</t>
  </si>
  <si>
    <t>SectorDividendGrowth1Y</t>
  </si>
  <si>
    <t>SectorDividendGrowth3Y</t>
  </si>
  <si>
    <t>SectorDividendGrowth5Y</t>
  </si>
  <si>
    <t>SectorDividendGrowth7Y</t>
  </si>
  <si>
    <t>SectorDividendGrowth12M</t>
  </si>
  <si>
    <t>% Rank</t>
  </si>
  <si>
    <t>PcntRankSalesGrowth</t>
  </si>
  <si>
    <t>PcntRankGrossIncomeGrowth</t>
  </si>
  <si>
    <t>PcntRankNetIncomeGrowth</t>
  </si>
  <si>
    <t>PcntRankEPSGrowth</t>
  </si>
  <si>
    <t>PcntRankEPSContGrowth</t>
  </si>
  <si>
    <t>PcntRankCashFlowGrowth</t>
  </si>
  <si>
    <t>PcntRankFreeCashFlowGrowth</t>
  </si>
  <si>
    <t>PcntRankDividendGrowth</t>
  </si>
  <si>
    <t>PcntRankSalesGrowth1Y</t>
  </si>
  <si>
    <t>PcntRankSalesGrowth3Y</t>
  </si>
  <si>
    <t>PcntRankSalesGrowth5Y</t>
  </si>
  <si>
    <t>PcntRankSalesGrowth7Y</t>
  </si>
  <si>
    <t>PcntRankSalesGrowth12M</t>
  </si>
  <si>
    <t>PcntRankGrossIncomeGrowth1Y</t>
  </si>
  <si>
    <t>PcntRankGrossIncomeGrowth3Y</t>
  </si>
  <si>
    <t>PcntRankGrossIncomeGrowth5Y</t>
  </si>
  <si>
    <t>PcntRankGrossIncomeGrowth7Y</t>
  </si>
  <si>
    <t>PcntRankNetIncomeGrowth1Y</t>
  </si>
  <si>
    <t>PcntRankNetIncomeGrowth3Y</t>
  </si>
  <si>
    <t>PcntRankNetIncomeGrowth5Y</t>
  </si>
  <si>
    <t>PcntRankNetIncomeGrowth7Y</t>
  </si>
  <si>
    <t>PcntRankEPSGrowth1Y</t>
  </si>
  <si>
    <t>PcntRankEPSGrowth3Y</t>
  </si>
  <si>
    <t>PcntRankEPSGrowth5Y</t>
  </si>
  <si>
    <t>PcntRankEPSGrowth7Y</t>
  </si>
  <si>
    <t>PcntRankEPSGrowth12M</t>
  </si>
  <si>
    <t>PcntRankEPSContGrowth1Y</t>
  </si>
  <si>
    <t>PcntRankEPSContGrowth3Y</t>
  </si>
  <si>
    <t>PcntRankEPSContGrowth5Y</t>
  </si>
  <si>
    <t>PcntRankEPSContGrowth7Y</t>
  </si>
  <si>
    <t>PcntRankEPSContGrowth12M</t>
  </si>
  <si>
    <t>PcntRankCashFlowGrowth1Y</t>
  </si>
  <si>
    <t>PcntRankCashFlowGrowth3Y</t>
  </si>
  <si>
    <t>PcntRankCashFlowGrowth5Y</t>
  </si>
  <si>
    <t>PcntRankCashFlowGrowth7Y</t>
  </si>
  <si>
    <t>PcntRankCashFlowGrowth12M</t>
  </si>
  <si>
    <t>PcntRankFreeCashFlowGrowth1Y</t>
  </si>
  <si>
    <t>PcntRankFreeCashFlowGrowth3Y</t>
  </si>
  <si>
    <t>PcntRankFreeCashFlowGrowth5Y</t>
  </si>
  <si>
    <t>PcntRankFreeCashFlowGrowth7Y</t>
  </si>
  <si>
    <t>PcntRankFreeCashFlowGrowth12M</t>
  </si>
  <si>
    <t>PcntRankDividendGrowth1Y</t>
  </si>
  <si>
    <t>PcntRankDividendGrowth3Y</t>
  </si>
  <si>
    <t>PcntRankDividendGrowth5Y</t>
  </si>
  <si>
    <t>PcntRankDividendGrowth7Y</t>
  </si>
  <si>
    <t>PcntRankDividendGrowth12M</t>
  </si>
  <si>
    <t>% Rank-Sales-Growth</t>
  </si>
  <si>
    <t>% Rank-Gross Income-Growth</t>
  </si>
  <si>
    <t>% Rank-Net Income-Growth</t>
  </si>
  <si>
    <t>% Rank-EPS-Growth</t>
  </si>
  <si>
    <t>% Rank-EPS Cont-Growth</t>
  </si>
  <si>
    <t>% Rank-Cash Flow-Growth</t>
  </si>
  <si>
    <t>% Rank-Free Cash Flow-Growth</t>
  </si>
  <si>
    <t>% Rank-Dividend-Growth</t>
  </si>
  <si>
    <t>High</t>
  </si>
  <si>
    <t>Low</t>
  </si>
  <si>
    <t>Close</t>
  </si>
  <si>
    <t>Volume</t>
  </si>
  <si>
    <t>Annual Prices</t>
  </si>
  <si>
    <t>Y_X</t>
  </si>
  <si>
    <t>Price</t>
  </si>
  <si>
    <t>PriceHigh</t>
  </si>
  <si>
    <t>PriceLow</t>
  </si>
  <si>
    <t>PriceVolume</t>
  </si>
  <si>
    <t>PriceDate</t>
  </si>
  <si>
    <t>Monthly Prices</t>
  </si>
  <si>
    <t>M_X</t>
  </si>
  <si>
    <t>Qtrly (8 periods)</t>
  </si>
  <si>
    <t>Yearly (7 Periods)</t>
  </si>
  <si>
    <t>Pricing</t>
  </si>
  <si>
    <t>Period Date</t>
  </si>
  <si>
    <t>Monthly (120 periods)</t>
  </si>
  <si>
    <t>PriceDateM_X</t>
  </si>
  <si>
    <t>PriceDateY_X</t>
  </si>
  <si>
    <t>PriceHighM_X</t>
  </si>
  <si>
    <t>PriceHighY_X</t>
  </si>
  <si>
    <t>PriceLowM_X</t>
  </si>
  <si>
    <t>PriceLowY_X</t>
  </si>
  <si>
    <t>PriceM_X</t>
  </si>
  <si>
    <t>PriceY_X</t>
  </si>
  <si>
    <t>PriceVolumeM_X</t>
  </si>
  <si>
    <t>PriceVolumeY_X</t>
  </si>
  <si>
    <t>SplitDate</t>
  </si>
  <si>
    <t>SplitFactor</t>
  </si>
  <si>
    <t>LastPriceDate</t>
  </si>
  <si>
    <t>52WeekHigh</t>
  </si>
  <si>
    <t>52WeekLow</t>
  </si>
  <si>
    <t>52WeekHighPricePcnt</t>
  </si>
  <si>
    <t>RelativeStrengthWeighted4Q</t>
  </si>
  <si>
    <t>LastPrice</t>
  </si>
  <si>
    <t>VolumeAveMonthly3m</t>
  </si>
  <si>
    <t>VolumeAveDaily10D</t>
  </si>
  <si>
    <t>SharesPerADR</t>
  </si>
  <si>
    <t>InstitutionSharesPurchased</t>
  </si>
  <si>
    <t>InstitutionSharesSold</t>
  </si>
  <si>
    <t>InsiderOwnershipPcnt</t>
  </si>
  <si>
    <t>InsiderSharesPurchased</t>
  </si>
  <si>
    <t>InsiderBuyTrades</t>
  </si>
  <si>
    <t>InsiderSharesSold</t>
  </si>
  <si>
    <t>InsiderSellTrades</t>
  </si>
  <si>
    <t>Float</t>
  </si>
  <si>
    <t>Beta</t>
  </si>
  <si>
    <t>MarketcapQ1</t>
  </si>
  <si>
    <t>PriceChange3YMean</t>
  </si>
  <si>
    <t>PriceChange3YStdDev</t>
  </si>
  <si>
    <t>PriceChange3YAnnual</t>
  </si>
  <si>
    <t>InsiderNetSharePurchased</t>
  </si>
  <si>
    <t>NetInsiderBuysPcntSharesOut</t>
  </si>
  <si>
    <t>ShortInterestPcntChangeM2toM1</t>
  </si>
  <si>
    <t>PriceAsPcntOf2YearHigh</t>
  </si>
  <si>
    <t>VolumeDollarDailyAvg3M</t>
  </si>
  <si>
    <t>PriceChange4W</t>
  </si>
  <si>
    <t>PriceChange13W</t>
  </si>
  <si>
    <t>PriceChange26W</t>
  </si>
  <si>
    <t>PriceChange52W</t>
  </si>
  <si>
    <t>RelativeStrength4W</t>
  </si>
  <si>
    <t>RelativeStrength13W</t>
  </si>
  <si>
    <t>RelativeStrength26W</t>
  </si>
  <si>
    <t>RelativeStrength52W</t>
  </si>
  <si>
    <t>ShortInterestDateM_x</t>
  </si>
  <si>
    <t>ShortInterestM_x</t>
  </si>
  <si>
    <t>ShortInterestratioM_x</t>
  </si>
  <si>
    <t>ShortInterestPcntOfFloatM_x</t>
  </si>
  <si>
    <t>ShortInterestPcntOfSharesM_x</t>
  </si>
  <si>
    <t>SharesAveQ_x</t>
  </si>
  <si>
    <t>SharesAveY_x</t>
  </si>
  <si>
    <t>PE</t>
  </si>
  <si>
    <t>PricePerBook</t>
  </si>
  <si>
    <t>PricePerSales</t>
  </si>
  <si>
    <t>PricePerCFPS</t>
  </si>
  <si>
    <t>PricePerFCFPS</t>
  </si>
  <si>
    <t>Yield</t>
  </si>
  <si>
    <t>General</t>
  </si>
  <si>
    <t>Company Name</t>
  </si>
  <si>
    <t>Name</t>
  </si>
  <si>
    <t>Exchange</t>
  </si>
  <si>
    <t>Street</t>
  </si>
  <si>
    <t>City</t>
  </si>
  <si>
    <t>State</t>
  </si>
  <si>
    <t>Zip</t>
  </si>
  <si>
    <t>Country</t>
  </si>
  <si>
    <t>Phone</t>
  </si>
  <si>
    <t>Website</t>
  </si>
  <si>
    <t>SIC</t>
  </si>
  <si>
    <t>DRP</t>
  </si>
  <si>
    <t>Shadow</t>
  </si>
  <si>
    <t>SPComponent</t>
  </si>
  <si>
    <t>DOWComponent</t>
  </si>
  <si>
    <t>ADR</t>
  </si>
  <si>
    <t>Employees</t>
  </si>
  <si>
    <t>Optionable</t>
  </si>
  <si>
    <t>Address:</t>
  </si>
  <si>
    <t>Name:</t>
  </si>
  <si>
    <t>Exchange:</t>
  </si>
  <si>
    <t>Phone:</t>
  </si>
  <si>
    <t>Web:</t>
  </si>
  <si>
    <t>Sector:</t>
  </si>
  <si>
    <t>Industry:</t>
  </si>
  <si>
    <t>Sic:</t>
  </si>
  <si>
    <t>Dividend Reinvestment Plan</t>
  </si>
  <si>
    <t>AAII Shadow Stock Indicator</t>
  </si>
  <si>
    <t>S&amp;P Index Component</t>
  </si>
  <si>
    <t>Dow Jones Ave. Component</t>
  </si>
  <si>
    <t>American Depository Receipt</t>
  </si>
  <si>
    <t>No. of Fulltime Employees</t>
  </si>
  <si>
    <t>Is Optionable?</t>
  </si>
  <si>
    <t>Last Split</t>
  </si>
  <si>
    <t>Date</t>
  </si>
  <si>
    <t>Last Split Date</t>
  </si>
  <si>
    <t>Last Split Factor</t>
  </si>
  <si>
    <t>Multiples</t>
  </si>
  <si>
    <t>3 Year Average</t>
  </si>
  <si>
    <t>5 Year Average</t>
  </si>
  <si>
    <t>7 Year Average</t>
  </si>
  <si>
    <t>Yearly Ave (7 Periods)</t>
  </si>
  <si>
    <t>Curr. Year Est</t>
  </si>
  <si>
    <t>2nd Year Est.</t>
  </si>
  <si>
    <t>PE / EPS</t>
  </si>
  <si>
    <t>PE1YearAgo</t>
  </si>
  <si>
    <t>PEAve3Y</t>
  </si>
  <si>
    <t>PEAve5Y</t>
  </si>
  <si>
    <t>PEAve7Y</t>
  </si>
  <si>
    <t>PEAveY_x</t>
  </si>
  <si>
    <t>PEForwardEPSY0</t>
  </si>
  <si>
    <t>PEForwardEPSY1</t>
  </si>
  <si>
    <t>PEForwardEPSY2</t>
  </si>
  <si>
    <t>Price/Book</t>
  </si>
  <si>
    <t>PricePerBook1YearAgo</t>
  </si>
  <si>
    <t>PricePerBookAve3Y</t>
  </si>
  <si>
    <t>PricePerBookAve5Y</t>
  </si>
  <si>
    <t>PricePerBookAve7Y</t>
  </si>
  <si>
    <t>PricePerBookAveY_x</t>
  </si>
  <si>
    <t>Price/Sales</t>
  </si>
  <si>
    <t>PricePerSales1YearAgo</t>
  </si>
  <si>
    <t>PricePerSalesAve3Y</t>
  </si>
  <si>
    <t>PricePerSalesAve5Y</t>
  </si>
  <si>
    <t>PricePerSalesAve7Y</t>
  </si>
  <si>
    <t>PricePerSalesAveY_x</t>
  </si>
  <si>
    <t>Price/CFPS</t>
  </si>
  <si>
    <t>PricePerCFPS1YearAgo</t>
  </si>
  <si>
    <t>PricePerCFPSAve3Y</t>
  </si>
  <si>
    <t>PricePerCFPSAve5Y</t>
  </si>
  <si>
    <t>PricePerCFPSAve7Y</t>
  </si>
  <si>
    <t>PricePerCFPSAveY_x</t>
  </si>
  <si>
    <t>Price/FCFPS</t>
  </si>
  <si>
    <t>PricePerFCFPS1YearAgo</t>
  </si>
  <si>
    <t>PricePerFCFPSAve3Y</t>
  </si>
  <si>
    <t>PricePerFCFPSAve5Y</t>
  </si>
  <si>
    <t>PricePerFCFPSAve7Y</t>
  </si>
  <si>
    <t>PricePerFCFPSAveY_x</t>
  </si>
  <si>
    <t>Yield1YearAgo</t>
  </si>
  <si>
    <t>YieldAve3Y</t>
  </si>
  <si>
    <t>YieldAve5Y</t>
  </si>
  <si>
    <t>YieldAve7Y</t>
  </si>
  <si>
    <t>YieldAveY_x</t>
  </si>
  <si>
    <t>IndustryPE</t>
  </si>
  <si>
    <t>Industry PE / EPS</t>
  </si>
  <si>
    <t>IndustryPE1YearAgo</t>
  </si>
  <si>
    <t>IndustryPEAve3Y</t>
  </si>
  <si>
    <t>IndustryPEAve5Y</t>
  </si>
  <si>
    <t>IndustryPEAve7Y</t>
  </si>
  <si>
    <t>IndustryPEAveY_x</t>
  </si>
  <si>
    <t>IndustryPEForwardEPSY0</t>
  </si>
  <si>
    <t>IndustryPEForwardEPSY1</t>
  </si>
  <si>
    <t>IndustryPEForwardEPSY2</t>
  </si>
  <si>
    <t>IndustryPricePerBook</t>
  </si>
  <si>
    <t>Industry Price/Book</t>
  </si>
  <si>
    <t>IndustryPricePerBook1YearAgo</t>
  </si>
  <si>
    <t>IndustryPricePerBookAve3Y</t>
  </si>
  <si>
    <t>IndustryPricePerBookAve5Y</t>
  </si>
  <si>
    <t>IndustryPricePerBookAve7Y</t>
  </si>
  <si>
    <t>IndustryPricePerSales</t>
  </si>
  <si>
    <t>Industry Price/Sales</t>
  </si>
  <si>
    <t>IndustryPricePerSales1YearAgo</t>
  </si>
  <si>
    <t>IndustryPricePerSalesAve3Y</t>
  </si>
  <si>
    <t>IndustryPricePerSalesAve5Y</t>
  </si>
  <si>
    <t>IndustryPricePerSalesAve7Y</t>
  </si>
  <si>
    <t>IndustryPricePerCFPS</t>
  </si>
  <si>
    <t>Industry Price/CFPS</t>
  </si>
  <si>
    <t>IndustryPricePerCFPS1YearAgo</t>
  </si>
  <si>
    <t>IndustryPricePerCFPSAve3Y</t>
  </si>
  <si>
    <t>IndustryPricePerCFPSAve5Y</t>
  </si>
  <si>
    <t>IndustryPricePerCFPSAve7Y</t>
  </si>
  <si>
    <t>IndustryPricePerFCFPS</t>
  </si>
  <si>
    <t>Industry Price/FCFPS</t>
  </si>
  <si>
    <t>IndustryPricePerFCFPS1YearAgo</t>
  </si>
  <si>
    <t>IndustryPricePerFCFPSAve3Y</t>
  </si>
  <si>
    <t>IndustryPricePerFCFPSAve5Y</t>
  </si>
  <si>
    <t>IndustryPricePerFCFPSAve7Y</t>
  </si>
  <si>
    <t>IndustryYield</t>
  </si>
  <si>
    <t>Industry Yield</t>
  </si>
  <si>
    <t>IndustryYield1YearAgo</t>
  </si>
  <si>
    <t>IndustryYieldAve3Y</t>
  </si>
  <si>
    <t>IndustryYieldAve5Y</t>
  </si>
  <si>
    <t>IndustryYieldAve7Y</t>
  </si>
  <si>
    <t>SectorPE</t>
  </si>
  <si>
    <t>Sector PE / EPS</t>
  </si>
  <si>
    <t>SectorPE1YearAgo</t>
  </si>
  <si>
    <t>SectorPEAve3Y</t>
  </si>
  <si>
    <t>SectorPEAve5Y</t>
  </si>
  <si>
    <t>SectorPEAve7Y</t>
  </si>
  <si>
    <t>SectorPEAveY_x</t>
  </si>
  <si>
    <t>ValuationAveCF</t>
  </si>
  <si>
    <t>Valuation-Avg P/CF</t>
  </si>
  <si>
    <t>SectorPEForwardEPSY0</t>
  </si>
  <si>
    <t>SectorPEForwardEPSY1</t>
  </si>
  <si>
    <t>SectorPEForwardEPSY2</t>
  </si>
  <si>
    <t>SectorPricePerBook</t>
  </si>
  <si>
    <t>Sector Price/Book</t>
  </si>
  <si>
    <t>SectorPricePerBook1YearAgo</t>
  </si>
  <si>
    <t>SectorPricePerBookAve3Y</t>
  </si>
  <si>
    <t>SectorPricePerBookAve5Y</t>
  </si>
  <si>
    <t>SectorPricePerBookAve7Y</t>
  </si>
  <si>
    <t>SectorPricePerSales</t>
  </si>
  <si>
    <t>Sector Price/Sales</t>
  </si>
  <si>
    <t>SectorPricePerSales1YearAgo</t>
  </si>
  <si>
    <t>SectorPricePerSalesAve3Y</t>
  </si>
  <si>
    <t>SectorPricePerSalesAve5Y</t>
  </si>
  <si>
    <t>SectorPricePerSalesAve7Y</t>
  </si>
  <si>
    <t>SectorPricePerCFPS</t>
  </si>
  <si>
    <t>Sector Price/CFPS</t>
  </si>
  <si>
    <t>SectorPricePerCFPS1YearAgo</t>
  </si>
  <si>
    <t>SectorPricePerCFPSAve3Y</t>
  </si>
  <si>
    <t>SectorPricePerCFPSAve5Y</t>
  </si>
  <si>
    <t>SectorPricePerCFPSAve7Y</t>
  </si>
  <si>
    <t>SectorPricePerFCFPS</t>
  </si>
  <si>
    <t>Sector Price/FCFPS</t>
  </si>
  <si>
    <t>SectorPricePerFCFPS1YearAgo</t>
  </si>
  <si>
    <t>SectorPricePerFCFPSAve3Y</t>
  </si>
  <si>
    <t>SectorPricePerFCFPSAve5Y</t>
  </si>
  <si>
    <t>SectorPricePerFCFPSAve7Y</t>
  </si>
  <si>
    <t>SectorYield</t>
  </si>
  <si>
    <t>Sector Yield</t>
  </si>
  <si>
    <t>SectorYield1YearAgo</t>
  </si>
  <si>
    <t>SectorYieldAve3Y</t>
  </si>
  <si>
    <t>SectorYieldAve5Y</t>
  </si>
  <si>
    <t>SectorYieldAve7Y</t>
  </si>
  <si>
    <t>PcntRank</t>
  </si>
  <si>
    <t>PcntRankPE</t>
  </si>
  <si>
    <t>PcntRank PE / EPS</t>
  </si>
  <si>
    <t>PcntRankPE1YearAgo</t>
  </si>
  <si>
    <t>PcntRankPEAve3Y</t>
  </si>
  <si>
    <t>PcntRankPEAve5Y</t>
  </si>
  <si>
    <t>PcntRankPEAve7Y</t>
  </si>
  <si>
    <t>PcntRankPEAveY_x</t>
  </si>
  <si>
    <t>PcntRankPEForwardEPSY0</t>
  </si>
  <si>
    <t>PcntRankPEForwardEPSY1</t>
  </si>
  <si>
    <t>PcntRankPEForwardEPSY2</t>
  </si>
  <si>
    <t>PcntRankPricePerBook</t>
  </si>
  <si>
    <t>PcntRank Price/Book</t>
  </si>
  <si>
    <t>PcntRankPricePerBook1YearAgo</t>
  </si>
  <si>
    <t>PcntRankPricePerBookAve3Y</t>
  </si>
  <si>
    <t>PcntRankPricePerBookAve5Y</t>
  </si>
  <si>
    <t>PcntRankPricePerBookAve7Y</t>
  </si>
  <si>
    <t>PcntRankPricePerSales</t>
  </si>
  <si>
    <t>PcntRank Price/Sales</t>
  </si>
  <si>
    <t>PcntRankPricePerSales1YearAgo</t>
  </si>
  <si>
    <t>PcntRankPricePerSalesAve3Y</t>
  </si>
  <si>
    <t>PcntRankPricePerSalesAve5Y</t>
  </si>
  <si>
    <t>PcntRankPricePerSalesAve7Y</t>
  </si>
  <si>
    <t>PcntRankPricePerCFPS</t>
  </si>
  <si>
    <t>PcntRank Price/CFPS</t>
  </si>
  <si>
    <t>PcntRankPricePerCFPS1YearAgo</t>
  </si>
  <si>
    <t>PcntRankPricePerCFPSAve3Y</t>
  </si>
  <si>
    <t>PcntRankPricePerCFPSAve5Y</t>
  </si>
  <si>
    <t>PcntRankPricePerCFPSAve7Y</t>
  </si>
  <si>
    <t>PcntRankPricePerFCFPS</t>
  </si>
  <si>
    <t>PcntRank Price/FCFPS</t>
  </si>
  <si>
    <t>PcntRankPricePerFCFPS1YearAgo</t>
  </si>
  <si>
    <t>PcntRankPricePerFCFPSAve3Y</t>
  </si>
  <si>
    <t>PcntRankPricePerFCFPSAve5Y</t>
  </si>
  <si>
    <t>PcntRankPricePerFCFPSAve7Y</t>
  </si>
  <si>
    <t>PcntRankYield</t>
  </si>
  <si>
    <t>PcntRank Yield</t>
  </si>
  <si>
    <t>PcntRankYield1YearAgo</t>
  </si>
  <si>
    <t>PcntRankYieldAve3Y</t>
  </si>
  <si>
    <t>PcntRankYieldAve5Y</t>
  </si>
  <si>
    <t>PcntRankYieldAve7Y</t>
  </si>
  <si>
    <t>PEtoEPSGrowth5Y</t>
  </si>
  <si>
    <t>PEtoEPSEstGrowth5Y</t>
  </si>
  <si>
    <t>PcntRankPEtoEPSGrowth5Y</t>
  </si>
  <si>
    <t>PcntRankPEtoEPSEstGrowth5Y</t>
  </si>
  <si>
    <t>PcntRankPEtoDivAdjEPSGrowth5Y</t>
  </si>
  <si>
    <t>PEtoDivAdjEPSGrowth5Y</t>
  </si>
  <si>
    <t>PEUsingAveEPS3Y</t>
  </si>
  <si>
    <t>IndustryPEtoEPSGrowth5Y</t>
  </si>
  <si>
    <t>IndustryPEtoEPSEstGrowth5Y</t>
  </si>
  <si>
    <t>IndustryPEtoDivAdjEPSGrowth5Y</t>
  </si>
  <si>
    <t>SectorPEtoEPSGrowth5Y</t>
  </si>
  <si>
    <t>SectorPEtoEPSEstGrowth5Y</t>
  </si>
  <si>
    <t>SectorPEtoDivAdjEPSGrowth5Y</t>
  </si>
  <si>
    <t>PcntRankPEHighAve3Y</t>
  </si>
  <si>
    <t>PcntRankPEHighAve5Y</t>
  </si>
  <si>
    <t>PcntRankPEHighAve7Y</t>
  </si>
  <si>
    <t>PcntRankPELowAve3Y</t>
  </si>
  <si>
    <t>PcntRankPELowAve5Y</t>
  </si>
  <si>
    <t>PcntRankPELowAve7Y</t>
  </si>
  <si>
    <t>PEHighAve3Y</t>
  </si>
  <si>
    <t>PEHighAve5Y</t>
  </si>
  <si>
    <t>PEHighAve7Y</t>
  </si>
  <si>
    <t>PELowAve3Y</t>
  </si>
  <si>
    <t>PELowAve5Y</t>
  </si>
  <si>
    <t>PELowAve7Y</t>
  </si>
  <si>
    <t>Profitability</t>
  </si>
  <si>
    <t>GrossMargin</t>
  </si>
  <si>
    <t>Y_x</t>
  </si>
  <si>
    <t>5 Year Ave.</t>
  </si>
  <si>
    <t>OperatingMargin</t>
  </si>
  <si>
    <t>TimesInterestEarned</t>
  </si>
  <si>
    <t>ReceivablesTurnover</t>
  </si>
  <si>
    <t>NetMargin</t>
  </si>
  <si>
    <t>PayoutRatio</t>
  </si>
  <si>
    <t>ReturnOnAssets</t>
  </si>
  <si>
    <t>ReturnOnEquity</t>
  </si>
  <si>
    <t>Liquidity</t>
  </si>
  <si>
    <t>QuickRatio</t>
  </si>
  <si>
    <t>CurrentRatio</t>
  </si>
  <si>
    <t>TotalLiabilitiesAssets</t>
  </si>
  <si>
    <t>LTDebtTotalCapital</t>
  </si>
  <si>
    <t>LTDebtEquity</t>
  </si>
  <si>
    <t>Debt Management</t>
  </si>
  <si>
    <t>Asset Management</t>
  </si>
  <si>
    <t>InventoryTurnover</t>
  </si>
  <si>
    <t>AssetTurnover</t>
  </si>
  <si>
    <t>3 Year Ave</t>
  </si>
  <si>
    <t>Ratios</t>
  </si>
  <si>
    <t>12 Month</t>
  </si>
  <si>
    <t>5 Year Ave</t>
  </si>
  <si>
    <t>Q1</t>
  </si>
  <si>
    <t>Last Quarter</t>
  </si>
  <si>
    <t>PcntRankEPSDilContGrowth</t>
  </si>
  <si>
    <t>% Rank EPS Dil Cont-Growth</t>
  </si>
  <si>
    <t>Current Estimate</t>
  </si>
  <si>
    <t>EPSEst</t>
  </si>
  <si>
    <t>Q0</t>
  </si>
  <si>
    <t>Y0</t>
  </si>
  <si>
    <t>Y1</t>
  </si>
  <si>
    <t>Y2</t>
  </si>
  <si>
    <t>EPSEstHigh</t>
  </si>
  <si>
    <t>EPSEstLow</t>
  </si>
  <si>
    <t>EPSEstStdDev</t>
  </si>
  <si>
    <t>EPSEstNumber</t>
  </si>
  <si>
    <t>EPSEstLastWeek</t>
  </si>
  <si>
    <t>High Estimate</t>
  </si>
  <si>
    <t>Low Estimate</t>
  </si>
  <si>
    <t>Std. Deviation</t>
  </si>
  <si>
    <t># of Estimates</t>
  </si>
  <si>
    <t>EPSEstLastMonth</t>
  </si>
  <si>
    <t>EPSEstRevisionsUp</t>
  </si>
  <si>
    <t>EPSEstRevisionsDown</t>
  </si>
  <si>
    <t>Week Ago Estimate</t>
  </si>
  <si>
    <t>Month Ago Estimate</t>
  </si>
  <si>
    <t># Revisions Up</t>
  </si>
  <si>
    <t># Revisions Down</t>
  </si>
  <si>
    <t>EPSEstPcntRevLastMonth</t>
  </si>
  <si>
    <t>% Rev Last Month</t>
  </si>
  <si>
    <t>Rate %</t>
  </si>
  <si>
    <t>Qtrly Earnings Surprise</t>
  </si>
  <si>
    <t>Estimate</t>
  </si>
  <si>
    <t>Actual</t>
  </si>
  <si>
    <t>Difference</t>
  </si>
  <si>
    <t>% Surprise</t>
  </si>
  <si>
    <t>Std Dev</t>
  </si>
  <si>
    <t>Sue Score</t>
  </si>
  <si>
    <t>DateCurrentFiscalYear</t>
  </si>
  <si>
    <t>DateLatestQtrlyEPS</t>
  </si>
  <si>
    <t>EPSEstY0</t>
  </si>
  <si>
    <t>EPSEstLastMonthY0</t>
  </si>
  <si>
    <t>EPSEstLastWeekY0</t>
  </si>
  <si>
    <t>EPSEstStdDevY0</t>
  </si>
  <si>
    <t>EPSEstHighY0</t>
  </si>
  <si>
    <t>EPSEstLowY0</t>
  </si>
  <si>
    <t>EPSEstNumberY0</t>
  </si>
  <si>
    <t>EPSEstRevisionsUpY0</t>
  </si>
  <si>
    <t>EPSEstRevisionsDownY0</t>
  </si>
  <si>
    <t>EPSEstPcntRevLastMonthY0</t>
  </si>
  <si>
    <t>EPSEstY1</t>
  </si>
  <si>
    <t>EPSEstLastMonthY1</t>
  </si>
  <si>
    <t>EPSEstLastWeekY1</t>
  </si>
  <si>
    <t>EPSEstStdDevY1</t>
  </si>
  <si>
    <t>EPSEstHighY1</t>
  </si>
  <si>
    <t>EPSEstLowY1</t>
  </si>
  <si>
    <t>EPSEstNumberY1</t>
  </si>
  <si>
    <t>EPSEstRevisionsUpY1</t>
  </si>
  <si>
    <t>EPSEstRevisionsDownY1</t>
  </si>
  <si>
    <t>EPSEstPcntRevLastMonthY1</t>
  </si>
  <si>
    <t>EPSEstY2</t>
  </si>
  <si>
    <t>EPSEstLastMonthY2</t>
  </si>
  <si>
    <t>EPSEstLastWeekY2</t>
  </si>
  <si>
    <t>EPSEstStdDevY2</t>
  </si>
  <si>
    <t>EPSEstHighY2</t>
  </si>
  <si>
    <t>EPSEstLowY2</t>
  </si>
  <si>
    <t>EPSEstNumberY2</t>
  </si>
  <si>
    <t>EPSEstRevisionsUpY2</t>
  </si>
  <si>
    <t>EPSEstRevisionsDownY2</t>
  </si>
  <si>
    <t>EPSEstPcntRevLastMonthY2</t>
  </si>
  <si>
    <t>EPSEstQ0</t>
  </si>
  <si>
    <t>EPSEstLastMonthQ0</t>
  </si>
  <si>
    <t>EPSEstLastWeekQ0</t>
  </si>
  <si>
    <t>EPSEstStdDevQ0</t>
  </si>
  <si>
    <t>EPSEstHighQ0</t>
  </si>
  <si>
    <t>EPSEstLowQ0</t>
  </si>
  <si>
    <t>EPSEstNumberQ0</t>
  </si>
  <si>
    <t>EPSEstRevisionsUpQ0</t>
  </si>
  <si>
    <t>EPSEstRevisionsDownQ0</t>
  </si>
  <si>
    <t>EPSEstPcntRevLastMonthQ0</t>
  </si>
  <si>
    <t>EPSEstQ1</t>
  </si>
  <si>
    <t>EPSEstLastMonthQ1</t>
  </si>
  <si>
    <t>EPSEstLastWeekQ1</t>
  </si>
  <si>
    <t>EPSEstStdDevQ1</t>
  </si>
  <si>
    <t>EPSEstHighQ1</t>
  </si>
  <si>
    <t>EPSEstLowQ1</t>
  </si>
  <si>
    <t>EPSEstNumberQ1</t>
  </si>
  <si>
    <t>EPSEstRevisionsUpQ1</t>
  </si>
  <si>
    <t>EPSEstRevisionsDownQ1</t>
  </si>
  <si>
    <t>EPSEstPcntRevLastMonthQ1</t>
  </si>
  <si>
    <t>EPSGrowthEst</t>
  </si>
  <si>
    <t>EPSGrowthEstLastMonth</t>
  </si>
  <si>
    <t>EPSGrowthEststdDev</t>
  </si>
  <si>
    <t>EPSGrowthEstHigh</t>
  </si>
  <si>
    <t>EPSGrowthEstLow</t>
  </si>
  <si>
    <t>EPSGrowthEstNumber</t>
  </si>
  <si>
    <t>EPSGrowthEstRevisionsUp</t>
  </si>
  <si>
    <t>EPSGrowthEstRevisionsDown</t>
  </si>
  <si>
    <t>QtrlySurpriseEPS</t>
  </si>
  <si>
    <t>QtrlySurpriseDate</t>
  </si>
  <si>
    <t>QtrlySurpriseEst</t>
  </si>
  <si>
    <t>QtrlySurpriseDifference</t>
  </si>
  <si>
    <t>QtrlySurprisePercent</t>
  </si>
  <si>
    <t>QtrlySurpriseStdDev</t>
  </si>
  <si>
    <t>QtrlySurpriseSUEQ1</t>
  </si>
  <si>
    <t>EPSGrowthHistY1toEstY0</t>
  </si>
  <si>
    <t>EPSGrowthEstY0toEstY1</t>
  </si>
  <si>
    <t>EPSGrowthEstY1toEstY2</t>
  </si>
  <si>
    <t>ValuationPE</t>
  </si>
  <si>
    <t>ValuationYield</t>
  </si>
  <si>
    <t>ValuationAvePE</t>
  </si>
  <si>
    <t>ValuationAvePriceFCF</t>
  </si>
  <si>
    <t>ValuationAveYield</t>
  </si>
  <si>
    <t>ValuationPEandEst</t>
  </si>
  <si>
    <t>ValuationPEAandEst</t>
  </si>
  <si>
    <t>BuffettPriceGrowthEPSGrowth</t>
  </si>
  <si>
    <t>BuffettPriceGrowthSustGrowth</t>
  </si>
  <si>
    <t>Inve$tWareEPSProjection</t>
  </si>
  <si>
    <t>Inve$tWareForecastHighPrice</t>
  </si>
  <si>
    <t>Inve$tWareForecastLowPrice</t>
  </si>
  <si>
    <t>Inve$tWareBuyPrice</t>
  </si>
  <si>
    <t>Inve$tWarePcntLowtoHigh</t>
  </si>
  <si>
    <t>Inve$tWareTotalReturn</t>
  </si>
  <si>
    <t>Inve$tWarePAR</t>
  </si>
  <si>
    <t>ValuationSPS</t>
  </si>
  <si>
    <t>ValuationCFPS</t>
  </si>
  <si>
    <t>ValuationFCFPS</t>
  </si>
  <si>
    <t>ValuationAveSPS</t>
  </si>
  <si>
    <t>IndustryPriceAsPcntof52WeekHigh</t>
  </si>
  <si>
    <t>PcntRankPriceAsPcntof52WeekHigh</t>
  </si>
  <si>
    <t>PcntRankShortInterestRatioM_x</t>
  </si>
  <si>
    <t>PcntRankPrice</t>
  </si>
  <si>
    <t>PcntRankPriceHigh52Week</t>
  </si>
  <si>
    <t>PcntRankPriceLow52Week</t>
  </si>
  <si>
    <t>Split Factor</t>
  </si>
  <si>
    <t>LTDebtWorkingCapitalQ1</t>
  </si>
  <si>
    <t>LT Debt / Working Capital</t>
  </si>
  <si>
    <t>PcntRankRelStrength</t>
  </si>
  <si>
    <t>IndustryRelativeStrength</t>
  </si>
  <si>
    <t>SectorRelativeStrength</t>
  </si>
  <si>
    <t>IndustryRelativeStrength4W</t>
  </si>
  <si>
    <t>IndustryRelativeStrength13W</t>
  </si>
  <si>
    <t>IndustryRelativeStrength26W</t>
  </si>
  <si>
    <t>IndustryRelativeStrength52W</t>
  </si>
  <si>
    <t>SectorRelativeStrength4W</t>
  </si>
  <si>
    <t>SectorRelativeStrength13W</t>
  </si>
  <si>
    <t>SectorRelativeStrength26W</t>
  </si>
  <si>
    <t>SectorRelativeStrength52W</t>
  </si>
  <si>
    <t>PcntRankRelStrength4W</t>
  </si>
  <si>
    <t>PcntRankRelStrength13W</t>
  </si>
  <si>
    <t xml:space="preserve">      in ascending symbol order</t>
  </si>
  <si>
    <t>Use !1, !2 etc instead of symbol to access database</t>
  </si>
  <si>
    <t>PcntRankRelStrength26W</t>
  </si>
  <si>
    <t>PcntRankRelStrength52W</t>
  </si>
  <si>
    <t>PcntRankRelStrengthWeighted4Q</t>
  </si>
  <si>
    <t>InstitutionalShareHolders</t>
  </si>
  <si>
    <t>InstitutionalOwnershipPcnt</t>
  </si>
  <si>
    <t>Growth Est.</t>
  </si>
  <si>
    <t>Growth %</t>
  </si>
  <si>
    <t>IndustrySales</t>
  </si>
  <si>
    <t>SectorSales</t>
  </si>
  <si>
    <t>PcntRankSales</t>
  </si>
  <si>
    <t>SectorTotalAssets</t>
  </si>
  <si>
    <t>pcntRankTotalAssets</t>
  </si>
  <si>
    <t>DividendIndicated</t>
  </si>
  <si>
    <t>Indicated yearly Dividend Per share</t>
  </si>
  <si>
    <t>Flash Results</t>
  </si>
  <si>
    <t>EPS Growth-Hist Y1 to Est Y0</t>
  </si>
  <si>
    <t>EPS Growth-Est Y0 to Est Y1</t>
  </si>
  <si>
    <t>EPS Growth-Est Y1 to Est Y2</t>
  </si>
  <si>
    <t>F Score TTM</t>
  </si>
  <si>
    <t>F Score Y1</t>
  </si>
  <si>
    <t>EndingDateY_x</t>
  </si>
  <si>
    <t>EndingDateQ_x</t>
  </si>
  <si>
    <t>LengthOfPeriodY_x</t>
  </si>
  <si>
    <t>Description</t>
  </si>
  <si>
    <t>Field Name</t>
  </si>
  <si>
    <t>SectorLTDebtTotalCapitalQ1</t>
  </si>
  <si>
    <t xml:space="preserve"> </t>
  </si>
  <si>
    <t>DCFBSCF</t>
  </si>
  <si>
    <t>DCFOCF</t>
  </si>
  <si>
    <t>DCF</t>
  </si>
  <si>
    <t>Qtrly (4 Periods)</t>
  </si>
  <si>
    <t>DCF: BSCF</t>
  </si>
  <si>
    <t>DCF: OCF</t>
  </si>
  <si>
    <t>Period Descriptions</t>
  </si>
  <si>
    <t>Ending Date</t>
  </si>
  <si>
    <t>LengthOfPeriod</t>
  </si>
  <si>
    <t>Year 2</t>
  </si>
  <si>
    <t>Year 4</t>
  </si>
  <si>
    <t>PE High</t>
  </si>
  <si>
    <t>PE Low</t>
  </si>
  <si>
    <t>Year (5 Period)</t>
  </si>
  <si>
    <t>PEHighY_X</t>
  </si>
  <si>
    <t>PELowY_X</t>
  </si>
  <si>
    <t>Misc</t>
  </si>
  <si>
    <t>Web Address</t>
  </si>
  <si>
    <t>SIC - Statistical Industry Classification Code</t>
  </si>
  <si>
    <t>Institutional Shareholders</t>
  </si>
  <si>
    <t>IndustryInstitutionalShareHolders</t>
  </si>
  <si>
    <t>SectorInstitutionalShareHolders</t>
  </si>
  <si>
    <t>Institutions -Shares Purchased</t>
  </si>
  <si>
    <t>Institutions -Shares Sold</t>
  </si>
  <si>
    <t>Insiders -Shares Purchased</t>
  </si>
  <si>
    <t>Insiders -Buy Trades</t>
  </si>
  <si>
    <t>Insiders -Shares Sold</t>
  </si>
  <si>
    <t>Insiders -Sell Trades</t>
  </si>
  <si>
    <t>IndustryMarketcapQ1</t>
  </si>
  <si>
    <t>SectorMarketcapQ1</t>
  </si>
  <si>
    <t>PcntRankMarketcapQ1</t>
  </si>
  <si>
    <t>52 Week High Price</t>
  </si>
  <si>
    <t>52 Week Low Price</t>
  </si>
  <si>
    <t>Volume Average Monthly 3m</t>
  </si>
  <si>
    <t>IndustryVolumeAveMonthly3m</t>
  </si>
  <si>
    <t>SectorVolumeAveMonthly3m</t>
  </si>
  <si>
    <t>PcntRankVolumeAveMonthly3m</t>
  </si>
  <si>
    <t>Volume Average Daily 10d</t>
  </si>
  <si>
    <t>Price Change  4 Week</t>
  </si>
  <si>
    <t>Price Change 13 Week</t>
  </si>
  <si>
    <t>Price Change 26 Week</t>
  </si>
  <si>
    <t>Price Change 52 Week</t>
  </si>
  <si>
    <t>Relative Strength  4 Week</t>
  </si>
  <si>
    <t>Relative Strength 13 Week</t>
  </si>
  <si>
    <t>Relative Strength 26 Week</t>
  </si>
  <si>
    <t>Relative Strength 52 Week</t>
  </si>
  <si>
    <t>Shares Per ADR</t>
  </si>
  <si>
    <t>Short Interest Ratio</t>
  </si>
  <si>
    <t>Short Interest % of Float</t>
  </si>
  <si>
    <t>Short Interest % of Shares</t>
  </si>
  <si>
    <t>Price Change 3 Year Mean</t>
  </si>
  <si>
    <t>Price Change 3 Year Std. Dev.</t>
  </si>
  <si>
    <t>Price Change 3 Year Annual</t>
  </si>
  <si>
    <t>Insiders -Net Shares Purchased</t>
  </si>
  <si>
    <t>Net Insider Buys % Shares Out.</t>
  </si>
  <si>
    <t>Short Interest % Change M2 to M1</t>
  </si>
  <si>
    <t>Volume -Dollar Daily Avg 3M</t>
  </si>
  <si>
    <t>Cash Per Share Q1</t>
  </si>
  <si>
    <t>Net Cash Per Share Q1</t>
  </si>
  <si>
    <t>Flash - Gross Operating Income</t>
  </si>
  <si>
    <t>Flash - Income For Primary EPS</t>
  </si>
  <si>
    <t>Flash - Pre-Tax Income</t>
  </si>
  <si>
    <t>Flash - Long-Term Debt</t>
  </si>
  <si>
    <t>Flash - Equity (Common)</t>
  </si>
  <si>
    <t>PE to Div Adj EPS Est Growth</t>
  </si>
  <si>
    <t>Earnings Yield 12 Month</t>
  </si>
  <si>
    <t>PE Relative High-Avg 5 Year</t>
  </si>
  <si>
    <t>PE Relative Low-Avg 5 Year</t>
  </si>
  <si>
    <t>PE Relative Avg-5 Year</t>
  </si>
  <si>
    <t>Yield High-Avg 7 Year</t>
  </si>
  <si>
    <t>PFCF to FCF Growth</t>
  </si>
  <si>
    <t>Pretax Margin 12 Month</t>
  </si>
  <si>
    <t>R&amp;D as % of Sales 12 Month</t>
  </si>
  <si>
    <t>Return on Equity - 7 Year Avg.</t>
  </si>
  <si>
    <t>Payout - 7 Year Avg.</t>
  </si>
  <si>
    <t>Price Change vs BV Change</t>
  </si>
  <si>
    <t>Sustainable-Growth 7 Year</t>
  </si>
  <si>
    <t>Gross Margin</t>
  </si>
  <si>
    <t>GrossMarginY_X</t>
  </si>
  <si>
    <t>Operating Margin</t>
  </si>
  <si>
    <t>OperatingMarginY_X</t>
  </si>
  <si>
    <t>Net Margin</t>
  </si>
  <si>
    <t>NetMarginY_X</t>
  </si>
  <si>
    <t>Return on Assets</t>
  </si>
  <si>
    <t>ReturnOnAssetsY_X</t>
  </si>
  <si>
    <t>Return on Equity</t>
  </si>
  <si>
    <t>ReturnOnEquityY_X</t>
  </si>
  <si>
    <t>Quick Ratio</t>
  </si>
  <si>
    <t>QuickRatioY_X</t>
  </si>
  <si>
    <t>Current Ratio</t>
  </si>
  <si>
    <t>CurrentRatioY_X</t>
  </si>
  <si>
    <t>Payout Ratio</t>
  </si>
  <si>
    <t>PayoutRatioY_X</t>
  </si>
  <si>
    <t>Times Interest Earned</t>
  </si>
  <si>
    <t>TimesInterestEarnedY_X</t>
  </si>
  <si>
    <t>Total Liabilities/Assets</t>
  </si>
  <si>
    <t>TotalLiabilitiesAssetsY_X</t>
  </si>
  <si>
    <t>LT Debt/Total Capital</t>
  </si>
  <si>
    <t>LTDebtTotalCapitalY_X</t>
  </si>
  <si>
    <t>LT Debt/Equity Year</t>
  </si>
  <si>
    <t>LTDebtEquityY_X</t>
  </si>
  <si>
    <t>Receivables Turnover</t>
  </si>
  <si>
    <t>ReceivablesTurnoverY_X</t>
  </si>
  <si>
    <t>Inventory Turnover</t>
  </si>
  <si>
    <t>InventoryTurnoverY_X</t>
  </si>
  <si>
    <t>Asset Turnover</t>
  </si>
  <si>
    <t>AssetTurnoverY_X</t>
  </si>
  <si>
    <t>Industry Sales</t>
  </si>
  <si>
    <t>IndustrySalesY_X</t>
  </si>
  <si>
    <t>Industry Gross margin</t>
  </si>
  <si>
    <t>IndustryGrossMarginY_X</t>
  </si>
  <si>
    <t>Industry Operating margin</t>
  </si>
  <si>
    <t>IndustryOperatingMarginY_X</t>
  </si>
  <si>
    <t>Industry Net margin</t>
  </si>
  <si>
    <t>IndustryNetMarginY_X</t>
  </si>
  <si>
    <t>Industry Total assets</t>
  </si>
  <si>
    <t>IndustryTotalAssetsY_X</t>
  </si>
  <si>
    <t>Industry Return on assets</t>
  </si>
  <si>
    <t>IndustryReturnOnAssetsY_X</t>
  </si>
  <si>
    <t>Industry Return on equity</t>
  </si>
  <si>
    <t>IndustryReturnOnEquityY_X</t>
  </si>
  <si>
    <t>Industry Quick ratio</t>
  </si>
  <si>
    <t>IndustryQuickRatioY_X</t>
  </si>
  <si>
    <t>Industry Current ratio</t>
  </si>
  <si>
    <t>IndustryCurrentRatioY_X</t>
  </si>
  <si>
    <t>Industry Payout ratio</t>
  </si>
  <si>
    <t>IndustryPayoutRatioY_X</t>
  </si>
  <si>
    <t>Industry Times interest earned</t>
  </si>
  <si>
    <t>IndustryTimesInterestEarnedY_X</t>
  </si>
  <si>
    <t>Industry Total liabilities/assets</t>
  </si>
  <si>
    <t>IndustryTotalLiabilitiesAssetsY_X</t>
  </si>
  <si>
    <t>Industry LT debt/total capital</t>
  </si>
  <si>
    <t>IndustryLTDebtTotalCapitalY_X</t>
  </si>
  <si>
    <t>Industry LT Debt/equity</t>
  </si>
  <si>
    <t>IndustryLTDebtEquityY_X</t>
  </si>
  <si>
    <t>Industry Receivables turnover</t>
  </si>
  <si>
    <t>IndustryReceivablesTurnoverY_X</t>
  </si>
  <si>
    <t>Industry Inventory turnover</t>
  </si>
  <si>
    <t>IndustryInventoryTurnoverY_X</t>
  </si>
  <si>
    <t>Industry Asset turnover</t>
  </si>
  <si>
    <t>IndustryAssetTurnoverY_X</t>
  </si>
  <si>
    <t>Sector Sales</t>
  </si>
  <si>
    <t>SectorSalesY_X</t>
  </si>
  <si>
    <t>Sector Gross margin</t>
  </si>
  <si>
    <t>SectorGrossMarginY_X</t>
  </si>
  <si>
    <t>Sector Operating margin</t>
  </si>
  <si>
    <t>SectorOperatingMarginY_X</t>
  </si>
  <si>
    <t>Sector Net margin</t>
  </si>
  <si>
    <t>SectorNetMarginY_X</t>
  </si>
  <si>
    <t>Sector Total assets</t>
  </si>
  <si>
    <t>SectorTotalAssetsY_X</t>
  </si>
  <si>
    <t>Sector Return on assets</t>
  </si>
  <si>
    <t>SectorReturnOnAssetsY_X</t>
  </si>
  <si>
    <t>Sector Return on equity</t>
  </si>
  <si>
    <t>SectorReturnOnEquityY_X</t>
  </si>
  <si>
    <t>Sector Quick ratio</t>
  </si>
  <si>
    <t>SectorQuickRatioY_X</t>
  </si>
  <si>
    <t>Sector Current ratio</t>
  </si>
  <si>
    <t>SectorCurrentRatioY_X</t>
  </si>
  <si>
    <t>Sector Payout ratio</t>
  </si>
  <si>
    <t>SectorPayoutRatioY_X</t>
  </si>
  <si>
    <t>Sector Times interest earned</t>
  </si>
  <si>
    <t>SectorTimesInterestEarnedY_X</t>
  </si>
  <si>
    <t>Sector Total liabilities/assets</t>
  </si>
  <si>
    <t>SectorTotalLiabilitiesAssetsY_X</t>
  </si>
  <si>
    <t>Sector LT debt/total capital</t>
  </si>
  <si>
    <t>SectorLTDebtTotalCapitalY_X</t>
  </si>
  <si>
    <t>Sector LT Debt/equity</t>
  </si>
  <si>
    <t>SectorLTDebtEquityY_X</t>
  </si>
  <si>
    <t>Sector Receivables turnover</t>
  </si>
  <si>
    <t>SectorReceivablesTurnoverY_X</t>
  </si>
  <si>
    <t>Sector Inventory turnover</t>
  </si>
  <si>
    <t>SectorInventoryTurnoverY_X</t>
  </si>
  <si>
    <t>Sector Asset turnover</t>
  </si>
  <si>
    <t>SectorAssetTurnoverY_X</t>
  </si>
  <si>
    <t>% Rank-Sales</t>
  </si>
  <si>
    <t>PcntRankSalesY_X</t>
  </si>
  <si>
    <t>% Rank-Gross Margin</t>
  </si>
  <si>
    <t>PcntRankGrossMarginY_X</t>
  </si>
  <si>
    <t>% Rank-Operating Margin</t>
  </si>
  <si>
    <t>PcntRankOperatingMarginY_X</t>
  </si>
  <si>
    <t>% Rank-Net Margind</t>
  </si>
  <si>
    <t>PcntRankNetMarginY_X</t>
  </si>
  <si>
    <t>PcntRankNetMargin12M</t>
  </si>
  <si>
    <t>% Rank-Total Assetsd</t>
  </si>
  <si>
    <t>PcntRankTotalAssetsY_X</t>
  </si>
  <si>
    <t>% Rank-Return on Assets</t>
  </si>
  <si>
    <t>PcntRankReturnOnAssetsY_X</t>
  </si>
  <si>
    <t>% Rank-Return on Equity</t>
  </si>
  <si>
    <t>PcntRankReturnOnEquityY_X</t>
  </si>
  <si>
    <t>% Rank-Quick Ratio</t>
  </si>
  <si>
    <t>PcntRankQuickRatioY_X</t>
  </si>
  <si>
    <t>% Rank-Current Ratio</t>
  </si>
  <si>
    <t>PcntRankCurrentRatioY_X</t>
  </si>
  <si>
    <t>% Rank-Payout Ratiod</t>
  </si>
  <si>
    <t>PcntRankPayoutRatioY_X</t>
  </si>
  <si>
    <t>% Rank-Times Interest Earned</t>
  </si>
  <si>
    <t>PcntRankTimesInterestEarnedY_X</t>
  </si>
  <si>
    <t>% Rank-Total Liab/Assets</t>
  </si>
  <si>
    <t>PcntRankTotalLiabilitiesAssetsY_X</t>
  </si>
  <si>
    <t>% Rank-LT Debt/Total Cap</t>
  </si>
  <si>
    <t>PcntRankLTDebtTotalCapitalY_X</t>
  </si>
  <si>
    <t>% Rank-LT Debt/Equity</t>
  </si>
  <si>
    <t>PcntRankLTDebtEquityY_X</t>
  </si>
  <si>
    <t>% Rank-Receivables Turnoverd</t>
  </si>
  <si>
    <t>PcntRankReceivablesTurnoverY_X</t>
  </si>
  <si>
    <t>% Rank-Inventory Turnover</t>
  </si>
  <si>
    <t>PcntRankInventoryTurnoverY_X</t>
  </si>
  <si>
    <t>% Rank-Asset Turnover</t>
  </si>
  <si>
    <t>PcntRankAssetTurnoverY_X</t>
  </si>
  <si>
    <t>Symbol</t>
  </si>
  <si>
    <t>Date-Current Fiscal Year</t>
  </si>
  <si>
    <t>Date-Latest Quarterly EPS</t>
  </si>
  <si>
    <t>PcntRankEPSGrowthEst</t>
  </si>
  <si>
    <t>EPS Growth Est-Last Month</t>
  </si>
  <si>
    <t>EPS Growth Est-Std. Dev.</t>
  </si>
  <si>
    <t>EPS Growth Est-Revisions Up</t>
  </si>
  <si>
    <t>EPS Growth Est-Revisions Down</t>
  </si>
  <si>
    <t>Quarterly Surprise-Std. Dev.</t>
  </si>
  <si>
    <t>EPS Est</t>
  </si>
  <si>
    <t>EPS Est Last Month</t>
  </si>
  <si>
    <t>EPS Est Last Week</t>
  </si>
  <si>
    <t>EPS Est Std. Dev.</t>
  </si>
  <si>
    <t>EPS Est High</t>
  </si>
  <si>
    <t>EPS Est Low</t>
  </si>
  <si>
    <t>EPS Est Number</t>
  </si>
  <si>
    <t>EPS Est Revisions Up</t>
  </si>
  <si>
    <t>EPS Est Revisions Down</t>
  </si>
  <si>
    <t>EPS Est %Rev-Last Month</t>
  </si>
  <si>
    <t>Valuation-P/SPS</t>
  </si>
  <si>
    <t>Valuation-PE</t>
  </si>
  <si>
    <t>Valuation-P/CFPS</t>
  </si>
  <si>
    <t>Valuation-P/FCFPS</t>
  </si>
  <si>
    <t>Valuation-P/Yield</t>
  </si>
  <si>
    <t>Valuation-P/Avg SPS</t>
  </si>
  <si>
    <t>Valuation-Avg PE</t>
  </si>
  <si>
    <t>Valuation-Avg P/FCF</t>
  </si>
  <si>
    <t>Valuation-Avg Yield</t>
  </si>
  <si>
    <t>Valuation-PE &amp; Est</t>
  </si>
  <si>
    <t>Valuation-PEA &amp; Est</t>
  </si>
  <si>
    <t>Quick Reference</t>
  </si>
  <si>
    <t>=xlqaaiiDescrip("Field", Period)</t>
  </si>
  <si>
    <t>See supplied worksheets for examples</t>
  </si>
  <si>
    <t>If Field has periods (ends with _X), supplying period gives full</t>
  </si>
  <si>
    <t>If Field refers to specific period (e.g. Q1) the period description is</t>
  </si>
  <si>
    <t>excluded</t>
  </si>
  <si>
    <t>=xlqaaiiDescrip("PriceM_X")</t>
  </si>
  <si>
    <t>=xlqaaiiDescrip("PriceM_X",1)</t>
  </si>
  <si>
    <t>=xlqaaiiDescrip("MarketCapQ1")</t>
  </si>
  <si>
    <t>=xlqaaiiDescrip("MarketCapQ1",1)</t>
  </si>
  <si>
    <t>description. A 0 period gives field description without period ref. i.e.</t>
  </si>
  <si>
    <t>Price - Month 1</t>
  </si>
  <si>
    <t>Market Cap</t>
  </si>
  <si>
    <t>Insider Ownership %</t>
  </si>
  <si>
    <t>Relative Strength-Weighted 4Qs</t>
  </si>
  <si>
    <t>Quarterly Surprise-SUE Q1</t>
  </si>
  <si>
    <t>Quarterly Surprise-EPS</t>
  </si>
  <si>
    <t>Quarterly Surprise-Date</t>
  </si>
  <si>
    <t>Quarterly Surprise-Est</t>
  </si>
  <si>
    <t>Quarterly Surprise-Difference</t>
  </si>
  <si>
    <t>Quarterly Surprise-Percent</t>
  </si>
  <si>
    <t>Price Date</t>
  </si>
  <si>
    <t>Flash - Cash</t>
  </si>
  <si>
    <t>Flash - Date</t>
  </si>
  <si>
    <t>PcntRankTotalAssetsQ1</t>
  </si>
  <si>
    <t>PcntRankCurrentRatioQ1</t>
  </si>
  <si>
    <t>PcntRankQuickRatioQ1</t>
  </si>
  <si>
    <t>PcntRankLTDebtEquityQ1</t>
  </si>
  <si>
    <t>PcntRankVolumeAveDaily10D</t>
  </si>
  <si>
    <t>PcntRankBeta</t>
  </si>
  <si>
    <t>PcntRankFloat</t>
  </si>
  <si>
    <t>PcntRankInstitutionalShareHolders</t>
  </si>
  <si>
    <t>Buffett Price Growth-EPS Gr.</t>
  </si>
  <si>
    <t>Buffett Price Growth-Sust. Gr.</t>
  </si>
  <si>
    <t>Inve$tWare EPS Projection</t>
  </si>
  <si>
    <t>Inve$tWare Forecast High Price</t>
  </si>
  <si>
    <t>Inve$tWare Forecast Low Price</t>
  </si>
  <si>
    <t>Inve$tWare Buy Price</t>
  </si>
  <si>
    <t>Inve$tWare % Low to High</t>
  </si>
  <si>
    <t>Inve$tWare Total Return</t>
  </si>
  <si>
    <t>Inve$tWare PAR</t>
  </si>
  <si>
    <t>PcntRankInsiderOwnershipPcnt</t>
  </si>
  <si>
    <t>PcntRankInstitutionalOwnershipPcnt</t>
  </si>
  <si>
    <t>CashPerShareQ1</t>
  </si>
  <si>
    <t>NetCashPerShareQ1</t>
  </si>
  <si>
    <t>FlashCash</t>
  </si>
  <si>
    <t>FlashLTDebt</t>
  </si>
  <si>
    <t>FlashEquityCommon</t>
  </si>
  <si>
    <t>IndustryVolumeAveDaily10D</t>
  </si>
  <si>
    <t>SectorVolumeAveDaily10D</t>
  </si>
  <si>
    <t>PcntRankLTDebtTotalCapitalQ1</t>
  </si>
  <si>
    <t>PE Relative Valuation</t>
  </si>
  <si>
    <t>PE Relative Valuation % Price</t>
  </si>
  <si>
    <t>PE Relative Adjusted P/E</t>
  </si>
  <si>
    <t>Dividend Increases-Y7 to Y1</t>
  </si>
  <si>
    <t>EPS Increases-Y7 to Y1</t>
  </si>
  <si>
    <t>IndustrySales12M</t>
  </si>
  <si>
    <t>IndustryGrossMargin12M</t>
  </si>
  <si>
    <t>IndustryNetMargin12M</t>
  </si>
  <si>
    <t>IndustryPayoutRatio12M</t>
  </si>
  <si>
    <t>IndustryTotalAssetsQ1</t>
  </si>
  <si>
    <t>IndustryReturnOnAssets12M</t>
  </si>
  <si>
    <t>IndustryReturnOnEquity12M</t>
  </si>
  <si>
    <t>IndustryCurrentRatioQ1</t>
  </si>
  <si>
    <t>IndustryQuickRatioQ1</t>
  </si>
  <si>
    <t>IndustryLTDebtEquityQ1</t>
  </si>
  <si>
    <t>IndustryInventoryTurnover12M</t>
  </si>
  <si>
    <t>IndustryAssetTurnover12M</t>
  </si>
  <si>
    <t>Market Cap Q1</t>
  </si>
  <si>
    <t>EPS Growth Est</t>
  </si>
  <si>
    <t>EPS Growth Est-High</t>
  </si>
  <si>
    <t>EPS Growth Est-Low</t>
  </si>
  <si>
    <t>EPS Growth Est-Number</t>
  </si>
  <si>
    <t>SectorSales12M</t>
  </si>
  <si>
    <t>SectorGrossMargin12M</t>
  </si>
  <si>
    <t>SectorNetMargin12M</t>
  </si>
  <si>
    <t>SectorPayoutRatio12M</t>
  </si>
  <si>
    <t>SectorTotalAssetsQ1</t>
  </si>
  <si>
    <t>SectorReturnOnAssets12M</t>
  </si>
  <si>
    <t>SectorReturnOnEquity12M</t>
  </si>
  <si>
    <t>SectorCurrentRatioQ1</t>
  </si>
  <si>
    <t>SectorQuickRatioQ1</t>
  </si>
  <si>
    <t>SectorLTDebtEquityQ1</t>
  </si>
  <si>
    <t>SectorInventoryTurnover12M</t>
  </si>
  <si>
    <t>SectorAssetTurnover12M</t>
  </si>
  <si>
    <t>Flash - EPS-Diluted Continuing</t>
  </si>
  <si>
    <t>Price/Growth Flow</t>
  </si>
  <si>
    <t>Inve$tWare Relative Value</t>
  </si>
  <si>
    <t>Inve$tWare Est Yield</t>
  </si>
  <si>
    <t>Price as % of 2 Year High</t>
  </si>
  <si>
    <t>SustainableGrowth7Y</t>
  </si>
  <si>
    <t>Inve$tWareSalesGrowthBenchmark</t>
  </si>
  <si>
    <t>DividendIncreasesY7toY1</t>
  </si>
  <si>
    <t>EPSIncreasesY7toY1</t>
  </si>
  <si>
    <t>Inve$tWare Sales Gr Benchmark</t>
  </si>
  <si>
    <t>IndustryBeta</t>
  </si>
  <si>
    <t>IndustryFloat</t>
  </si>
  <si>
    <t>IndustryInstitutionalOwnershipPcnt</t>
  </si>
  <si>
    <t>IndustryInsiderOwnershipPcnt</t>
  </si>
  <si>
    <t>IndustryEPSGrowthEst</t>
  </si>
  <si>
    <t>IndustryEPSGrowthEstLastMonth</t>
  </si>
  <si>
    <t>IndustryEPSGrowthEstHigh</t>
  </si>
  <si>
    <t>IndustryEPSGrowthEstLow</t>
  </si>
  <si>
    <t>IndustryOperatingMargin12M</t>
  </si>
  <si>
    <t>IndustryTimesInterestEarned12M</t>
  </si>
  <si>
    <t>IndustryReceivablesTurnover12M</t>
  </si>
  <si>
    <t>Institutional Ownership %</t>
  </si>
  <si>
    <t>IndustryTotalLiabilitiesAssetsQ1</t>
  </si>
  <si>
    <t>SectorTotalLiabilitiesAssetsQ1</t>
  </si>
  <si>
    <t>PcntRankTotalLiabilitiesAssetsQ1</t>
  </si>
  <si>
    <t>IndustryLTDebtTotalCapitalQ1</t>
  </si>
  <si>
    <t>SectorBeta</t>
  </si>
  <si>
    <t>SectorFloat</t>
  </si>
  <si>
    <t>SectorInstitutionalOwnershipPcnt</t>
  </si>
  <si>
    <t>SectorInsiderOwnershipPcnt</t>
  </si>
  <si>
    <t>SectorEPSGrowthEst</t>
  </si>
  <si>
    <t>SectorEPSGrowthEstLastMonth</t>
  </si>
  <si>
    <t>SectorEPSGrowthEstHigh</t>
  </si>
  <si>
    <t>SectorEPSGrowthEstLow</t>
  </si>
  <si>
    <t>SectorOperatingMargin12M</t>
  </si>
  <si>
    <t>SectorTimesInterestEarned12M</t>
  </si>
  <si>
    <t>SectorReceivablesTurnover12M</t>
  </si>
  <si>
    <t>PcntRankSales12M</t>
  </si>
  <si>
    <t>PcntRankGrossMargin12M</t>
  </si>
  <si>
    <t>PcntRankPayoutRatio12M</t>
  </si>
  <si>
    <t>PcntRankReturnOnAssets12M</t>
  </si>
  <si>
    <t>PcntRankReturnOnEquity12M</t>
  </si>
  <si>
    <t>PcntRankInventoryTurnover12M</t>
  </si>
  <si>
    <t>PcntRankAssetTurnover12M</t>
  </si>
  <si>
    <t>PcntRankOperatingMargin12M</t>
  </si>
  <si>
    <t>LengthOfPeriodQ_x</t>
  </si>
  <si>
    <t>PcntRankEPSDilContGrowth1Y</t>
  </si>
  <si>
    <t>PcntRankEPSDilContGrowth3Y</t>
  </si>
  <si>
    <t>PcntRankEPSDilContGrowth5Y</t>
  </si>
  <si>
    <t>PcntRankEPSDilContGrowth7Y</t>
  </si>
  <si>
    <t>PcntRankEPSDilContGrowth12M</t>
  </si>
  <si>
    <t>DCFBSCFQ_x</t>
  </si>
  <si>
    <t>DCFOCFQ_x</t>
  </si>
  <si>
    <t>DCFQ_x</t>
  </si>
  <si>
    <t>GrossMarginAve5Y</t>
  </si>
  <si>
    <t>OperatingMarginAve5Y</t>
  </si>
  <si>
    <t>OperatingMarginAve3Y</t>
  </si>
  <si>
    <t>ReturnOnEquityAve5Y</t>
  </si>
  <si>
    <t>IndustryGrossMarginAve5Y</t>
  </si>
  <si>
    <t>IndustryReturnOnEquityAve5Y</t>
  </si>
  <si>
    <t>SectorGrossMarginAve5Y</t>
  </si>
  <si>
    <t>SectorReturnOnEquityAve5Y</t>
  </si>
  <si>
    <t>Average Shares (Shares Outstanding)</t>
  </si>
  <si>
    <t>New 2009</t>
  </si>
  <si>
    <t>Return on Inv. Cap</t>
  </si>
  <si>
    <t>Return on Inv. Cap Ave 5Y</t>
  </si>
  <si>
    <t>ROICAve5Y</t>
  </si>
  <si>
    <t>ROICY_X</t>
  </si>
  <si>
    <t>Yearly (5 Periods)</t>
  </si>
  <si>
    <t>Rule #1 EPS-Cont Est Y10</t>
  </si>
  <si>
    <t>Rule #1 Future Market Price</t>
  </si>
  <si>
    <t>Rule #1 Future PE</t>
  </si>
  <si>
    <t>Rule #1 Growth Rate</t>
  </si>
  <si>
    <t>Rule #1 Sticker Price</t>
  </si>
  <si>
    <t>R1ECG10E</t>
  </si>
  <si>
    <t>R1PE</t>
  </si>
  <si>
    <t>R1GRTH</t>
  </si>
  <si>
    <t>R1SPRICE</t>
  </si>
  <si>
    <t>EPS Est Y0-3 Months Ago</t>
  </si>
  <si>
    <t>EPS3M_EY0</t>
  </si>
  <si>
    <t>Sector Return on Inv. Cap Ave 5Y</t>
  </si>
  <si>
    <t>Industry Return on Inv. Cap Ave 5Y</t>
  </si>
  <si>
    <t>SectorROICAve5Y</t>
  </si>
  <si>
    <t>IndustryROICAve5Y</t>
  </si>
  <si>
    <t>R1FMKTPR</t>
  </si>
  <si>
    <t>EPS Est Y1-3 Months Ago</t>
  </si>
  <si>
    <t>EPS Est Y2-3 Months Ago</t>
  </si>
  <si>
    <t>EPS3M_EY1</t>
  </si>
  <si>
    <t>EPS3M_EY2</t>
  </si>
  <si>
    <t>EPS3M_EQ0</t>
  </si>
  <si>
    <t>EPS Est Q0-3 Months Ago</t>
  </si>
  <si>
    <t>EPS Est Q1-3 Months Ago</t>
  </si>
  <si>
    <t>EPS3M_EQ1</t>
  </si>
  <si>
    <t>Qtrly Surprise-Prior Qtr-Date</t>
  </si>
  <si>
    <t>Qtrly Surprise-Prior Qtr-Difference</t>
  </si>
  <si>
    <t>QtrlySurprisePriorQDate</t>
  </si>
  <si>
    <t>QtrlySurprisePriorQDifference</t>
  </si>
  <si>
    <t>QtrlySurprisePriorQEPS</t>
  </si>
  <si>
    <t>Qtrly Surprise-Prior Qtr-EPS</t>
  </si>
  <si>
    <t>Qtrly Surprise-Prior Qtr-Est</t>
  </si>
  <si>
    <t>QtrlySurprisePriorQEst</t>
  </si>
  <si>
    <t>QtrlySurprisePriorQPercent</t>
  </si>
  <si>
    <t>Qtrly Surprise-Prior Qtr-Percent</t>
  </si>
  <si>
    <t>Qtrly Surprise-Prior Qtr-Std Dev</t>
  </si>
  <si>
    <t>QtrlySurprisePriorQStdDev</t>
  </si>
  <si>
    <t>QtrlySurprisePriorQSUE</t>
  </si>
  <si>
    <t>Qtrly Surprise-Prior Qtr-SUE</t>
  </si>
  <si>
    <t>QtrlySurpriseDatePriorQtrEPS</t>
  </si>
  <si>
    <t>Qtrly Surprise-Prior Date Prior Qtr EPS</t>
  </si>
  <si>
    <t>PFCF to FCF Growth 12 M</t>
  </si>
  <si>
    <t>PFCFtoFCFGrowth12m</t>
  </si>
  <si>
    <t>LT Debt / Free Cash Flow 12m</t>
  </si>
  <si>
    <t>LTDebtFreeCashFlow12M</t>
  </si>
  <si>
    <t>(older databases)</t>
  </si>
  <si>
    <t>New 2010</t>
  </si>
  <si>
    <t>Period Type</t>
  </si>
  <si>
    <t>PeriodTypeQ_X</t>
  </si>
  <si>
    <t>PeriodTypeY_X</t>
  </si>
  <si>
    <t>Update Type</t>
  </si>
  <si>
    <t>UpdateTypeQ_X</t>
  </si>
  <si>
    <t>UpdateTypeY_X</t>
  </si>
  <si>
    <t>Depreciation &amp; Amortization (cash Flow)</t>
  </si>
  <si>
    <t>DepreciationAmortCF12M</t>
  </si>
  <si>
    <t>DepreciationAmortCFY_X</t>
  </si>
  <si>
    <t>DepreciationAmortCFQ_X</t>
  </si>
  <si>
    <t>New 2011</t>
  </si>
  <si>
    <t>NetCurrentAssetsPerShareQ1</t>
  </si>
  <si>
    <t>RelativeEarningsGrowth</t>
  </si>
  <si>
    <t>RelativePriceStrength6M</t>
  </si>
  <si>
    <t>PcntRankRelativeEarningsGrowth</t>
  </si>
  <si>
    <t>PcntRankRelativePriceStrength6M</t>
  </si>
  <si>
    <t>Net Current Assets Per Share Q1</t>
  </si>
  <si>
    <t>Relative Earnings Growth</t>
  </si>
  <si>
    <t>Relative Price Strength 6M</t>
  </si>
  <si>
    <t>% Rank - Relative Earnings Growth</t>
  </si>
  <si>
    <t>% Rank - Relative Price Strength 6M</t>
  </si>
  <si>
    <t>DepreciationAmortCF</t>
  </si>
  <si>
    <t>Market Cap. Historic</t>
  </si>
  <si>
    <t>MarketCapHistQ_X</t>
  </si>
  <si>
    <t>MarketCapHistY_X</t>
  </si>
  <si>
    <t>Working Capital</t>
  </si>
  <si>
    <t>WorkingCapitalQ_X</t>
  </si>
  <si>
    <t>WorkingCapitalY_X</t>
  </si>
  <si>
    <t>Retained Earnings</t>
  </si>
  <si>
    <t>RetainedEarningsQ_X</t>
  </si>
  <si>
    <t>RetainedEarningsY_X</t>
  </si>
  <si>
    <t>EBIT</t>
  </si>
  <si>
    <t>EBITQ_X</t>
  </si>
  <si>
    <t>EBITY_X</t>
  </si>
  <si>
    <t>EBIT12M</t>
  </si>
  <si>
    <t>EBITDA</t>
  </si>
  <si>
    <t>EBITDAQ_X</t>
  </si>
  <si>
    <t>EBITDAY_X</t>
  </si>
  <si>
    <t>EBITDA12M</t>
  </si>
  <si>
    <t>Enterprise Value</t>
  </si>
  <si>
    <t>EnterpriseValueQ_X</t>
  </si>
  <si>
    <t>EnterpriseValueY_X</t>
  </si>
  <si>
    <t>Enterprise Value / EBITDA</t>
  </si>
  <si>
    <t>EVtoEBITDAY_X</t>
  </si>
  <si>
    <t>EVtoEBITDA12M</t>
  </si>
  <si>
    <t>Enterprise Value / EBITDA 1 Year Ago</t>
  </si>
  <si>
    <t>EVtoEBITDA1Y</t>
  </si>
  <si>
    <t>Enterprise Value / EBITDA 3 Year Ave.</t>
  </si>
  <si>
    <t>EVtoEBITDA3YAve</t>
  </si>
  <si>
    <t>Enterprise Value / EBITDA 5 Year Ave.</t>
  </si>
  <si>
    <t>EVtoEBITDA5YAve</t>
  </si>
  <si>
    <t>Enterprise Value / EBITDA 7 Year Ave.</t>
  </si>
  <si>
    <t>EVtoEBITDA7YAve</t>
  </si>
  <si>
    <t>ZScore</t>
  </si>
  <si>
    <t>ZScoreQ_X</t>
  </si>
  <si>
    <t>ZScoreY_X</t>
  </si>
  <si>
    <t>Dividends Paid</t>
  </si>
  <si>
    <t>DividendsPaidQ_X</t>
  </si>
  <si>
    <t>DividendsPaidY_X</t>
  </si>
  <si>
    <t>DividendsPaid12M</t>
  </si>
  <si>
    <t>Minority Interest</t>
  </si>
  <si>
    <t>MinorityInterestQ_X</t>
  </si>
  <si>
    <t>MinorityInterestY_X</t>
  </si>
  <si>
    <t>Earnings Est. Report Date Current Qtr</t>
  </si>
  <si>
    <t>EPSEstExpRepDateQ0</t>
  </si>
  <si>
    <t>Earnings Est. Report Date Next Qtr</t>
  </si>
  <si>
    <t>EPSEstExpRepDateQ1</t>
  </si>
  <si>
    <t>Next Dividend</t>
  </si>
  <si>
    <t>DividendNextQtr</t>
  </si>
  <si>
    <t>Ex Div. Date</t>
  </si>
  <si>
    <t>DividendExDate</t>
  </si>
  <si>
    <t>Dividend Pay Date</t>
  </si>
  <si>
    <t>DividendPayDate</t>
  </si>
  <si>
    <t>Buy Back Yield</t>
  </si>
  <si>
    <t>BuyBackYieldY_X</t>
  </si>
  <si>
    <t>BuyBackYield12M</t>
  </si>
  <si>
    <t>Buy Back Yield 1 Year Ago</t>
  </si>
  <si>
    <t>BuyBackYield1Y</t>
  </si>
  <si>
    <t>Buy Back Yield 3 Year Ave.</t>
  </si>
  <si>
    <t>BuyBackYield3YAve</t>
  </si>
  <si>
    <t>Buy Back Yield 5 Year Ave.</t>
  </si>
  <si>
    <t>BuyBackYield5YAve</t>
  </si>
  <si>
    <t>Buy Back Yield 7 Year Ave.</t>
  </si>
  <si>
    <t>BuyBackYield7YAve</t>
  </si>
  <si>
    <t>Shareholder Yield</t>
  </si>
  <si>
    <t>ShareholderYieldY_X</t>
  </si>
  <si>
    <t>ShareholderYield12M</t>
  </si>
  <si>
    <t>Shareholder Yield 1 Year Ago</t>
  </si>
  <si>
    <t>ShareholderYield1Y</t>
  </si>
  <si>
    <t>Shareholder Yield 3 Year Ave.</t>
  </si>
  <si>
    <t>ShareholderYield3YAve</t>
  </si>
  <si>
    <t>Shareholder Yield 5 Year Ave.</t>
  </si>
  <si>
    <t>ShareholderYield5YAve</t>
  </si>
  <si>
    <t>Shareholder Yield 7 Year Ave.</t>
  </si>
  <si>
    <t>ShareholderYield7YAve</t>
  </si>
  <si>
    <t>Fscore</t>
  </si>
  <si>
    <t>FScoreY_X</t>
  </si>
  <si>
    <t>New 2012 (SIP 4.0)</t>
  </si>
  <si>
    <t>Equity (Common) Growth 5 Year</t>
  </si>
  <si>
    <t>EquityGrowth5Y</t>
  </si>
  <si>
    <t>Yield Low-Avg 7 Year</t>
  </si>
  <si>
    <t>YieldLowAve7Y</t>
  </si>
  <si>
    <t>aapl</t>
  </si>
  <si>
    <t>New 2016 (SIP 4.5)</t>
  </si>
  <si>
    <t>Dividend Total</t>
  </si>
  <si>
    <t>EPS Diluted Normalized</t>
  </si>
  <si>
    <t>Shares Diluted</t>
  </si>
  <si>
    <t>DividendTotalQ_X</t>
  </si>
  <si>
    <t>DividendTotalY_X</t>
  </si>
  <si>
    <t>DividendTotal12M</t>
  </si>
  <si>
    <t>EPSDilutedNormalizedQ_X</t>
  </si>
  <si>
    <t>EPSDilutedNormalizedY_X</t>
  </si>
  <si>
    <t>EPSDilutedNormalized12M</t>
  </si>
  <si>
    <t>SharesDilutedQ_X</t>
  </si>
  <si>
    <t>SharesDilutedY_X</t>
  </si>
  <si>
    <t>BOOM</t>
  </si>
  <si>
    <t>boom</t>
  </si>
  <si>
    <t>OpInc per Emp</t>
  </si>
  <si>
    <t>10 Q/K Date</t>
  </si>
  <si>
    <t>Shares</t>
  </si>
  <si>
    <t>Millions</t>
  </si>
  <si>
    <t>Free Cash Flow</t>
  </si>
  <si>
    <t>WC + FCF</t>
  </si>
  <si>
    <t>Tangible Equity</t>
  </si>
  <si>
    <t>Tangible Assets</t>
  </si>
  <si>
    <t>beat</t>
  </si>
  <si>
    <t>Interest as Percent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</si>
</sst>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409]d\-mmm\-yy;@"/>
    <numFmt numFmtId="165" formatCode="_(* #,##0_);_(* \(#,##0\);_(* &quot;-&quot;??_);_(@_)"/>
    <numFmt numFmtId="166" formatCode="[$-409]mmm\-yy;@"/>
    <numFmt numFmtId="167" formatCode="yyyy/mm/dd;@"/>
    <numFmt numFmtId="169" formatCode="0.0%"/>
  </numFmts>
  <fonts count="13" x14ac:knownFonts="1">
    <font>
      <sz val="10"/>
      <name val="Arial"/>
    </font>
    <font>
      <sz val="10"/>
      <name val="Arial"/>
    </font>
    <font>
      <sz val="8"/>
      <name val="Arial"/>
      <family val="2"/>
    </font>
    <font>
      <sz val="9"/>
      <color indexed="81"/>
      <name val="Tahoma"/>
      <family val="2"/>
    </font>
    <font>
      <b/>
      <sz val="11"/>
      <name val="Calibri"/>
      <family val="2"/>
      <scheme val="minor"/>
    </font>
    <font>
      <sz val="11"/>
      <name val="Calibri"/>
      <family val="2"/>
      <scheme val="minor"/>
    </font>
    <font>
      <sz val="11"/>
      <color rgb="FF00B0F0"/>
      <name val="Calibri"/>
      <family val="2"/>
      <scheme val="minor"/>
    </font>
    <font>
      <b/>
      <sz val="11"/>
      <color indexed="10"/>
      <name val="Calibri"/>
      <family val="2"/>
      <scheme val="minor"/>
    </font>
    <font>
      <sz val="11"/>
      <color indexed="10"/>
      <name val="Calibri"/>
      <family val="2"/>
      <scheme val="minor"/>
    </font>
    <font>
      <sz val="10"/>
      <color rgb="FFFF0000"/>
      <name val="Arial"/>
      <family val="2"/>
    </font>
    <font>
      <sz val="10"/>
      <name val="Arial"/>
      <family val="2"/>
    </font>
    <font>
      <b/>
      <sz val="10"/>
      <name val="Arial"/>
      <family val="2"/>
    </font>
    <font>
      <i/>
      <sz val="10"/>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98">
    <xf numFmtId="0" fontId="0" fillId="0" borderId="0" xfId="0"/>
    <xf numFmtId="0" fontId="4" fillId="0" borderId="0" xfId="0" applyFont="1"/>
    <xf numFmtId="0" fontId="5" fillId="0" borderId="0" xfId="0" applyFont="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quotePrefix="1" applyFont="1" applyFill="1" applyBorder="1"/>
    <xf numFmtId="0" fontId="5" fillId="2" borderId="0" xfId="0" applyFont="1" applyFill="1" applyBorder="1"/>
    <xf numFmtId="0" fontId="5" fillId="2" borderId="5" xfId="0" applyFont="1" applyFill="1" applyBorder="1"/>
    <xf numFmtId="0" fontId="5" fillId="2" borderId="4" xfId="0" applyFont="1" applyFill="1" applyBorder="1"/>
    <xf numFmtId="0" fontId="5" fillId="2" borderId="0" xfId="0" quotePrefix="1" applyFont="1" applyFill="1" applyBorder="1"/>
    <xf numFmtId="0" fontId="5" fillId="2" borderId="6" xfId="0" applyFont="1" applyFill="1" applyBorder="1"/>
    <xf numFmtId="0" fontId="5" fillId="2" borderId="7" xfId="0" applyFont="1" applyFill="1" applyBorder="1"/>
    <xf numFmtId="0" fontId="5" fillId="2" borderId="8" xfId="0" applyFont="1" applyFill="1" applyBorder="1"/>
    <xf numFmtId="0" fontId="5" fillId="0" borderId="0" xfId="0" applyFont="1" applyFill="1"/>
    <xf numFmtId="0" fontId="6" fillId="0" borderId="0" xfId="0" applyFont="1"/>
    <xf numFmtId="0" fontId="5" fillId="0" borderId="0" xfId="0" applyFont="1" applyBorder="1"/>
    <xf numFmtId="0" fontId="7" fillId="0" borderId="0" xfId="0" applyFont="1"/>
    <xf numFmtId="0" fontId="8" fillId="0" borderId="0" xfId="0" applyFont="1"/>
    <xf numFmtId="43" fontId="5" fillId="0" borderId="0" xfId="1" applyFont="1" applyAlignment="1">
      <alignment horizontal="right"/>
    </xf>
    <xf numFmtId="164" fontId="5" fillId="0" borderId="0" xfId="0" applyNumberFormat="1" applyFont="1"/>
    <xf numFmtId="43" fontId="4" fillId="0" borderId="0" xfId="1" applyFont="1" applyAlignment="1">
      <alignment horizontal="right"/>
    </xf>
    <xf numFmtId="164" fontId="5" fillId="0" borderId="0" xfId="0" applyNumberFormat="1" applyFont="1" applyAlignment="1">
      <alignment horizontal="right"/>
    </xf>
    <xf numFmtId="0" fontId="5" fillId="0" borderId="0" xfId="0" applyFont="1" applyAlignment="1">
      <alignment horizontal="right"/>
    </xf>
    <xf numFmtId="0" fontId="4" fillId="0" borderId="0" xfId="0" applyFont="1" applyAlignment="1">
      <alignment horizontal="right"/>
    </xf>
    <xf numFmtId="43" fontId="5" fillId="0" borderId="0" xfId="1" applyFont="1"/>
    <xf numFmtId="0" fontId="4" fillId="0" borderId="0" xfId="0" applyFont="1" applyAlignment="1">
      <alignment horizontal="left"/>
    </xf>
    <xf numFmtId="0" fontId="5" fillId="0" borderId="0" xfId="0" applyFont="1" applyAlignment="1">
      <alignment horizontal="left"/>
    </xf>
    <xf numFmtId="165" fontId="5" fillId="0" borderId="0" xfId="1" applyNumberFormat="1" applyFont="1"/>
    <xf numFmtId="164" fontId="5" fillId="0" borderId="0" xfId="1" applyNumberFormat="1" applyFont="1"/>
    <xf numFmtId="164" fontId="4" fillId="0" borderId="0" xfId="1" applyNumberFormat="1" applyFont="1"/>
    <xf numFmtId="0" fontId="7" fillId="0" borderId="0" xfId="0" applyFont="1" applyAlignment="1">
      <alignment horizontal="right"/>
    </xf>
    <xf numFmtId="0" fontId="8" fillId="0" borderId="0" xfId="0" applyFont="1" applyAlignment="1">
      <alignment horizontal="right"/>
    </xf>
    <xf numFmtId="0" fontId="4" fillId="0" borderId="7" xfId="0" applyFont="1" applyBorder="1"/>
    <xf numFmtId="164" fontId="4" fillId="0" borderId="7" xfId="1" applyNumberFormat="1" applyFont="1" applyBorder="1"/>
    <xf numFmtId="165" fontId="5" fillId="0" borderId="0" xfId="0" applyNumberFormat="1" applyFont="1"/>
    <xf numFmtId="0" fontId="5" fillId="0" borderId="9" xfId="0" applyFont="1" applyBorder="1"/>
    <xf numFmtId="0" fontId="4" fillId="0" borderId="9" xfId="0" applyFont="1" applyBorder="1"/>
    <xf numFmtId="165" fontId="5" fillId="0" borderId="9" xfId="1" applyNumberFormat="1" applyFont="1" applyBorder="1"/>
    <xf numFmtId="165" fontId="5" fillId="0" borderId="9" xfId="0" applyNumberFormat="1" applyFont="1" applyBorder="1"/>
    <xf numFmtId="165" fontId="4" fillId="0" borderId="0" xfId="1" applyNumberFormat="1" applyFont="1"/>
    <xf numFmtId="165" fontId="4" fillId="0" borderId="0" xfId="0" applyNumberFormat="1" applyFont="1"/>
    <xf numFmtId="43" fontId="5" fillId="0" borderId="9" xfId="1" applyFont="1" applyBorder="1"/>
    <xf numFmtId="43" fontId="4" fillId="0" borderId="0" xfId="1" applyFont="1"/>
    <xf numFmtId="0" fontId="4" fillId="0" borderId="0" xfId="0" applyFont="1" applyFill="1"/>
    <xf numFmtId="166" fontId="4" fillId="0" borderId="7" xfId="1" applyNumberFormat="1" applyFont="1" applyBorder="1"/>
    <xf numFmtId="0" fontId="5" fillId="0" borderId="7" xfId="0" applyFont="1" applyBorder="1"/>
    <xf numFmtId="40" fontId="5" fillId="0" borderId="0" xfId="1" applyNumberFormat="1" applyFont="1"/>
    <xf numFmtId="40" fontId="5" fillId="0" borderId="0" xfId="0" applyNumberFormat="1" applyFont="1"/>
    <xf numFmtId="40" fontId="5" fillId="0" borderId="9" xfId="1" applyNumberFormat="1" applyFont="1" applyBorder="1"/>
    <xf numFmtId="40" fontId="5" fillId="0" borderId="9" xfId="0" applyNumberFormat="1" applyFont="1" applyBorder="1"/>
    <xf numFmtId="40" fontId="4" fillId="0" borderId="0" xfId="1" applyNumberFormat="1" applyFont="1"/>
    <xf numFmtId="40" fontId="4" fillId="0" borderId="0" xfId="0" applyNumberFormat="1" applyFont="1"/>
    <xf numFmtId="40" fontId="5" fillId="0" borderId="0" xfId="1" applyNumberFormat="1" applyFont="1" applyAlignment="1">
      <alignment horizontal="right"/>
    </xf>
    <xf numFmtId="40" fontId="5" fillId="0" borderId="0" xfId="0" applyNumberFormat="1" applyFont="1" applyAlignment="1">
      <alignment horizontal="right"/>
    </xf>
    <xf numFmtId="40" fontId="5" fillId="0" borderId="9" xfId="1" applyNumberFormat="1" applyFont="1" applyBorder="1" applyAlignment="1">
      <alignment horizontal="right"/>
    </xf>
    <xf numFmtId="40" fontId="5" fillId="0" borderId="9" xfId="0" applyNumberFormat="1" applyFont="1" applyBorder="1" applyAlignment="1">
      <alignment horizontal="right"/>
    </xf>
    <xf numFmtId="165" fontId="5" fillId="0" borderId="0" xfId="1" applyNumberFormat="1" applyFont="1" applyAlignment="1">
      <alignment horizontal="right"/>
    </xf>
    <xf numFmtId="165" fontId="5" fillId="0" borderId="0" xfId="0" applyNumberFormat="1" applyFont="1" applyAlignment="1">
      <alignment horizontal="right"/>
    </xf>
    <xf numFmtId="40" fontId="4" fillId="0" borderId="0" xfId="1" applyNumberFormat="1" applyFont="1" applyAlignment="1">
      <alignment horizontal="right"/>
    </xf>
    <xf numFmtId="40" fontId="4" fillId="0" borderId="0" xfId="0" applyNumberFormat="1" applyFont="1" applyAlignment="1">
      <alignment horizontal="right"/>
    </xf>
    <xf numFmtId="0" fontId="9" fillId="0" borderId="0" xfId="0" applyFont="1"/>
    <xf numFmtId="0" fontId="0" fillId="0" borderId="0" xfId="0" applyAlignment="1">
      <alignment horizontal="center"/>
    </xf>
    <xf numFmtId="0" fontId="0" fillId="0" borderId="0" xfId="0" applyAlignment="1">
      <alignment horizontal="left"/>
    </xf>
    <xf numFmtId="0" fontId="10" fillId="0" borderId="0" xfId="0" applyFont="1" applyAlignment="1">
      <alignment horizontal="left"/>
    </xf>
    <xf numFmtId="0" fontId="10" fillId="0" borderId="0" xfId="0" applyFont="1" applyAlignment="1">
      <alignment horizontal="center"/>
    </xf>
    <xf numFmtId="167" fontId="11" fillId="0" borderId="0" xfId="1" applyNumberFormat="1" applyFont="1" applyBorder="1" applyAlignment="1">
      <alignment horizontal="right"/>
    </xf>
    <xf numFmtId="0" fontId="10" fillId="0" borderId="0" xfId="0" applyFont="1" applyAlignment="1">
      <alignment horizontal="right"/>
    </xf>
    <xf numFmtId="38" fontId="11" fillId="0" borderId="0" xfId="0" applyNumberFormat="1" applyFont="1" applyBorder="1" applyAlignment="1">
      <alignment horizontal="right"/>
    </xf>
    <xf numFmtId="0" fontId="10" fillId="0" borderId="0" xfId="0" applyFont="1"/>
    <xf numFmtId="40" fontId="10" fillId="0" borderId="0" xfId="0" applyNumberFormat="1" applyFont="1" applyBorder="1" applyAlignment="1">
      <alignment horizontal="right"/>
    </xf>
    <xf numFmtId="40" fontId="11" fillId="0" borderId="0" xfId="0" applyNumberFormat="1" applyFont="1" applyAlignment="1">
      <alignment horizontal="right"/>
    </xf>
    <xf numFmtId="0" fontId="10" fillId="0" borderId="0" xfId="0" applyFont="1" applyAlignment="1">
      <alignment horizontal="left" indent="2"/>
    </xf>
    <xf numFmtId="40" fontId="10" fillId="0" borderId="0" xfId="0" applyNumberFormat="1" applyFont="1" applyAlignment="1">
      <alignment horizontal="right"/>
    </xf>
    <xf numFmtId="0" fontId="10" fillId="0" borderId="9" xfId="0" applyFont="1" applyBorder="1" applyAlignment="1">
      <alignment horizontal="left" indent="2"/>
    </xf>
    <xf numFmtId="40" fontId="11" fillId="0" borderId="9" xfId="0" applyNumberFormat="1" applyFont="1" applyBorder="1" applyAlignment="1">
      <alignment horizontal="right"/>
    </xf>
    <xf numFmtId="40" fontId="10" fillId="0" borderId="9" xfId="0" applyNumberFormat="1" applyFont="1" applyBorder="1" applyAlignment="1">
      <alignment horizontal="right"/>
    </xf>
    <xf numFmtId="40" fontId="11" fillId="0" borderId="0" xfId="0" applyNumberFormat="1" applyFont="1" applyBorder="1" applyAlignment="1">
      <alignment horizontal="right"/>
    </xf>
    <xf numFmtId="40" fontId="11" fillId="0" borderId="9" xfId="0" applyNumberFormat="1" applyFont="1" applyFill="1" applyBorder="1" applyAlignment="1">
      <alignment horizontal="right"/>
    </xf>
    <xf numFmtId="40" fontId="10" fillId="0" borderId="9" xfId="0" applyNumberFormat="1" applyFont="1" applyFill="1" applyBorder="1" applyAlignment="1">
      <alignment horizontal="right"/>
    </xf>
    <xf numFmtId="0" fontId="10" fillId="0" borderId="0" xfId="0" applyFont="1" applyAlignment="1">
      <alignment horizontal="left" indent="4"/>
    </xf>
    <xf numFmtId="0" fontId="10" fillId="0" borderId="9" xfId="0" applyFont="1" applyBorder="1" applyAlignment="1">
      <alignment horizontal="left"/>
    </xf>
    <xf numFmtId="0" fontId="10" fillId="0" borderId="10" xfId="0" applyFont="1" applyBorder="1" applyAlignment="1">
      <alignment horizontal="left"/>
    </xf>
    <xf numFmtId="40" fontId="11" fillId="0" borderId="10" xfId="0" applyNumberFormat="1" applyFont="1" applyBorder="1" applyAlignment="1">
      <alignment horizontal="right"/>
    </xf>
    <xf numFmtId="0" fontId="10" fillId="0" borderId="7" xfId="0" applyFont="1" applyBorder="1" applyAlignment="1">
      <alignment horizontal="left"/>
    </xf>
    <xf numFmtId="40" fontId="10" fillId="0" borderId="10" xfId="0" applyNumberFormat="1" applyFont="1" applyBorder="1" applyAlignment="1">
      <alignment horizontal="right"/>
    </xf>
    <xf numFmtId="40" fontId="12" fillId="0" borderId="0" xfId="0" applyNumberFormat="1" applyFont="1" applyAlignment="1">
      <alignment horizontal="right"/>
    </xf>
    <xf numFmtId="40" fontId="12" fillId="0" borderId="0" xfId="0" applyNumberFormat="1" applyFont="1" applyBorder="1" applyAlignment="1">
      <alignment horizontal="right"/>
    </xf>
    <xf numFmtId="40" fontId="12" fillId="0" borderId="9" xfId="0" applyNumberFormat="1" applyFont="1" applyBorder="1" applyAlignment="1">
      <alignment horizontal="right"/>
    </xf>
    <xf numFmtId="40" fontId="12" fillId="0" borderId="10" xfId="0" applyNumberFormat="1" applyFont="1" applyBorder="1" applyAlignment="1">
      <alignment horizontal="right"/>
    </xf>
    <xf numFmtId="0" fontId="10" fillId="0" borderId="0" xfId="0" applyFont="1" applyAlignment="1"/>
    <xf numFmtId="0" fontId="10" fillId="0" borderId="10" xfId="0" applyFont="1" applyBorder="1" applyAlignment="1"/>
    <xf numFmtId="40" fontId="11" fillId="0" borderId="11" xfId="0" applyNumberFormat="1" applyFont="1" applyBorder="1" applyAlignment="1">
      <alignment horizontal="right"/>
    </xf>
    <xf numFmtId="10" fontId="0" fillId="0" borderId="0" xfId="0" applyNumberFormat="1" applyAlignment="1">
      <alignment horizontal="right"/>
    </xf>
    <xf numFmtId="44" fontId="0" fillId="0" borderId="0" xfId="0" applyNumberFormat="1" applyAlignment="1">
      <alignment horizontal="left"/>
    </xf>
    <xf numFmtId="37" fontId="11" fillId="0" borderId="0" xfId="0" applyNumberFormat="1" applyFont="1" applyAlignment="1">
      <alignment horizontal="right"/>
    </xf>
    <xf numFmtId="169" fontId="11" fillId="0" borderId="0" xfId="0" applyNumberFormat="1" applyFont="1" applyBorder="1" applyAlignment="1">
      <alignment horizontal="right"/>
    </xf>
    <xf numFmtId="169" fontId="11" fillId="0" borderId="0" xfId="0" applyNumberFormat="1" applyFont="1" applyAlignment="1">
      <alignment horizontal="righ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xlq2bridge.bridge">
      <tp>
        <v>287.89999999999998</v>
        <stp/>
        <stp>136</stp>
        <stp>BOOM</stp>
        <stp>NETINCOMEGROWTHQ5TOQ1</stp>
        <stp>0</stp>
        <stp>0</stp>
        <stp>0</stp>
        <stp>0</stp>
        <stp>0</stp>
        <tr r="H10" s="3"/>
      </tp>
      <tp>
        <v>860.9</v>
        <stp/>
        <stp>136</stp>
        <stp>BOOM</stp>
        <stp>NETINCOMEGROWTHQ6TOQ2</stp>
        <stp>0</stp>
        <stp>0</stp>
        <stp>0</stp>
        <stp>0</stp>
        <stp>0</stp>
        <tr r="I10" s="3"/>
      </tp>
      <tp>
        <v>134.1</v>
        <stp/>
        <stp>136</stp>
        <stp>BOOM</stp>
        <stp>NETINCOMEGROWTHQ7TOQ3</stp>
        <stp>0</stp>
        <stp>0</stp>
        <stp>0</stp>
        <stp>0</stp>
        <stp>0</stp>
        <tr r="J10" s="3"/>
      </tp>
      <tp t="s">
        <v>F Score TTM</v>
        <stp/>
        <stp>137</stp>
        <stp/>
        <stp>FSCORETTM</stp>
        <stp>0</stp>
        <stp>0</stp>
        <stp>0</stp>
        <stp>0</stp>
        <stp>0</stp>
        <tr r="B105" s="5"/>
      </tp>
      <tp>
        <v>178.35</v>
        <stp/>
        <stp>136</stp>
        <stp>MSFT</stp>
        <stp>VALUATIONCFPS</stp>
        <stp>0</stp>
        <stp>0</stp>
        <stp>0</stp>
        <stp>0</stp>
        <stp>0</stp>
        <tr r="C8" s="9"/>
      </tp>
      <tp t="s">
        <v>Industry Total liabilities/assets</v>
        <stp/>
        <stp>137</stp>
        <stp/>
        <stp>INDUSTRYTOTALLIABILITIESASSETSY_X</stp>
        <stp>0</stp>
        <stp>0</stp>
        <stp>0</stp>
        <stp>0</stp>
        <stp>0</stp>
        <tr r="B47" s="7"/>
      </tp>
      <tp>
        <v>1.3</v>
        <stp/>
        <stp>136</stp>
        <stp>MSFT</stp>
        <stp>INDUSTRYQUICKRATIOQ1</stp>
        <stp>0</stp>
        <stp>0</stp>
        <stp>0</stp>
        <stp>0</stp>
        <stp>0</stp>
        <tr r="C41" s="7"/>
      </tp>
      <tp>
        <v>5.4</v>
        <stp/>
        <stp>136</stp>
        <stp>MSFT</stp>
        <stp>INDUSTRYLTDEBTEQUITYQ1</stp>
        <stp>0</stp>
        <stp>0</stp>
        <stp>0</stp>
        <stp>0</stp>
        <stp>0</stp>
        <tr r="C49" s="7"/>
      </tp>
      <tp>
        <v>8.1</v>
        <stp/>
        <stp>136</stp>
        <stp>AAPL</stp>
        <stp>CASHPERSHAREQ1</stp>
        <stp>0</stp>
        <stp>0</stp>
        <stp>0</stp>
        <stp>0</stp>
        <stp>0</stp>
        <tr r="C50" s="5"/>
      </tp>
      <tp>
        <v>1.6</v>
        <stp/>
        <stp>136</stp>
        <stp>MSFT</stp>
        <stp>SECTORCURRENTRATIOQ1</stp>
        <stp>0</stp>
        <stp>0</stp>
        <stp>0</stp>
        <stp>0</stp>
        <stp>0</stp>
        <tr r="C69" s="7"/>
      </tp>
      <tp>
        <v>0.96</v>
        <stp/>
        <stp>136</stp>
        <stp>MSFT</stp>
        <stp>FREECASHFLOWPERSHAREQ_X</stp>
        <stp>1</stp>
        <stp>0</stp>
        <stp>0</stp>
        <stp>0</stp>
        <stp>0</stp>
        <tr r="C49" s="1"/>
      </tp>
      <tp>
        <v>0.21</v>
        <stp/>
        <stp>136</stp>
        <stp>MSFT</stp>
        <stp>FREECASHFLOWPERSHAREQ_X</stp>
        <stp>2</stp>
        <stp>0</stp>
        <stp>0</stp>
        <stp>0</stp>
        <stp>0</stp>
        <tr r="D49" s="1"/>
      </tp>
      <tp>
        <v>0.88</v>
        <stp/>
        <stp>136</stp>
        <stp>MSFT</stp>
        <stp>FREECASHFLOWPERSHAREQ_X</stp>
        <stp>3</stp>
        <stp>0</stp>
        <stp>0</stp>
        <stp>0</stp>
        <stp>0</stp>
        <tr r="E49" s="1"/>
      </tp>
      <tp>
        <v>0.54</v>
        <stp/>
        <stp>136</stp>
        <stp>MSFT</stp>
        <stp>FREECASHFLOWPERSHAREQ_X</stp>
        <stp>4</stp>
        <stp>0</stp>
        <stp>0</stp>
        <stp>0</stp>
        <stp>0</stp>
        <tr r="F49" s="1"/>
      </tp>
      <tp>
        <v>0.77</v>
        <stp/>
        <stp>136</stp>
        <stp>MSFT</stp>
        <stp>FREECASHFLOWPERSHAREQ_X</stp>
        <stp>5</stp>
        <stp>0</stp>
        <stp>0</stp>
        <stp>0</stp>
        <stp>0</stp>
        <tr r="G49" s="1"/>
      </tp>
      <tp>
        <v>0.27</v>
        <stp/>
        <stp>136</stp>
        <stp>MSFT</stp>
        <stp>FREECASHFLOWPERSHAREQ_X</stp>
        <stp>6</stp>
        <stp>0</stp>
        <stp>0</stp>
        <stp>0</stp>
        <stp>0</stp>
        <tr r="H49" s="1"/>
      </tp>
      <tp>
        <v>0.94</v>
        <stp/>
        <stp>136</stp>
        <stp>MSFT</stp>
        <stp>FREECASHFLOWPERSHAREQ_X</stp>
        <stp>7</stp>
        <stp>0</stp>
        <stp>0</stp>
        <stp>0</stp>
        <stp>0</stp>
        <tr r="I49" s="1"/>
      </tp>
      <tp>
        <v>0.73</v>
        <stp/>
        <stp>136</stp>
        <stp>MSFT</stp>
        <stp>FREECASHFLOWPERSHAREQ_X</stp>
        <stp>8</stp>
        <stp>0</stp>
        <stp>0</stp>
        <stp>0</stp>
        <stp>0</stp>
        <tr r="J49" s="1"/>
      </tp>
      <tp>
        <v>-21.3</v>
        <stp/>
        <stp>136</stp>
        <stp>BOOM</stp>
        <stp>SECTORCASHFLOWGROWTH12M</stp>
        <stp>0</stp>
        <stp>0</stp>
        <stp>0</stp>
        <stp>0</stp>
        <stp>0</stp>
        <tr r="G43" s="3"/>
      </tp>
      <tp>
        <v>0.03</v>
        <stp/>
        <stp>136</stp>
        <stp>BEAT</stp>
        <stp>FREECASHFLOWPERSHAREQ_X</stp>
        <stp>4</stp>
        <stp>0</stp>
        <stp>0</stp>
        <stp>0</stp>
        <stp>0</stp>
        <tr r="I21" s="13"/>
      </tp>
      <tp>
        <v>0.59</v>
        <stp/>
        <stp>136</stp>
        <stp>BEAT</stp>
        <stp>FREECASHFLOWPERSHAREQ_X</stp>
        <stp>2</stp>
        <stp>0</stp>
        <stp>0</stp>
        <stp>0</stp>
        <stp>0</stp>
        <tr r="G21" s="13"/>
      </tp>
      <tp>
        <v>0.56999999999999995</v>
        <stp/>
        <stp>136</stp>
        <stp>BEAT</stp>
        <stp>FREECASHFLOWPERSHAREQ_X</stp>
        <stp>3</stp>
        <stp>0</stp>
        <stp>0</stp>
        <stp>0</stp>
        <stp>0</stp>
        <tr r="H21" s="13"/>
      </tp>
      <tp>
        <v>0.34</v>
        <stp/>
        <stp>136</stp>
        <stp>BEAT</stp>
        <stp>FREECASHFLOWPERSHAREQ_X</stp>
        <stp>1</stp>
        <stp>0</stp>
        <stp>0</stp>
        <stp>0</stp>
        <stp>0</stp>
        <tr r="F21" s="13"/>
      </tp>
      <tp>
        <v>1.5</v>
        <stp/>
        <stp>136</stp>
        <stp>MSFT</stp>
        <stp>INDUSTRYCURRENTRATIOY_X</stp>
        <stp>6</stp>
        <stp>0</stp>
        <stp>0</stp>
        <stp>0</stp>
        <stp>0</stp>
        <tr r="I42" s="7"/>
      </tp>
      <tp>
        <v>1.4</v>
        <stp/>
        <stp>136</stp>
        <stp>MSFT</stp>
        <stp>INDUSTRYCURRENTRATIOY_X</stp>
        <stp>7</stp>
        <stp>0</stp>
        <stp>0</stp>
        <stp>0</stp>
        <stp>0</stp>
        <tr r="J42" s="7"/>
      </tp>
      <tp>
        <v>1.6</v>
        <stp/>
        <stp>136</stp>
        <stp>MSFT</stp>
        <stp>INDUSTRYCURRENTRATIOY_X</stp>
        <stp>4</stp>
        <stp>0</stp>
        <stp>0</stp>
        <stp>0</stp>
        <stp>0</stp>
        <tr r="G42" s="7"/>
      </tp>
      <tp>
        <v>1.6</v>
        <stp/>
        <stp>136</stp>
        <stp>MSFT</stp>
        <stp>INDUSTRYCURRENTRATIOY_X</stp>
        <stp>5</stp>
        <stp>0</stp>
        <stp>0</stp>
        <stp>0</stp>
        <stp>0</stp>
        <tr r="H42" s="7"/>
      </tp>
      <tp>
        <v>1.3</v>
        <stp/>
        <stp>136</stp>
        <stp>MSFT</stp>
        <stp>INDUSTRYCURRENTRATIOY_X</stp>
        <stp>2</stp>
        <stp>0</stp>
        <stp>0</stp>
        <stp>0</stp>
        <stp>0</stp>
        <tr r="E42" s="7"/>
      </tp>
      <tp>
        <v>1.4</v>
        <stp/>
        <stp>136</stp>
        <stp>MSFT</stp>
        <stp>INDUSTRYCURRENTRATIOY_X</stp>
        <stp>3</stp>
        <stp>0</stp>
        <stp>0</stp>
        <stp>0</stp>
        <stp>0</stp>
        <tr r="F42" s="7"/>
      </tp>
      <tp>
        <v>1.4</v>
        <stp/>
        <stp>136</stp>
        <stp>MSFT</stp>
        <stp>INDUSTRYCURRENTRATIOY_X</stp>
        <stp>1</stp>
        <stp>0</stp>
        <stp>0</stp>
        <stp>0</stp>
        <stp>0</stp>
        <tr r="D42" s="7"/>
      </tp>
      <tp>
        <v>333</v>
        <stp/>
        <stp>136</stp>
        <stp>BEAT</stp>
        <stp>EQUITYCOMMONQ_X</stp>
        <stp>1</stp>
        <stp>0</stp>
        <stp>0</stp>
        <stp>0</stp>
        <stp>0</stp>
        <tr r="F40" s="13"/>
      </tp>
      <tp>
        <v>295.5</v>
        <stp/>
        <stp>136</stp>
        <stp>BEAT</stp>
        <stp>EQUITYCOMMONQ_X</stp>
        <stp>3</stp>
        <stp>0</stp>
        <stp>0</stp>
        <stp>0</stp>
        <stp>0</stp>
        <tr r="H40" s="13"/>
      </tp>
      <tp>
        <v>310.5</v>
        <stp/>
        <stp>136</stp>
        <stp>BEAT</stp>
        <stp>EQUITYCOMMONQ_X</stp>
        <stp>2</stp>
        <stp>0</stp>
        <stp>0</stp>
        <stp>0</stp>
        <stp>0</stp>
        <tr r="G40" s="13"/>
      </tp>
      <tp>
        <v>273.2</v>
        <stp/>
        <stp>136</stp>
        <stp>BEAT</stp>
        <stp>EQUITYCOMMONQ_X</stp>
        <stp>4</stp>
        <stp>0</stp>
        <stp>0</stp>
        <stp>0</stp>
        <stp>0</stp>
        <tr r="I40" s="13"/>
      </tp>
      <tp>
        <v>89647</v>
        <stp/>
        <stp>136</stp>
        <stp>MSFT</stp>
        <stp>EQUITYCOMMONQ_X</stp>
        <stp>7</stp>
        <stp>0</stp>
        <stp>0</stp>
        <stp>0</stp>
        <stp>0</stp>
        <tr r="I81" s="1"/>
      </tp>
      <tp>
        <v>78360</v>
        <stp/>
        <stp>136</stp>
        <stp>MSFT</stp>
        <stp>EQUITYCOMMONQ_X</stp>
        <stp>6</stp>
        <stp>0</stp>
        <stp>0</stp>
        <stp>0</stp>
        <stp>0</stp>
        <tr r="H81" s="1"/>
      </tp>
      <tp>
        <v>79239</v>
        <stp/>
        <stp>136</stp>
        <stp>MSFT</stp>
        <stp>EQUITYCOMMONQ_X</stp>
        <stp>5</stp>
        <stp>0</stp>
        <stp>0</stp>
        <stp>0</stp>
        <stp>0</stp>
        <tr r="G81" s="1"/>
      </tp>
      <tp>
        <v>82718</v>
        <stp/>
        <stp>136</stp>
        <stp>MSFT</stp>
        <stp>EQUITYCOMMONQ_X</stp>
        <stp>4</stp>
        <stp>0</stp>
        <stp>0</stp>
        <stp>0</stp>
        <stp>0</stp>
        <tr r="F81" s="1"/>
      </tp>
      <tp>
        <v>85967</v>
        <stp/>
        <stp>136</stp>
        <stp>MSFT</stp>
        <stp>EQUITYCOMMONQ_X</stp>
        <stp>3</stp>
        <stp>0</stp>
        <stp>0</stp>
        <stp>0</stp>
        <stp>0</stp>
        <tr r="E81" s="1"/>
      </tp>
      <tp>
        <v>92128</v>
        <stp/>
        <stp>136</stp>
        <stp>MSFT</stp>
        <stp>EQUITYCOMMONQ_X</stp>
        <stp>2</stp>
        <stp>0</stp>
        <stp>0</stp>
        <stp>0</stp>
        <stp>0</stp>
        <tr r="D81" s="1"/>
      </tp>
      <tp>
        <v>94864</v>
        <stp/>
        <stp>136</stp>
        <stp>MSFT</stp>
        <stp>EQUITYCOMMONQ_X</stp>
        <stp>1</stp>
        <stp>0</stp>
        <stp>0</stp>
        <stp>0</stp>
        <stp>0</stp>
        <tr r="C81" s="1"/>
      </tp>
      <tp>
        <v>87711</v>
        <stp/>
        <stp>136</stp>
        <stp>MSFT</stp>
        <stp>EQUITYCOMMONQ_X</stp>
        <stp>8</stp>
        <stp>0</stp>
        <stp>0</stp>
        <stp>0</stp>
        <stp>0</stp>
        <tr r="J81" s="1"/>
      </tp>
      <tp>
        <v>17.5</v>
        <stp/>
        <stp>136</stp>
        <stp>BEAT</stp>
        <stp>CASHFROMOPERATIONSQ_X</stp>
        <stp>1</stp>
        <stp>0</stp>
        <stp>0</stp>
        <stp>0</stp>
        <stp>0</stp>
        <tr r="F18" s="13"/>
      </tp>
      <tp>
        <v>28.5</v>
        <stp/>
        <stp>136</stp>
        <stp>BEAT</stp>
        <stp>CASHFROMOPERATIONSQ_X</stp>
        <stp>2</stp>
        <stp>0</stp>
        <stp>0</stp>
        <stp>0</stp>
        <stp>0</stp>
        <tr r="G18" s="13"/>
      </tp>
      <tp>
        <v>28.2</v>
        <stp/>
        <stp>136</stp>
        <stp>BEAT</stp>
        <stp>CASHFROMOPERATIONSQ_X</stp>
        <stp>3</stp>
        <stp>0</stp>
        <stp>0</stp>
        <stp>0</stp>
        <stp>0</stp>
        <tr r="H18" s="13"/>
      </tp>
      <tp>
        <v>7.1</v>
        <stp/>
        <stp>136</stp>
        <stp>BEAT</stp>
        <stp>CASHFROMOPERATIONSQ_X</stp>
        <stp>4</stp>
        <stp>0</stp>
        <stp>0</stp>
        <stp>0</stp>
        <stp>0</stp>
        <tr r="I18" s="13"/>
      </tp>
      <tp>
        <v>2.9</v>
        <stp/>
        <stp>136</stp>
        <stp>MSFT</stp>
        <stp>QUICKRATIOY_X</stp>
        <stp>1</stp>
        <stp>0</stp>
        <stp>0</stp>
        <stp>0</stp>
        <stp>0</stp>
        <tr r="D14" s="7"/>
      </tp>
      <tp>
        <v>2.9</v>
        <stp/>
        <stp>136</stp>
        <stp>MSFT</stp>
        <stp>QUICKRATIOY_X</stp>
        <stp>2</stp>
        <stp>0</stp>
        <stp>0</stp>
        <stp>0</stp>
        <stp>0</stp>
        <tr r="E14" s="7"/>
      </tp>
      <tp>
        <v>2.2999999999999998</v>
        <stp/>
        <stp>136</stp>
        <stp>MSFT</stp>
        <stp>QUICKRATIOY_X</stp>
        <stp>3</stp>
        <stp>0</stp>
        <stp>0</stp>
        <stp>0</stp>
        <stp>0</stp>
        <tr r="F14" s="7"/>
      </tp>
      <tp>
        <v>2.4</v>
        <stp/>
        <stp>136</stp>
        <stp>MSFT</stp>
        <stp>QUICKRATIOY_X</stp>
        <stp>4</stp>
        <stp>0</stp>
        <stp>0</stp>
        <stp>0</stp>
        <stp>0</stp>
        <tr r="G14" s="7"/>
      </tp>
      <tp>
        <v>2.4</v>
        <stp/>
        <stp>136</stp>
        <stp>MSFT</stp>
        <stp>QUICKRATIOY_X</stp>
        <stp>5</stp>
        <stp>0</stp>
        <stp>0</stp>
        <stp>0</stp>
        <stp>0</stp>
        <tr r="H14" s="7"/>
      </tp>
      <tp>
        <v>2.7</v>
        <stp/>
        <stp>136</stp>
        <stp>MSFT</stp>
        <stp>QUICKRATIOY_X</stp>
        <stp>6</stp>
        <stp>0</stp>
        <stp>0</stp>
        <stp>0</stp>
        <stp>0</stp>
        <tr r="I14" s="7"/>
      </tp>
      <tp>
        <v>2.6</v>
        <stp/>
        <stp>136</stp>
        <stp>MSFT</stp>
        <stp>QUICKRATIOY_X</stp>
        <stp>7</stp>
        <stp>0</stp>
        <stp>0</stp>
        <stp>0</stp>
        <stp>0</stp>
        <tr r="J14" s="7"/>
      </tp>
      <tp t="s">
        <v>Return on Assets 12 Month</v>
        <stp/>
        <stp>137</stp>
        <stp/>
        <stp>RETURNONASSETS12M</stp>
        <stp>0</stp>
        <stp>0</stp>
        <stp>0</stp>
        <stp>0</stp>
        <stp>0</stp>
        <tr r="D60" s="13"/>
      </tp>
      <tp t="s">
        <v>Flash - EPS-Diluted Continuing</v>
        <stp/>
        <stp>137</stp>
        <stp/>
        <stp>FLASHEPSDILUTEDCONTINUING</stp>
        <stp>0</stp>
        <stp>0</stp>
        <stp>0</stp>
        <stp>0</stp>
        <stp>0</stp>
        <tr r="B78" s="5"/>
      </tp>
      <tp>
        <v>2</v>
        <stp/>
        <stp>136</stp>
        <stp>MSFT</stp>
        <stp>SECTORCURRENTRATIOY_X</stp>
        <stp>4</stp>
        <stp>0</stp>
        <stp>0</stp>
        <stp>0</stp>
        <stp>0</stp>
        <tr r="G69" s="7"/>
      </tp>
      <tp>
        <v>2</v>
        <stp/>
        <stp>136</stp>
        <stp>MSFT</stp>
        <stp>SECTORCURRENTRATIOY_X</stp>
        <stp>5</stp>
        <stp>0</stp>
        <stp>0</stp>
        <stp>0</stp>
        <stp>0</stp>
        <tr r="H69" s="7"/>
      </tp>
      <tp>
        <v>2.1</v>
        <stp/>
        <stp>136</stp>
        <stp>MSFT</stp>
        <stp>SECTORCURRENTRATIOY_X</stp>
        <stp>6</stp>
        <stp>0</stp>
        <stp>0</stp>
        <stp>0</stp>
        <stp>0</stp>
        <tr r="I69" s="7"/>
      </tp>
      <tp>
        <v>2.1</v>
        <stp/>
        <stp>136</stp>
        <stp>MSFT</stp>
        <stp>SECTORCURRENTRATIOY_X</stp>
        <stp>7</stp>
        <stp>0</stp>
        <stp>0</stp>
        <stp>0</stp>
        <stp>0</stp>
        <tr r="J69" s="7"/>
      </tp>
      <tp>
        <v>1.8</v>
        <stp/>
        <stp>136</stp>
        <stp>MSFT</stp>
        <stp>SECTORCURRENTRATIOY_X</stp>
        <stp>1</stp>
        <stp>0</stp>
        <stp>0</stp>
        <stp>0</stp>
        <stp>0</stp>
        <tr r="D69" s="7"/>
      </tp>
      <tp>
        <v>1.8</v>
        <stp/>
        <stp>136</stp>
        <stp>MSFT</stp>
        <stp>SECTORCURRENTRATIOY_X</stp>
        <stp>2</stp>
        <stp>0</stp>
        <stp>0</stp>
        <stp>0</stp>
        <stp>0</stp>
        <tr r="E69" s="7"/>
      </tp>
      <tp>
        <v>1.8</v>
        <stp/>
        <stp>136</stp>
        <stp>MSFT</stp>
        <stp>SECTORCURRENTRATIOY_X</stp>
        <stp>3</stp>
        <stp>0</stp>
        <stp>0</stp>
        <stp>0</stp>
        <stp>0</stp>
        <tr r="F69" s="7"/>
      </tp>
      <tp>
        <v>87.08</v>
        <stp/>
        <stp>136</stp>
        <stp>AAPL</stp>
        <stp>PRICEASPCNTOF2YEARHIGH</stp>
        <stp>0</stp>
        <stp>0</stp>
        <stp>0</stp>
        <stp>0</stp>
        <stp>0</stp>
        <tr r="C46" s="5"/>
      </tp>
      <tp>
        <v>4.5</v>
        <stp/>
        <stp>136</stp>
        <stp>BOOM</stp>
        <stp>PRETAXINCOMEQ_X</stp>
        <stp>5</stp>
        <stp>0</stp>
        <stp>0</stp>
        <stp>0</stp>
        <stp>0</stp>
        <tr r="G19" s="12"/>
        <tr r="G19" s="11"/>
      </tp>
      <tp>
        <v>14.2</v>
        <stp/>
        <stp>136</stp>
        <stp>BOOM</stp>
        <stp>PRETAXINCOMEQ_X</stp>
        <stp>4</stp>
        <stp>0</stp>
        <stp>0</stp>
        <stp>0</stp>
        <stp>0</stp>
        <tr r="F19" s="11"/>
        <tr r="F19" s="12"/>
      </tp>
      <tp>
        <v>-13.3</v>
        <stp/>
        <stp>136</stp>
        <stp>BOOM</stp>
        <stp>PRETAXINCOMEQ_X</stp>
        <stp>7</stp>
        <stp>0</stp>
        <stp>0</stp>
        <stp>0</stp>
        <stp>0</stp>
        <tr r="I19" s="11"/>
        <tr r="I19" s="12"/>
      </tp>
      <tp>
        <v>-0.3</v>
        <stp/>
        <stp>136</stp>
        <stp>BOOM</stp>
        <stp>PRETAXINCOMEQ_X</stp>
        <stp>6</stp>
        <stp>0</stp>
        <stp>0</stp>
        <stp>0</stp>
        <stp>0</stp>
        <tr r="H19" s="12"/>
        <tr r="H19" s="11"/>
      </tp>
      <tp>
        <v>20.100000000000001</v>
        <stp/>
        <stp>136</stp>
        <stp>BOOM</stp>
        <stp>PRETAXINCOMEQ_X</stp>
        <stp>1</stp>
        <stp>0</stp>
        <stp>0</stp>
        <stp>0</stp>
        <stp>0</stp>
        <tr r="C19" s="11"/>
        <tr r="C19" s="12"/>
      </tp>
      <tp>
        <v>8</v>
        <stp/>
        <stp>136</stp>
        <stp>BOOM</stp>
        <stp>PRETAXINCOMEQ_X</stp>
        <stp>3</stp>
        <stp>0</stp>
        <stp>0</stp>
        <stp>0</stp>
        <stp>0</stp>
        <tr r="E19" s="12"/>
        <tr r="E19" s="11"/>
      </tp>
      <tp>
        <v>12.4</v>
        <stp/>
        <stp>136</stp>
        <stp>BOOM</stp>
        <stp>PRETAXINCOMEQ_X</stp>
        <stp>2</stp>
        <stp>0</stp>
        <stp>0</stp>
        <stp>0</stp>
        <stp>0</stp>
        <tr r="D19" s="11"/>
        <tr r="D19" s="12"/>
      </tp>
      <tp>
        <v>-1.7</v>
        <stp/>
        <stp>136</stp>
        <stp>BOOM</stp>
        <stp>PRETAXINCOMEQ_X</stp>
        <stp>8</stp>
        <stp>0</stp>
        <stp>0</stp>
        <stp>0</stp>
        <stp>0</stp>
        <tr r="J19" s="11"/>
        <tr r="J19" s="12"/>
      </tp>
      <tp t="s">
        <v>PE High - Average 3 Years</v>
        <stp/>
        <stp>137</stp>
        <stp/>
        <stp>PEHIGHAVE3Y</stp>
        <stp>0</stp>
        <stp>0</stp>
        <stp>0</stp>
        <stp>0</stp>
        <stp>0</stp>
        <tr r="B44" s="6"/>
      </tp>
      <tp t="s">
        <v>PE High - Average 5 Years</v>
        <stp/>
        <stp>137</stp>
        <stp/>
        <stp>PEHIGHAVE5Y</stp>
        <stp>0</stp>
        <stp>0</stp>
        <stp>0</stp>
        <stp>0</stp>
        <stp>0</stp>
        <tr r="B45" s="6"/>
      </tp>
      <tp t="s">
        <v>PE High - Average 7 Years</v>
        <stp/>
        <stp>137</stp>
        <stp/>
        <stp>PEHIGHAVE7Y</stp>
        <stp>0</stp>
        <stp>0</stp>
        <stp>0</stp>
        <stp>0</stp>
        <stp>0</stp>
        <tr r="B46" s="6"/>
      </tp>
      <tp>
        <v>89.18</v>
        <stp/>
        <stp>136</stp>
        <stp>MSFT</stp>
        <stp>VALUATIONAVESPS</stp>
        <stp>0</stp>
        <stp>0</stp>
        <stp>0</stp>
        <stp>0</stp>
        <stp>0</stp>
        <tr r="C11" s="9"/>
      </tp>
      <tp>
        <v>12.3</v>
        <stp/>
        <stp>136</stp>
        <stp>MSFT</stp>
        <stp>EPSGROWTHESTLOW</stp>
        <stp>0</stp>
        <stp>0</stp>
        <stp>0</stp>
        <stp>0</stp>
        <stp>0</stp>
        <tr r="H8" s="8"/>
      </tp>
      <tp>
        <v>51.6</v>
        <stp/>
        <stp>136</stp>
        <stp>MSFT</stp>
        <stp>SECTORTOTALLIABILITIESASSETSY_X</stp>
        <stp>1</stp>
        <stp>0</stp>
        <stp>0</stp>
        <stp>0</stp>
        <stp>0</stp>
        <tr r="D74" s="7"/>
      </tp>
      <tp>
        <v>50.7</v>
        <stp/>
        <stp>136</stp>
        <stp>MSFT</stp>
        <stp>SECTORTOTALLIABILITIESASSETSY_X</stp>
        <stp>2</stp>
        <stp>0</stp>
        <stp>0</stp>
        <stp>0</stp>
        <stp>0</stp>
        <tr r="E74" s="7"/>
      </tp>
      <tp>
        <v>48.8</v>
        <stp/>
        <stp>136</stp>
        <stp>MSFT</stp>
        <stp>SECTORTOTALLIABILITIESASSETSY_X</stp>
        <stp>3</stp>
        <stp>0</stp>
        <stp>0</stp>
        <stp>0</stp>
        <stp>0</stp>
        <tr r="F74" s="7"/>
      </tp>
      <tp>
        <v>46.7</v>
        <stp/>
        <stp>136</stp>
        <stp>MSFT</stp>
        <stp>SECTORTOTALLIABILITIESASSETSY_X</stp>
        <stp>4</stp>
        <stp>0</stp>
        <stp>0</stp>
        <stp>0</stp>
        <stp>0</stp>
        <tr r="G74" s="7"/>
      </tp>
      <tp>
        <v>43</v>
        <stp/>
        <stp>136</stp>
        <stp>MSFT</stp>
        <stp>SECTORTOTALLIABILITIESASSETSY_X</stp>
        <stp>5</stp>
        <stp>0</stp>
        <stp>0</stp>
        <stp>0</stp>
        <stp>0</stp>
        <tr r="H74" s="7"/>
      </tp>
      <tp>
        <v>41.5</v>
        <stp/>
        <stp>136</stp>
        <stp>MSFT</stp>
        <stp>SECTORTOTALLIABILITIESASSETSY_X</stp>
        <stp>6</stp>
        <stp>0</stp>
        <stp>0</stp>
        <stp>0</stp>
        <stp>0</stp>
        <tr r="I74" s="7"/>
      </tp>
      <tp>
        <v>41.1</v>
        <stp/>
        <stp>136</stp>
        <stp>MSFT</stp>
        <stp>SECTORTOTALLIABILITIESASSETSY_X</stp>
        <stp>7</stp>
        <stp>0</stp>
        <stp>0</stp>
        <stp>0</stp>
        <stp>0</stp>
        <tr r="J74" s="7"/>
      </tp>
      <tp>
        <v>7.1</v>
        <stp/>
        <stp>136</stp>
        <stp>BOOM</stp>
        <stp>INDUSTRYSALESGROWTH3Y</stp>
        <stp>0</stp>
        <stp>0</stp>
        <stp>0</stp>
        <stp>0</stp>
        <stp>0</stp>
        <tr r="D20" s="3"/>
      </tp>
      <tp>
        <v>20.8</v>
        <stp/>
        <stp>136</stp>
        <stp>BOOM</stp>
        <stp>INDUSTRYSALESGROWTH1Y</stp>
        <stp>0</stp>
        <stp>0</stp>
        <stp>0</stp>
        <stp>0</stp>
        <stp>0</stp>
        <tr r="C20" s="3"/>
      </tp>
      <tp>
        <v>2.6</v>
        <stp/>
        <stp>136</stp>
        <stp>BOOM</stp>
        <stp>INDUSTRYSALESGROWTH7Y</stp>
        <stp>0</stp>
        <stp>0</stp>
        <stp>0</stp>
        <stp>0</stp>
        <stp>0</stp>
        <tr r="F20" s="3"/>
      </tp>
      <tp>
        <v>4</v>
        <stp/>
        <stp>136</stp>
        <stp>BOOM</stp>
        <stp>INDUSTRYSALESGROWTH5Y</stp>
        <stp>0</stp>
        <stp>0</stp>
        <stp>0</stp>
        <stp>0</stp>
        <stp>0</stp>
        <tr r="E20" s="3"/>
      </tp>
      <tp>
        <v>61</v>
        <stp/>
        <stp>136</stp>
        <stp>BEAT</stp>
        <stp>CURRENTLIABILITIESQ_X</stp>
        <stp>1</stp>
        <stp>0</stp>
        <stp>0</stp>
        <stp>0</stp>
        <stp>0</stp>
        <tr r="F36" s="13"/>
      </tp>
      <tp>
        <v>49.6</v>
        <stp/>
        <stp>136</stp>
        <stp>BEAT</stp>
        <stp>CURRENTLIABILITIESQ_X</stp>
        <stp>2</stp>
        <stp>0</stp>
        <stp>0</stp>
        <stp>0</stp>
        <stp>0</stp>
        <tr r="G36" s="13"/>
      </tp>
      <tp>
        <v>50.1</v>
        <stp/>
        <stp>136</stp>
        <stp>BEAT</stp>
        <stp>CURRENTLIABILITIESQ_X</stp>
        <stp>3</stp>
        <stp>0</stp>
        <stp>0</stp>
        <stp>0</stp>
        <stp>0</stp>
        <tr r="H36" s="13"/>
      </tp>
      <tp>
        <v>45.9</v>
        <stp/>
        <stp>136</stp>
        <stp>BEAT</stp>
        <stp>CURRENTLIABILITIESQ_X</stp>
        <stp>4</stp>
        <stp>0</stp>
        <stp>0</stp>
        <stp>0</stp>
        <stp>0</stp>
        <tr r="I36" s="13"/>
      </tp>
      <tp>
        <v>47495</v>
        <stp/>
        <stp>136</stp>
        <stp>MSFT</stp>
        <stp>CASHFROMOPERATIONS12M</stp>
        <stp>0</stp>
        <stp>0</stp>
        <stp>0</stp>
        <stp>0</stp>
        <stp>0</stp>
        <tr r="L39" s="1"/>
      </tp>
      <tp>
        <v>6.7</v>
        <stp/>
        <stp>136</stp>
        <stp>MSFT</stp>
        <stp>INDUSTRYLTDEBTTOTALCAPITALQ1</stp>
        <stp>0</stp>
        <stp>0</stp>
        <stp>0</stp>
        <stp>0</stp>
        <stp>0</stp>
        <tr r="C48" s="7"/>
      </tp>
      <tp>
        <v>0.245</v>
        <stp/>
        <stp>136</stp>
        <stp>BOOM</stp>
        <stp>EPSDILUTEDCONTINUINGQ_X</stp>
        <stp>5</stp>
        <stp>0</stp>
        <stp>0</stp>
        <stp>0</stp>
        <stp>0</stp>
        <tr r="G32" s="11"/>
        <tr r="G32" s="12"/>
      </tp>
      <tp>
        <v>0.67300000000000004</v>
        <stp/>
        <stp>136</stp>
        <stp>BOOM</stp>
        <stp>EPSDILUTEDCONTINUINGQ_X</stp>
        <stp>4</stp>
        <stp>0</stp>
        <stp>0</stp>
        <stp>0</stp>
        <stp>0</stp>
        <tr r="F32" s="11"/>
        <tr r="F32" s="12"/>
      </tp>
      <tp>
        <v>-0.97899999999999998</v>
        <stp/>
        <stp>136</stp>
        <stp>BOOM</stp>
        <stp>EPSDILUTEDCONTINUINGQ_X</stp>
        <stp>7</stp>
        <stp>0</stp>
        <stp>0</stp>
        <stp>0</stp>
        <stp>0</stp>
        <tr r="I32" s="11"/>
        <tr r="I32" s="12"/>
      </tp>
      <tp>
        <v>-7.0999999999999994E-2</v>
        <stp/>
        <stp>136</stp>
        <stp>BOOM</stp>
        <stp>EPSDILUTEDCONTINUINGQ_X</stp>
        <stp>6</stp>
        <stp>0</stp>
        <stp>0</stp>
        <stp>0</stp>
        <stp>0</stp>
        <tr r="H32" s="11"/>
        <tr r="H32" s="12"/>
      </tp>
      <tp>
        <v>1.012</v>
        <stp/>
        <stp>136</stp>
        <stp>BOOM</stp>
        <stp>EPSDILUTEDCONTINUINGQ_X</stp>
        <stp>1</stp>
        <stp>0</stp>
        <stp>0</stp>
        <stp>0</stp>
        <stp>0</stp>
        <tr r="C32" s="11"/>
        <tr r="C32" s="12"/>
      </tp>
      <tp>
        <v>0.32900000000000001</v>
        <stp/>
        <stp>136</stp>
        <stp>BOOM</stp>
        <stp>EPSDILUTEDCONTINUINGQ_X</stp>
        <stp>3</stp>
        <stp>0</stp>
        <stp>0</stp>
        <stp>0</stp>
        <stp>0</stp>
        <tr r="E32" s="12"/>
        <tr r="E32" s="11"/>
      </tp>
      <tp>
        <v>1.0580000000000001</v>
        <stp/>
        <stp>136</stp>
        <stp>BOOM</stp>
        <stp>EPSDILUTEDCONTINUINGQ_X</stp>
        <stp>2</stp>
        <stp>0</stp>
        <stp>0</stp>
        <stp>0</stp>
        <stp>0</stp>
        <tr r="D32" s="11"/>
        <tr r="D32" s="12"/>
      </tp>
      <tp>
        <v>-0.19700000000000001</v>
        <stp/>
        <stp>136</stp>
        <stp>BOOM</stp>
        <stp>EPSDILUTEDCONTINUINGQ_X</stp>
        <stp>8</stp>
        <stp>0</stp>
        <stp>0</stp>
        <stp>0</stp>
        <stp>0</stp>
        <tr r="J32" s="11"/>
        <tr r="J32" s="12"/>
      </tp>
      <tp t="s">
        <v>Flash - Gross Operating Income</v>
        <stp/>
        <stp>137</stp>
        <stp/>
        <stp>FLASHGROSSOPERATINGINCOME</stp>
        <stp>0</stp>
        <stp>0</stp>
        <stp>0</stp>
        <stp>0</stp>
        <stp>0</stp>
        <tr r="B79" s="5"/>
      </tp>
      <tp>
        <v>77</v>
        <stp/>
        <stp>136</stp>
        <stp>MSFT</stp>
        <stp>PCNTRANKQUICKRATIOY_X</stp>
        <stp>1</stp>
        <stp>0</stp>
        <stp>0</stp>
        <stp>0</stp>
        <stp>0</stp>
        <tr r="D95" s="7"/>
      </tp>
      <tp>
        <v>78</v>
        <stp/>
        <stp>136</stp>
        <stp>MSFT</stp>
        <stp>PCNTRANKQUICKRATIOY_X</stp>
        <stp>2</stp>
        <stp>0</stp>
        <stp>0</stp>
        <stp>0</stp>
        <stp>0</stp>
        <tr r="E95" s="7"/>
      </tp>
      <tp>
        <v>73</v>
        <stp/>
        <stp>136</stp>
        <stp>MSFT</stp>
        <stp>PCNTRANKQUICKRATIOY_X</stp>
        <stp>3</stp>
        <stp>0</stp>
        <stp>0</stp>
        <stp>0</stp>
        <stp>0</stp>
        <tr r="F95" s="7"/>
      </tp>
      <tp>
        <v>74</v>
        <stp/>
        <stp>136</stp>
        <stp>MSFT</stp>
        <stp>PCNTRANKQUICKRATIOY_X</stp>
        <stp>4</stp>
        <stp>0</stp>
        <stp>0</stp>
        <stp>0</stp>
        <stp>0</stp>
        <tr r="G95" s="7"/>
      </tp>
      <tp>
        <v>74</v>
        <stp/>
        <stp>136</stp>
        <stp>MSFT</stp>
        <stp>PCNTRANKQUICKRATIOY_X</stp>
        <stp>5</stp>
        <stp>0</stp>
        <stp>0</stp>
        <stp>0</stp>
        <stp>0</stp>
        <tr r="H95" s="7"/>
      </tp>
      <tp t="s">
        <v>NA</v>
        <stp/>
        <stp>136</stp>
        <stp>MSFT</stp>
        <stp>PCNTRANKQUICKRATIOY_X</stp>
        <stp>6</stp>
        <stp>0</stp>
        <stp>0</stp>
        <stp>0</stp>
        <stp>0</stp>
        <tr r="I95" s="7"/>
      </tp>
      <tp t="s">
        <v>NA</v>
        <stp/>
        <stp>136</stp>
        <stp>MSFT</stp>
        <stp>PCNTRANKQUICKRATIOY_X</stp>
        <stp>7</stp>
        <stp>0</stp>
        <stp>0</stp>
        <stp>0</stp>
        <stp>0</stp>
        <tr r="J95" s="7"/>
      </tp>
      <tp>
        <v>10.8</v>
        <stp/>
        <stp>136</stp>
        <stp>BOOM</stp>
        <stp>SECTOREPSCONTGROWTH1Y</stp>
        <stp>0</stp>
        <stp>0</stp>
        <stp>0</stp>
        <stp>0</stp>
        <stp>0</stp>
        <tr r="C40" s="3"/>
      </tp>
      <tp>
        <v>22</v>
        <stp/>
        <stp>136</stp>
        <stp>BOOM</stp>
        <stp>SECTOREPSCONTGROWTH3Y</stp>
        <stp>0</stp>
        <stp>0</stp>
        <stp>0</stp>
        <stp>0</stp>
        <stp>0</stp>
        <tr r="D40" s="3"/>
      </tp>
      <tp>
        <v>12.8</v>
        <stp/>
        <stp>136</stp>
        <stp>BOOM</stp>
        <stp>SECTOREPSCONTGROWTH5Y</stp>
        <stp>0</stp>
        <stp>0</stp>
        <stp>0</stp>
        <stp>0</stp>
        <stp>0</stp>
        <tr r="E40" s="3"/>
      </tp>
      <tp>
        <v>5.6</v>
        <stp/>
        <stp>136</stp>
        <stp>BOOM</stp>
        <stp>SECTOREPSCONTGROWTH7Y</stp>
        <stp>0</stp>
        <stp>0</stp>
        <stp>0</stp>
        <stp>0</stp>
        <stp>0</stp>
        <tr r="F40" s="3"/>
      </tp>
      <tp>
        <v>5.9</v>
        <stp/>
        <stp>136</stp>
        <stp>AAPL</stp>
        <stp>RANDDASPCNTOFSALES12M</stp>
        <stp>0</stp>
        <stp>0</stp>
        <stp>0</stp>
        <stp>0</stp>
        <stp>0</stp>
        <tr r="C101" s="5"/>
      </tp>
      <tp>
        <v>0</v>
        <stp/>
        <stp>136</stp>
        <stp>MSFT</stp>
        <stp>INDUSTRYYIELD1YEARAGO</stp>
        <stp>0</stp>
        <stp>0</stp>
        <stp>0</stp>
        <stp>0</stp>
        <stp>0</stp>
        <tr r="D19" s="6"/>
      </tp>
      <tp>
        <v>47.5</v>
        <stp/>
        <stp>136</stp>
        <stp>BOOM</stp>
        <stp>INDUSTRYEPSDILGROWTH12M</stp>
        <stp>0</stp>
        <stp>0</stp>
        <stp>0</stp>
        <stp>0</stp>
        <stp>0</stp>
        <tr r="G27" s="3"/>
      </tp>
      <tp>
        <v>40926</v>
        <stp/>
        <stp>136</stp>
        <stp>MSFT</stp>
        <stp>GROSSOPERATINGINCOME12M</stp>
        <stp>0</stp>
        <stp>0</stp>
        <stp>0</stp>
        <stp>0</stp>
        <stp>0</stp>
        <tr r="L17" s="1"/>
      </tp>
      <tp>
        <v>43658</v>
        <stp/>
        <stp>136</stp>
        <stp>AAPL</stp>
        <stp>LASTPRICEDATE</stp>
        <stp>0</stp>
        <stp>0</stp>
        <stp>0</stp>
        <stp>0</stp>
        <stp>0</stp>
        <tr r="C21" s="5"/>
      </tp>
      <tp>
        <v>14.237</v>
        <stp/>
        <stp>136</stp>
        <stp>BOOM</stp>
        <stp>FLOAT</stp>
        <stp>1</stp>
        <stp>0</stp>
        <stp>0</stp>
        <stp>0</stp>
        <stp>0</stp>
        <tr r="C85" s="12"/>
      </tp>
      <tp>
        <v>39.299999999999997</v>
        <stp/>
        <stp>136</stp>
        <stp>MSFT</stp>
        <stp>PRICEPERFCFPS1YEARAGO</stp>
        <stp>0</stp>
        <stp>0</stp>
        <stp>0</stp>
        <stp>0</stp>
        <stp>0</stp>
        <tr r="D10" s="6"/>
      </tp>
      <tp>
        <v>27.2</v>
        <stp/>
        <stp>136</stp>
        <stp>MSFT</stp>
        <stp>PEFORWARDEPSY1</stp>
        <stp>0</stp>
        <stp>0</stp>
        <stp>0</stp>
        <stp>0</stp>
        <stp>0</stp>
        <tr r="P6" s="6"/>
      </tp>
      <tp>
        <v>672</v>
        <stp/>
        <stp>136</stp>
        <stp>MSFT</stp>
        <stp>INTERESTEXPENSENONOPQ_X</stp>
        <stp>4</stp>
        <stp>0</stp>
        <stp>0</stp>
        <stp>0</stp>
        <stp>0</stp>
        <tr r="F19" s="1"/>
      </tp>
      <tp>
        <v>691</v>
        <stp/>
        <stp>136</stp>
        <stp>MSFT</stp>
        <stp>INTERESTEXPENSENONOPQ_X</stp>
        <stp>5</stp>
        <stp>0</stp>
        <stp>0</stp>
        <stp>0</stp>
        <stp>0</stp>
        <tr r="G19" s="1"/>
      </tp>
      <tp>
        <v>698</v>
        <stp/>
        <stp>136</stp>
        <stp>MSFT</stp>
        <stp>INTERESTEXPENSENONOPQ_X</stp>
        <stp>6</stp>
        <stp>0</stp>
        <stp>0</stp>
        <stp>0</stp>
        <stp>0</stp>
        <tr r="H19" s="1"/>
      </tp>
      <tp>
        <v>672</v>
        <stp/>
        <stp>136</stp>
        <stp>MSFT</stp>
        <stp>INTERESTEXPENSENONOPQ_X</stp>
        <stp>7</stp>
        <stp>0</stp>
        <stp>0</stp>
        <stp>0</stp>
        <stp>0</stp>
        <tr r="I19" s="1"/>
      </tp>
      <tp>
        <v>671</v>
        <stp/>
        <stp>136</stp>
        <stp>MSFT</stp>
        <stp>INTERESTEXPENSENONOPQ_X</stp>
        <stp>1</stp>
        <stp>0</stp>
        <stp>0</stp>
        <stp>0</stp>
        <stp>0</stp>
        <tr r="C19" s="1"/>
      </tp>
      <tp>
        <v>672</v>
        <stp/>
        <stp>136</stp>
        <stp>MSFT</stp>
        <stp>INTERESTEXPENSENONOPQ_X</stp>
        <stp>2</stp>
        <stp>0</stp>
        <stp>0</stp>
        <stp>0</stp>
        <stp>0</stp>
        <tr r="D19" s="1"/>
      </tp>
      <tp>
        <v>674</v>
        <stp/>
        <stp>136</stp>
        <stp>MSFT</stp>
        <stp>INTERESTEXPENSENONOPQ_X</stp>
        <stp>3</stp>
        <stp>0</stp>
        <stp>0</stp>
        <stp>0</stp>
        <stp>0</stp>
        <tr r="E19" s="1"/>
      </tp>
      <tp>
        <v>1310</v>
        <stp/>
        <stp>136</stp>
        <stp>MSFT</stp>
        <stp>INTERESTEXPENSENONOPQ_X</stp>
        <stp>8</stp>
        <stp>0</stp>
        <stp>0</stp>
        <stp>0</stp>
        <stp>0</stp>
        <tr r="J19" s="1"/>
      </tp>
      <tp>
        <v>25.49</v>
        <stp/>
        <stp>136</stp>
        <stp>MSFT</stp>
        <stp>PRICEHIGHM_X</stp>
        <stp>120</stp>
        <stp>0</stp>
        <stp>0</stp>
        <stp>0</stp>
        <stp>0</stp>
        <tr r="D135" s="4"/>
      </tp>
      <tp>
        <v>2.4</v>
        <stp/>
        <stp>136</stp>
        <stp>BEAT</stp>
        <stp>INTERESTEXPENSENONOPQ_X</stp>
        <stp>2</stp>
        <stp>0</stp>
        <stp>0</stp>
        <stp>0</stp>
        <stp>0</stp>
        <tr r="G16" s="13"/>
      </tp>
      <tp>
        <v>2.4</v>
        <stp/>
        <stp>136</stp>
        <stp>BEAT</stp>
        <stp>INTERESTEXPENSENONOPQ_X</stp>
        <stp>3</stp>
        <stp>0</stp>
        <stp>0</stp>
        <stp>0</stp>
        <stp>0</stp>
        <tr r="H16" s="13"/>
      </tp>
      <tp>
        <v>2.5</v>
        <stp/>
        <stp>136</stp>
        <stp>BEAT</stp>
        <stp>INTERESTEXPENSENONOPQ_X</stp>
        <stp>1</stp>
        <stp>0</stp>
        <stp>0</stp>
        <stp>0</stp>
        <stp>0</stp>
        <tr r="F16" s="13"/>
      </tp>
      <tp>
        <v>2.7</v>
        <stp/>
        <stp>136</stp>
        <stp>BEAT</stp>
        <stp>INTERESTEXPENSENONOPQ_X</stp>
        <stp>4</stp>
        <stp>0</stp>
        <stp>0</stp>
        <stp>0</stp>
        <stp>0</stp>
        <tr r="I16" s="13"/>
      </tp>
      <tp>
        <v>26.38</v>
        <stp/>
        <stp>136</stp>
        <stp>MSFT</stp>
        <stp>PRICEHIGHM_X</stp>
        <stp>108</stp>
        <stp>0</stp>
        <stp>0</stp>
        <stp>0</stp>
        <stp>0</stp>
        <tr r="D123" s="4"/>
      </tp>
      <tp>
        <v>26.41</v>
        <stp/>
        <stp>136</stp>
        <stp>MSFT</stp>
        <stp>PRICEHIGHM_X</stp>
        <stp>109</stp>
        <stp>0</stp>
        <stp>0</stp>
        <stp>0</stp>
        <stp>0</stp>
        <tr r="D124" s="4"/>
      </tp>
      <tp>
        <v>27.2</v>
        <stp/>
        <stp>136</stp>
        <stp>MSFT</stp>
        <stp>PRICEHIGHM_X</stp>
        <stp>106</stp>
        <stp>0</stp>
        <stp>0</stp>
        <stp>0</stp>
        <stp>0</stp>
        <tr r="D121" s="4"/>
      </tp>
      <tp>
        <v>25.53</v>
        <stp/>
        <stp>136</stp>
        <stp>MSFT</stp>
        <stp>PRICEHIGHM_X</stp>
        <stp>107</stp>
        <stp>0</stp>
        <stp>0</stp>
        <stp>0</stp>
        <stp>0</stp>
        <tr r="D122" s="4"/>
      </tp>
      <tp>
        <v>28.4</v>
        <stp/>
        <stp>136</stp>
        <stp>MSFT</stp>
        <stp>PRICEHIGHM_X</stp>
        <stp>104</stp>
        <stp>0</stp>
        <stp>0</stp>
        <stp>0</stp>
        <stp>0</stp>
        <tr r="D119" s="4"/>
      </tp>
      <tp>
        <v>27.49</v>
        <stp/>
        <stp>136</stp>
        <stp>MSFT</stp>
        <stp>PRICEHIGHM_X</stp>
        <stp>105</stp>
        <stp>0</stp>
        <stp>0</stp>
        <stp>0</stp>
        <stp>0</stp>
        <tr r="D120" s="4"/>
      </tp>
      <tp>
        <v>28.34</v>
        <stp/>
        <stp>136</stp>
        <stp>MSFT</stp>
        <stp>PRICEHIGHM_X</stp>
        <stp>102</stp>
        <stp>0</stp>
        <stp>0</stp>
        <stp>0</stp>
        <stp>0</stp>
        <tr r="D117" s="4"/>
      </tp>
      <tp>
        <v>29.46</v>
        <stp/>
        <stp>136</stp>
        <stp>MSFT</stp>
        <stp>PRICEHIGHM_X</stp>
        <stp>103</stp>
        <stp>0</stp>
        <stp>0</stp>
        <stp>0</stp>
        <stp>0</stp>
        <tr r="D118" s="4"/>
      </tp>
      <tp>
        <v>26.87</v>
        <stp/>
        <stp>136</stp>
        <stp>MSFT</stp>
        <stp>PRICEHIGHM_X</stp>
        <stp>100</stp>
        <stp>0</stp>
        <stp>0</stp>
        <stp>0</stp>
        <stp>0</stp>
        <tr r="D115" s="4"/>
      </tp>
      <tp>
        <v>26.78</v>
        <stp/>
        <stp>136</stp>
        <stp>MSFT</stp>
        <stp>PRICEHIGHM_X</stp>
        <stp>101</stp>
        <stp>0</stp>
        <stp>0</stp>
        <stp>0</stp>
        <stp>0</stp>
        <tr r="D116" s="4"/>
      </tp>
      <tp>
        <v>0</v>
        <stp/>
        <stp>136</stp>
        <stp>BOOM</stp>
        <stp>SHORTTERMINVESTMENTSQ_X</stp>
        <stp>8</stp>
        <stp>0</stp>
        <stp>0</stp>
        <stp>0</stp>
        <stp>0</stp>
        <tr r="J56" s="12"/>
        <tr r="J56" s="11"/>
      </tp>
      <tp>
        <v>0</v>
        <stp/>
        <stp>136</stp>
        <stp>BOOM</stp>
        <stp>SHORTTERMINVESTMENTSQ_X</stp>
        <stp>5</stp>
        <stp>0</stp>
        <stp>0</stp>
        <stp>0</stp>
        <stp>0</stp>
        <tr r="G56" s="11"/>
        <tr r="G56" s="12"/>
      </tp>
      <tp>
        <v>0</v>
        <stp/>
        <stp>136</stp>
        <stp>BOOM</stp>
        <stp>SHORTTERMINVESTMENTSQ_X</stp>
        <stp>4</stp>
        <stp>0</stp>
        <stp>0</stp>
        <stp>0</stp>
        <stp>0</stp>
        <tr r="F56" s="11"/>
        <tr r="F56" s="12"/>
      </tp>
      <tp>
        <v>0</v>
        <stp/>
        <stp>136</stp>
        <stp>BOOM</stp>
        <stp>SHORTTERMINVESTMENTSQ_X</stp>
        <stp>7</stp>
        <stp>0</stp>
        <stp>0</stp>
        <stp>0</stp>
        <stp>0</stp>
        <tr r="I56" s="12"/>
        <tr r="I56" s="11"/>
      </tp>
      <tp>
        <v>0</v>
        <stp/>
        <stp>136</stp>
        <stp>BOOM</stp>
        <stp>SHORTTERMINVESTMENTSQ_X</stp>
        <stp>6</stp>
        <stp>0</stp>
        <stp>0</stp>
        <stp>0</stp>
        <stp>0</stp>
        <tr r="H56" s="11"/>
        <tr r="H56" s="12"/>
      </tp>
      <tp>
        <v>0</v>
        <stp/>
        <stp>136</stp>
        <stp>BOOM</stp>
        <stp>SHORTTERMINVESTMENTSQ_X</stp>
        <stp>1</stp>
        <stp>0</stp>
        <stp>0</stp>
        <stp>0</stp>
        <stp>0</stp>
        <tr r="C56" s="12"/>
        <tr r="C56" s="11"/>
      </tp>
      <tp>
        <v>0</v>
        <stp/>
        <stp>136</stp>
        <stp>BOOM</stp>
        <stp>SHORTTERMINVESTMENTSQ_X</stp>
        <stp>3</stp>
        <stp>0</stp>
        <stp>0</stp>
        <stp>0</stp>
        <stp>0</stp>
        <tr r="E56" s="11"/>
        <tr r="E56" s="12"/>
      </tp>
      <tp>
        <v>0</v>
        <stp/>
        <stp>136</stp>
        <stp>BOOM</stp>
        <stp>SHORTTERMINVESTMENTSQ_X</stp>
        <stp>2</stp>
        <stp>0</stp>
        <stp>0</stp>
        <stp>0</stp>
        <stp>0</stp>
        <tr r="D56" s="12"/>
        <tr r="D56" s="11"/>
      </tp>
      <tp>
        <v>29.35</v>
        <stp/>
        <stp>136</stp>
        <stp>MSFT</stp>
        <stp>PRICEHIGHM_X</stp>
        <stp>118</stp>
        <stp>0</stp>
        <stp>0</stp>
        <stp>0</stp>
        <stp>0</stp>
        <tr r="D133" s="4"/>
      </tp>
      <tp>
        <v>26.25</v>
        <stp/>
        <stp>136</stp>
        <stp>MSFT</stp>
        <stp>PRICEHIGHM_X</stp>
        <stp>119</stp>
        <stp>0</stp>
        <stp>0</stp>
        <stp>0</stp>
        <stp>0</stp>
        <tr r="D134" s="4"/>
      </tp>
      <tp>
        <v>31.5</v>
        <stp/>
        <stp>136</stp>
        <stp>MSFT</stp>
        <stp>PRICEHIGHM_X</stp>
        <stp>116</stp>
        <stp>0</stp>
        <stp>0</stp>
        <stp>0</stp>
        <stp>0</stp>
        <tr r="D131" s="4"/>
      </tp>
      <tp>
        <v>30.14</v>
        <stp/>
        <stp>136</stp>
        <stp>MSFT</stp>
        <stp>PRICEHIGHM_X</stp>
        <stp>117</stp>
        <stp>0</stp>
        <stp>0</stp>
        <stp>0</stp>
        <stp>0</stp>
        <tr r="D132" s="4"/>
      </tp>
      <tp>
        <v>29.03</v>
        <stp/>
        <stp>136</stp>
        <stp>MSFT</stp>
        <stp>PRICEHIGHM_X</stp>
        <stp>114</stp>
        <stp>0</stp>
        <stp>0</stp>
        <stp>0</stp>
        <stp>0</stp>
        <tr r="D129" s="4"/>
      </tp>
      <tp>
        <v>31.24</v>
        <stp/>
        <stp>136</stp>
        <stp>MSFT</stp>
        <stp>PRICEHIGHM_X</stp>
        <stp>115</stp>
        <stp>0</stp>
        <stp>0</stp>
        <stp>0</stp>
        <stp>0</stp>
        <tr r="D130" s="4"/>
      </tp>
      <tp>
        <v>31.58</v>
        <stp/>
        <stp>136</stp>
        <stp>MSFT</stp>
        <stp>PRICEHIGHM_X</stp>
        <stp>112</stp>
        <stp>0</stp>
        <stp>0</stp>
        <stp>0</stp>
        <stp>0</stp>
        <tr r="D127" s="4"/>
      </tp>
      <tp>
        <v>30.57</v>
        <stp/>
        <stp>136</stp>
        <stp>MSFT</stp>
        <stp>PRICEHIGHM_X</stp>
        <stp>113</stp>
        <stp>0</stp>
        <stp>0</stp>
        <stp>0</stp>
        <stp>0</stp>
        <tr r="D128" s="4"/>
      </tp>
      <tp>
        <v>26.93</v>
        <stp/>
        <stp>136</stp>
        <stp>MSFT</stp>
        <stp>PRICEHIGHM_X</stp>
        <stp>110</stp>
        <stp>0</stp>
        <stp>0</stp>
        <stp>0</stp>
        <stp>0</stp>
        <tr r="D125" s="4"/>
      </tp>
      <tp>
        <v>31.061</v>
        <stp/>
        <stp>136</stp>
        <stp>MSFT</stp>
        <stp>PRICEHIGHM_X</stp>
        <stp>111</stp>
        <stp>0</stp>
        <stp>0</stp>
        <stp>0</stp>
        <stp>0</stp>
        <tr r="D126" s="4"/>
      </tp>
      <tp t="s">
        <v>Return on Equity 12 Month</v>
        <stp/>
        <stp>137</stp>
        <stp/>
        <stp>RETURNONEQUITY12M</stp>
        <stp>0</stp>
        <stp>0</stp>
        <stp>0</stp>
        <stp>0</stp>
        <stp>0</stp>
        <tr r="D59" s="13"/>
      </tp>
      <tp>
        <v>80</v>
        <stp/>
        <stp>136</stp>
        <stp>MSFT</stp>
        <stp>PCNTRANKPETODIVADJEPSGROWTH5Y</stp>
        <stp>0</stp>
        <stp>0</stp>
        <stp>0</stp>
        <stp>0</stp>
        <stp>0</stp>
        <tr r="F41" s="6"/>
      </tp>
      <tp>
        <v>4.63</v>
        <stp/>
        <stp>136</stp>
        <stp>MSFT</stp>
        <stp>INDUSTRYPRICEPERSALES</stp>
        <stp>0</stp>
        <stp>0</stp>
        <stp>0</stp>
        <stp>0</stp>
        <stp>0</stp>
        <tr r="C16" s="6"/>
      </tp>
      <tp t="s">
        <v>F Score Y1</v>
        <stp/>
        <stp>137</stp>
        <stp/>
        <stp>FSCOREY1</stp>
        <stp>0</stp>
        <stp>0</stp>
        <stp>0</stp>
        <stp>0</stp>
        <stp>0</stp>
        <tr r="B106" s="5"/>
      </tp>
      <tp>
        <v>78</v>
        <stp/>
        <stp>136</stp>
        <stp>MSFT</stp>
        <stp>PCNTRANKPEFORWARDEPSY2</stp>
        <stp>0</stp>
        <stp>0</stp>
        <stp>0</stp>
        <stp>0</stp>
        <stp>0</stp>
        <tr r="Q30" s="6"/>
      </tp>
      <tp>
        <v>30.3</v>
        <stp/>
        <stp>136</stp>
        <stp>MSFT</stp>
        <stp>PEFORWARDEPSY0</stp>
        <stp>0</stp>
        <stp>0</stp>
        <stp>0</stp>
        <stp>0</stp>
        <stp>0</stp>
        <tr r="O6" s="6"/>
      </tp>
      <tp>
        <v>3.9</v>
        <stp/>
        <stp>136</stp>
        <stp>BOOM</stp>
        <stp>SECTORDIVIDENDGROWTH12M</stp>
        <stp>0</stp>
        <stp>0</stp>
        <stp>0</stp>
        <stp>0</stp>
        <stp>0</stp>
        <tr r="G45" s="3"/>
      </tp>
      <tp t="s">
        <v>DCF: OCF</v>
        <stp/>
        <stp>137</stp>
        <stp/>
        <stp>DCFOCFQ_X</stp>
        <stp>0</stp>
        <stp>0</stp>
        <stp>0</stp>
        <stp>0</stp>
        <stp>0</stp>
        <tr r="B49" s="11"/>
        <tr r="B49" s="12"/>
        <tr r="B51" s="1"/>
      </tp>
      <tp>
        <v>15.1</v>
        <stp/>
        <stp>136</stp>
        <stp>MSFT</stp>
        <stp>INDUSTRYEPSGROWTHESTLASTMONTH</stp>
        <stp>0</stp>
        <stp>0</stp>
        <stp>0</stp>
        <stp>0</stp>
        <stp>0</stp>
        <tr r="I15" s="8"/>
      </tp>
      <tp>
        <v>8.1</v>
        <stp/>
        <stp>136</stp>
        <stp>MSFT</stp>
        <stp>SECTORLTDEBTEQUITYQ1</stp>
        <stp>0</stp>
        <stp>0</stp>
        <stp>0</stp>
        <stp>0</stp>
        <stp>0</stp>
        <tr r="C76" s="7"/>
      </tp>
      <tp>
        <v>71</v>
        <stp/>
        <stp>136</stp>
        <stp>MSFT</stp>
        <stp>PCNTRANKPRICEPERFCFPS1YEARAGO</stp>
        <stp>0</stp>
        <stp>0</stp>
        <stp>0</stp>
        <stp>0</stp>
        <stp>0</stp>
        <tr r="D34" s="6"/>
      </tp>
      <tp>
        <v>43.2</v>
        <stp/>
        <stp>136</stp>
        <stp>MSFT</stp>
        <stp>LTDEBTTOTALCAPITALQ1</stp>
        <stp>0</stp>
        <stp>0</stp>
        <stp>0</stp>
        <stp>0</stp>
        <stp>0</stp>
        <tr r="C21" s="7"/>
      </tp>
      <tp>
        <v>81</v>
        <stp/>
        <stp>136</stp>
        <stp>MSFT</stp>
        <stp>PCNTRANKPEFORWARDEPSY1</stp>
        <stp>0</stp>
        <stp>0</stp>
        <stp>0</stp>
        <stp>0</stp>
        <stp>0</stp>
        <tr r="P30" s="6"/>
      </tp>
      <tp>
        <v>1.3</v>
        <stp/>
        <stp>136</stp>
        <stp>MSFT</stp>
        <stp>INDUSTRYCURRENTRATIOQ1</stp>
        <stp>0</stp>
        <stp>0</stp>
        <stp>0</stp>
        <stp>0</stp>
        <stp>0</stp>
        <tr r="C42" s="7"/>
      </tp>
      <tp>
        <v>1.59</v>
        <stp/>
        <stp>136</stp>
        <stp>AAPL</stp>
        <stp>PFCFTOFCFGROWTH</stp>
        <stp>0</stp>
        <stp>0</stp>
        <stp>0</stp>
        <stp>0</stp>
        <stp>0</stp>
        <tr r="C99" s="5"/>
      </tp>
      <tp>
        <v>8.1</v>
        <stp/>
        <stp>136</stp>
        <stp>BOOM</stp>
        <stp>SECTOREPSDILGROWTH12M</stp>
        <stp>0</stp>
        <stp>0</stp>
        <stp>0</stp>
        <stp>0</stp>
        <stp>0</stp>
        <tr r="G41" s="3"/>
      </tp>
      <tp>
        <v>-0.19700000000000001</v>
        <stp/>
        <stp>136</stp>
        <stp>BOOM</stp>
        <stp>EPSDILUTEDQ_X</stp>
        <stp>8</stp>
        <stp>0</stp>
        <stp>0</stp>
        <stp>0</stp>
        <stp>0</stp>
        <tr r="J31" s="11"/>
        <tr r="J31" s="12"/>
      </tp>
      <tp>
        <v>-0.97899999999999998</v>
        <stp/>
        <stp>136</stp>
        <stp>BOOM</stp>
        <stp>EPSDILUTEDQ_X</stp>
        <stp>7</stp>
        <stp>0</stp>
        <stp>0</stp>
        <stp>0</stp>
        <stp>0</stp>
        <tr r="I31" s="12"/>
        <tr r="I31" s="11"/>
      </tp>
      <tp>
        <v>-0.13600000000000001</v>
        <stp/>
        <stp>136</stp>
        <stp>BOOM</stp>
        <stp>EPSDILUTEDQ_X</stp>
        <stp>6</stp>
        <stp>0</stp>
        <stp>0</stp>
        <stp>0</stp>
        <stp>0</stp>
        <tr r="H31" s="11"/>
        <tr r="H31" s="12"/>
      </tp>
      <tp>
        <v>0.26400000000000001</v>
        <stp/>
        <stp>136</stp>
        <stp>BOOM</stp>
        <stp>EPSDILUTEDQ_X</stp>
        <stp>5</stp>
        <stp>0</stp>
        <stp>0</stp>
        <stp>0</stp>
        <stp>0</stp>
        <tr r="G31" s="12"/>
        <tr r="G31" s="11"/>
      </tp>
      <tp>
        <v>0.69199999999999995</v>
        <stp/>
        <stp>136</stp>
        <stp>BOOM</stp>
        <stp>EPSDILUTEDQ_X</stp>
        <stp>4</stp>
        <stp>0</stp>
        <stp>0</stp>
        <stp>0</stp>
        <stp>0</stp>
        <tr r="F31" s="12"/>
        <tr r="F31" s="11"/>
      </tp>
      <tp>
        <v>0.32900000000000001</v>
        <stp/>
        <stp>136</stp>
        <stp>BOOM</stp>
        <stp>EPSDILUTEDQ_X</stp>
        <stp>3</stp>
        <stp>0</stp>
        <stp>0</stp>
        <stp>0</stp>
        <stp>0</stp>
        <tr r="E31" s="11"/>
        <tr r="E31" s="12"/>
      </tp>
      <tp>
        <v>1</v>
        <stp/>
        <stp>136</stp>
        <stp>BOOM</stp>
        <stp>EPSDILUTEDQ_X</stp>
        <stp>2</stp>
        <stp>0</stp>
        <stp>0</stp>
        <stp>0</stp>
        <stp>0</stp>
        <tr r="D31" s="12"/>
        <tr r="D31" s="11"/>
      </tp>
      <tp>
        <v>1.012</v>
        <stp/>
        <stp>136</stp>
        <stp>BOOM</stp>
        <stp>EPSDILUTEDQ_X</stp>
        <stp>1</stp>
        <stp>0</stp>
        <stp>0</stp>
        <stp>0</stp>
        <stp>0</stp>
        <tr r="C31" s="11"/>
        <tr r="C31" s="12"/>
      </tp>
      <tp>
        <v>3.2</v>
        <stp/>
        <stp>136</stp>
        <stp>MSFT</stp>
        <stp>PETODIVADJEPSGROWTH5Y</stp>
        <stp>0</stp>
        <stp>0</stp>
        <stp>0</stp>
        <stp>0</stp>
        <stp>0</stp>
        <tr r="C41" s="6"/>
      </tp>
      <tp>
        <v>49.9</v>
        <stp/>
        <stp>136</stp>
        <stp>BEAT</stp>
        <stp>ACCOUNTSRECEIVABLEQ_X</stp>
        <stp>4</stp>
        <stp>0</stp>
        <stp>0</stp>
        <stp>0</stp>
        <stp>0</stp>
        <tr r="I29" s="13"/>
      </tp>
      <tp>
        <v>60.5</v>
        <stp/>
        <stp>136</stp>
        <stp>BEAT</stp>
        <stp>ACCOUNTSRECEIVABLEQ_X</stp>
        <stp>1</stp>
        <stp>0</stp>
        <stp>0</stp>
        <stp>0</stp>
        <stp>0</stp>
        <tr r="F29" s="13"/>
      </tp>
      <tp>
        <v>51</v>
        <stp/>
        <stp>136</stp>
        <stp>BEAT</stp>
        <stp>ACCOUNTSRECEIVABLEQ_X</stp>
        <stp>3</stp>
        <stp>0</stp>
        <stp>0</stp>
        <stp>0</stp>
        <stp>0</stp>
        <tr r="H29" s="13"/>
      </tp>
      <tp>
        <v>52.6</v>
        <stp/>
        <stp>136</stp>
        <stp>BEAT</stp>
        <stp>ACCOUNTSRECEIVABLEQ_X</stp>
        <stp>2</stp>
        <stp>0</stp>
        <stp>0</stp>
        <stp>0</stp>
        <stp>0</stp>
        <tr r="G29" s="13"/>
      </tp>
      <tp>
        <v>80</v>
        <stp/>
        <stp>136</stp>
        <stp>MSFT</stp>
        <stp>PCNTRANKPEFORWARDEPSY0</stp>
        <stp>0</stp>
        <stp>0</stp>
        <stp>0</stp>
        <stp>0</stp>
        <stp>0</stp>
        <tr r="O30" s="6"/>
      </tp>
      <tp>
        <v>23.6</v>
        <stp/>
        <stp>136</stp>
        <stp>MSFT</stp>
        <stp>PEFORWARDEPSY2</stp>
        <stp>0</stp>
        <stp>0</stp>
        <stp>0</stp>
        <stp>0</stp>
        <stp>0</stp>
        <tr r="Q6" s="6"/>
      </tp>
      <tp t="s">
        <v>Return on Equity - 7 Year Avg.</v>
        <stp/>
        <stp>137</stp>
        <stp/>
        <stp>RETURNONEQUITYAVE7Y</stp>
        <stp>0</stp>
        <stp>0</stp>
        <stp>0</stp>
        <stp>0</stp>
        <stp>0</stp>
        <tr r="B102" s="5"/>
      </tp>
      <tp>
        <v>0.73</v>
        <stp/>
        <stp>136</stp>
        <stp>AAPL</stp>
        <stp>PERELATIVEAVE5Y</stp>
        <stp>0</stp>
        <stp>0</stp>
        <stp>0</stp>
        <stp>0</stp>
        <stp>0</stp>
        <tr r="C94" s="5"/>
      </tp>
      <tp t="s">
        <v>Sustainable-Growth 7 Year</v>
        <stp/>
        <stp>137</stp>
        <stp/>
        <stp>SUSTAINABLEGROWTH7Y</stp>
        <stp>0</stp>
        <stp>0</stp>
        <stp>0</stp>
        <stp>0</stp>
        <stp>0</stp>
        <tr r="B108" s="5"/>
      </tp>
      <tp>
        <v>102.6</v>
        <stp/>
        <stp>136</stp>
        <stp>BOOM</stp>
        <stp>GROSSINCOMEGROWTHQ8TOQ4</stp>
        <stp>0</stp>
        <stp>0</stp>
        <stp>0</stp>
        <stp>0</stp>
        <stp>0</stp>
        <tr r="K7" s="3"/>
      </tp>
      <tp t="s">
        <v>PE Relative High-Avg 5 Year</v>
        <stp/>
        <stp>137</stp>
        <stp/>
        <stp>PERELATIVEHIGHAVE5Y</stp>
        <stp>0</stp>
        <stp>0</stp>
        <stp>0</stp>
        <stp>0</stp>
        <stp>0</stp>
        <tr r="B92" s="5"/>
      </tp>
      <tp t="s">
        <v>Sector Price/Sales</v>
        <stp/>
        <stp>137</stp>
        <stp/>
        <stp>SECTORPRICEPERSALES</stp>
        <stp>0</stp>
        <stp>0</stp>
        <stp>0</stp>
        <stp>0</stp>
        <stp>0</stp>
        <tr r="B24" s="6"/>
      </tp>
      <tp>
        <v>63</v>
        <stp/>
        <stp>136</stp>
        <stp>BOOM</stp>
        <stp>INDUSTRYEPSCONTGROWTH1Y</stp>
        <stp>0</stp>
        <stp>0</stp>
        <stp>0</stp>
        <stp>0</stp>
        <stp>0</stp>
        <tr r="C26" s="3"/>
      </tp>
      <tp>
        <v>36.299999999999997</v>
        <stp/>
        <stp>136</stp>
        <stp>BOOM</stp>
        <stp>INDUSTRYEPSCONTGROWTH3Y</stp>
        <stp>0</stp>
        <stp>0</stp>
        <stp>0</stp>
        <stp>0</stp>
        <stp>0</stp>
        <tr r="D26" s="3"/>
      </tp>
      <tp>
        <v>11.5</v>
        <stp/>
        <stp>136</stp>
        <stp>BOOM</stp>
        <stp>INDUSTRYEPSCONTGROWTH5Y</stp>
        <stp>0</stp>
        <stp>0</stp>
        <stp>0</stp>
        <stp>0</stp>
        <stp>0</stp>
        <tr r="E26" s="3"/>
      </tp>
      <tp>
        <v>5</v>
        <stp/>
        <stp>136</stp>
        <stp>BOOM</stp>
        <stp>INDUSTRYEPSCONTGROWTH7Y</stp>
        <stp>0</stp>
        <stp>0</stp>
        <stp>0</stp>
        <stp>0</stp>
        <stp>0</stp>
        <tr r="F26" s="3"/>
      </tp>
      <tp>
        <v>82</v>
        <stp/>
        <stp>136</stp>
        <stp>MSFT</stp>
        <stp>PCNTRANKPRICEPERFCFPS</stp>
        <stp>0</stp>
        <stp>0</stp>
        <stp>0</stp>
        <stp>0</stp>
        <stp>0</stp>
        <tr r="C34" s="6"/>
      </tp>
      <tp>
        <v>29</v>
        <stp/>
        <stp>136</stp>
        <stp>BOOM</stp>
        <stp>CURRENTLIABILITIESQ_X</stp>
        <stp>8</stp>
        <stp>0</stp>
        <stp>0</stp>
        <stp>0</stp>
        <stp>0</stp>
        <tr r="J72" s="11"/>
        <tr r="J72" s="12"/>
      </tp>
      <tp>
        <v>66.900000000000006</v>
        <stp/>
        <stp>136</stp>
        <stp>BOOM</stp>
        <stp>CURRENTLIABILITIESQ_X</stp>
        <stp>1</stp>
        <stp>0</stp>
        <stp>0</stp>
        <stp>0</stp>
        <stp>0</stp>
        <tr r="C72" s="12"/>
        <tr r="C72" s="11"/>
      </tp>
      <tp>
        <v>65.099999999999994</v>
        <stp/>
        <stp>136</stp>
        <stp>BOOM</stp>
        <stp>CURRENTLIABILITIESQ_X</stp>
        <stp>3</stp>
        <stp>0</stp>
        <stp>0</stp>
        <stp>0</stp>
        <stp>0</stp>
        <tr r="E72" s="11"/>
        <tr r="E72" s="12"/>
      </tp>
      <tp>
        <v>64.599999999999994</v>
        <stp/>
        <stp>136</stp>
        <stp>BOOM</stp>
        <stp>CURRENTLIABILITIESQ_X</stp>
        <stp>2</stp>
        <stp>0</stp>
        <stp>0</stp>
        <stp>0</stp>
        <stp>0</stp>
        <tr r="D72" s="11"/>
        <tr r="D72" s="12"/>
      </tp>
      <tp>
        <v>54.4</v>
        <stp/>
        <stp>136</stp>
        <stp>BOOM</stp>
        <stp>CURRENTLIABILITIESQ_X</stp>
        <stp>5</stp>
        <stp>0</stp>
        <stp>0</stp>
        <stp>0</stp>
        <stp>0</stp>
        <tr r="G72" s="12"/>
        <tr r="G72" s="11"/>
      </tp>
      <tp>
        <v>58.4</v>
        <stp/>
        <stp>136</stp>
        <stp>BOOM</stp>
        <stp>CURRENTLIABILITIESQ_X</stp>
        <stp>4</stp>
        <stp>0</stp>
        <stp>0</stp>
        <stp>0</stp>
        <stp>0</stp>
        <tr r="F72" s="11"/>
        <tr r="F72" s="12"/>
      </tp>
      <tp>
        <v>33</v>
        <stp/>
        <stp>136</stp>
        <stp>BOOM</stp>
        <stp>CURRENTLIABILITIESQ_X</stp>
        <stp>7</stp>
        <stp>0</stp>
        <stp>0</stp>
        <stp>0</stp>
        <stp>0</stp>
        <tr r="I72" s="12"/>
        <tr r="I72" s="11"/>
      </tp>
      <tp>
        <v>45.6</v>
        <stp/>
        <stp>136</stp>
        <stp>BOOM</stp>
        <stp>CURRENTLIABILITIESQ_X</stp>
        <stp>6</stp>
        <stp>0</stp>
        <stp>0</stp>
        <stp>0</stp>
        <stp>0</stp>
        <tr r="H72" s="12"/>
        <tr r="H72" s="11"/>
      </tp>
      <tp>
        <v>455.7</v>
        <stp/>
        <stp>136</stp>
        <stp>BOOM</stp>
        <stp>NETINCOMEGROWTHQ8TOQ4</stp>
        <stp>0</stp>
        <stp>0</stp>
        <stp>0</stp>
        <stp>0</stp>
        <stp>0</stp>
        <tr r="K10" s="3"/>
      </tp>
      <tp t="s">
        <v>Industry Net Income-Growth</v>
        <stp/>
        <stp>137</stp>
        <stp/>
        <stp>INDUSTRYNETINCOMEGROWTH1Y</stp>
        <stp>1</stp>
        <stp>0</stp>
        <stp>0</stp>
        <stp>0</stp>
        <stp>0</stp>
        <tr r="B24" s="3"/>
      </tp>
      <tp>
        <v>7131</v>
        <stp/>
        <stp>136</stp>
        <stp>MSFT</stp>
        <stp>OTHERCURRENTASSETSQ_X</stp>
        <stp>1</stp>
        <stp>0</stp>
        <stp>0</stp>
        <stp>0</stp>
        <stp>0</stp>
        <tr r="C61" s="1"/>
      </tp>
      <tp>
        <v>7582</v>
        <stp/>
        <stp>136</stp>
        <stp>MSFT</stp>
        <stp>OTHERCURRENTASSETSQ_X</stp>
        <stp>2</stp>
        <stp>0</stp>
        <stp>0</stp>
        <stp>0</stp>
        <stp>0</stp>
        <tr r="D61" s="1"/>
      </tp>
      <tp>
        <v>7420</v>
        <stp/>
        <stp>136</stp>
        <stp>MSFT</stp>
        <stp>OTHERCURRENTASSETSQ_X</stp>
        <stp>3</stp>
        <stp>0</stp>
        <stp>0</stp>
        <stp>0</stp>
        <stp>0</stp>
        <tr r="E61" s="1"/>
      </tp>
      <tp>
        <v>6869</v>
        <stp/>
        <stp>136</stp>
        <stp>MSFT</stp>
        <stp>OTHERCURRENTASSETSQ_X</stp>
        <stp>4</stp>
        <stp>0</stp>
        <stp>0</stp>
        <stp>0</stp>
        <stp>0</stp>
        <tr r="F61" s="1"/>
      </tp>
      <tp>
        <v>5133</v>
        <stp/>
        <stp>136</stp>
        <stp>MSFT</stp>
        <stp>OTHERCURRENTASSETSQ_X</stp>
        <stp>5</stp>
        <stp>0</stp>
        <stp>0</stp>
        <stp>0</stp>
        <stp>0</stp>
        <tr r="G61" s="1"/>
      </tp>
      <tp>
        <v>4451</v>
        <stp/>
        <stp>136</stp>
        <stp>MSFT</stp>
        <stp>OTHERCURRENTASSETSQ_X</stp>
        <stp>6</stp>
        <stp>0</stp>
        <stp>0</stp>
        <stp>0</stp>
        <stp>0</stp>
        <tr r="H61" s="1"/>
      </tp>
      <tp>
        <v>4892</v>
        <stp/>
        <stp>136</stp>
        <stp>MSFT</stp>
        <stp>OTHERCURRENTASSETSQ_X</stp>
        <stp>7</stp>
        <stp>0</stp>
        <stp>0</stp>
        <stp>0</stp>
        <stp>0</stp>
        <tr r="I61" s="1"/>
      </tp>
      <tp>
        <v>5203</v>
        <stp/>
        <stp>136</stp>
        <stp>MSFT</stp>
        <stp>OTHERCURRENTASSETSQ_X</stp>
        <stp>8</stp>
        <stp>0</stp>
        <stp>0</stp>
        <stp>0</stp>
        <stp>0</stp>
        <tr r="J61" s="1"/>
      </tp>
      <tp t="s">
        <v>Flash - Pre-Tax Income</v>
        <stp/>
        <stp>137</stp>
        <stp/>
        <stp>FLASHPRETAXINCOME</stp>
        <stp>0</stp>
        <stp>0</stp>
        <stp>0</stp>
        <stp>0</stp>
        <stp>0</stp>
        <tr r="B82" s="5"/>
      </tp>
      <tp>
        <v>100</v>
        <stp/>
        <stp>136</stp>
        <stp>AAPL</stp>
        <stp>PCNTRANKFLOAT</stp>
        <stp>0</stp>
        <stp>0</stp>
        <stp>0</stp>
        <stp>0</stp>
        <stp>0</stp>
        <tr r="F37" s="5"/>
      </tp>
      <tp>
        <v>18.7</v>
        <stp/>
        <stp>136</stp>
        <stp>MSFT</stp>
        <stp>LTDEBTTOTALCAPITALY_X</stp>
        <stp>5</stp>
        <stp>0</stp>
        <stp>0</stp>
        <stp>0</stp>
        <stp>0</stp>
        <tr r="H21" s="7"/>
      </tp>
      <tp>
        <v>25.8</v>
        <stp/>
        <stp>136</stp>
        <stp>MSFT</stp>
        <stp>LTDEBTTOTALCAPITALY_X</stp>
        <stp>4</stp>
        <stp>0</stp>
        <stp>0</stp>
        <stp>0</stp>
        <stp>0</stp>
        <tr r="G21" s="7"/>
      </tp>
      <tp>
        <v>13.9</v>
        <stp/>
        <stp>136</stp>
        <stp>MSFT</stp>
        <stp>LTDEBTTOTALCAPITALY_X</stp>
        <stp>7</stp>
        <stp>0</stp>
        <stp>0</stp>
        <stp>0</stp>
        <stp>0</stp>
        <tr r="J21" s="7"/>
      </tp>
      <tp>
        <v>13.8</v>
        <stp/>
        <stp>136</stp>
        <stp>MSFT</stp>
        <stp>LTDEBTTOTALCAPITALY_X</stp>
        <stp>6</stp>
        <stp>0</stp>
        <stp>0</stp>
        <stp>0</stp>
        <stp>0</stp>
        <tr r="I21" s="7"/>
      </tp>
      <tp>
        <v>48</v>
        <stp/>
        <stp>136</stp>
        <stp>MSFT</stp>
        <stp>LTDEBTTOTALCAPITALY_X</stp>
        <stp>1</stp>
        <stp>0</stp>
        <stp>0</stp>
        <stp>0</stp>
        <stp>0</stp>
        <tr r="D21" s="7"/>
      </tp>
      <tp>
        <v>36.5</v>
        <stp/>
        <stp>136</stp>
        <stp>MSFT</stp>
        <stp>LTDEBTTOTALCAPITALY_X</stp>
        <stp>3</stp>
        <stp>0</stp>
        <stp>0</stp>
        <stp>0</stp>
        <stp>0</stp>
        <tr r="F21" s="7"/>
      </tp>
      <tp>
        <v>47.2</v>
        <stp/>
        <stp>136</stp>
        <stp>MSFT</stp>
        <stp>LTDEBTTOTALCAPITALY_X</stp>
        <stp>2</stp>
        <stp>0</stp>
        <stp>0</stp>
        <stp>0</stp>
        <stp>0</stp>
        <tr r="E21" s="7"/>
      </tp>
      <tp>
        <v>40056</v>
        <stp/>
        <stp>136</stp>
        <stp>MSFT</stp>
        <stp>PRICEDATEM_X</stp>
        <stp>120</stp>
        <stp>0</stp>
        <stp>0</stp>
        <stp>0</stp>
        <stp>0</stp>
        <tr r="C135" s="4"/>
      </tp>
      <tp>
        <v>40389</v>
        <stp/>
        <stp>136</stp>
        <stp>MSFT</stp>
        <stp>PRICEDATEM_X</stp>
        <stp>109</stp>
        <stp>0</stp>
        <stp>0</stp>
        <stp>0</stp>
        <stp>0</stp>
        <tr r="C124" s="4"/>
      </tp>
      <tp>
        <v>40421</v>
        <stp/>
        <stp>136</stp>
        <stp>MSFT</stp>
        <stp>PRICEDATEM_X</stp>
        <stp>108</stp>
        <stp>0</stp>
        <stp>0</stp>
        <stp>0</stp>
        <stp>0</stp>
        <tr r="C123" s="4"/>
      </tp>
      <tp>
        <v>40512</v>
        <stp/>
        <stp>136</stp>
        <stp>MSFT</stp>
        <stp>PRICEDATEM_X</stp>
        <stp>105</stp>
        <stp>0</stp>
        <stp>0</stp>
        <stp>0</stp>
        <stp>0</stp>
        <tr r="C120" s="4"/>
      </tp>
      <tp>
        <v>40543</v>
        <stp/>
        <stp>136</stp>
        <stp>MSFT</stp>
        <stp>PRICEDATEM_X</stp>
        <stp>104</stp>
        <stp>0</stp>
        <stp>0</stp>
        <stp>0</stp>
        <stp>0</stp>
        <tr r="C119" s="4"/>
      </tp>
      <tp>
        <v>40451</v>
        <stp/>
        <stp>136</stp>
        <stp>MSFT</stp>
        <stp>PRICEDATEM_X</stp>
        <stp>107</stp>
        <stp>0</stp>
        <stp>0</stp>
        <stp>0</stp>
        <stp>0</stp>
        <tr r="C122" s="4"/>
      </tp>
      <tp>
        <v>40480</v>
        <stp/>
        <stp>136</stp>
        <stp>MSFT</stp>
        <stp>PRICEDATEM_X</stp>
        <stp>106</stp>
        <stp>0</stp>
        <stp>0</stp>
        <stp>0</stp>
        <stp>0</stp>
        <tr r="C121" s="4"/>
      </tp>
      <tp>
        <v>40633</v>
        <stp/>
        <stp>136</stp>
        <stp>MSFT</stp>
        <stp>PRICEDATEM_X</stp>
        <stp>101</stp>
        <stp>0</stp>
        <stp>0</stp>
        <stp>0</stp>
        <stp>0</stp>
        <tr r="C116" s="4"/>
      </tp>
      <tp>
        <v>40662</v>
        <stp/>
        <stp>136</stp>
        <stp>MSFT</stp>
        <stp>PRICEDATEM_X</stp>
        <stp>100</stp>
        <stp>0</stp>
        <stp>0</stp>
        <stp>0</stp>
        <stp>0</stp>
        <tr r="C115" s="4"/>
      </tp>
      <tp>
        <v>40574</v>
        <stp/>
        <stp>136</stp>
        <stp>MSFT</stp>
        <stp>PRICEDATEM_X</stp>
        <stp>103</stp>
        <stp>0</stp>
        <stp>0</stp>
        <stp>0</stp>
        <stp>0</stp>
        <tr r="C118" s="4"/>
      </tp>
      <tp>
        <v>40602</v>
        <stp/>
        <stp>136</stp>
        <stp>MSFT</stp>
        <stp>PRICEDATEM_X</stp>
        <stp>102</stp>
        <stp>0</stp>
        <stp>0</stp>
        <stp>0</stp>
        <stp>0</stp>
        <tr r="C117" s="4"/>
      </tp>
      <tp>
        <v>40086</v>
        <stp/>
        <stp>136</stp>
        <stp>MSFT</stp>
        <stp>PRICEDATEM_X</stp>
        <stp>119</stp>
        <stp>0</stp>
        <stp>0</stp>
        <stp>0</stp>
        <stp>0</stp>
        <tr r="C134" s="4"/>
      </tp>
      <tp>
        <v>40116</v>
        <stp/>
        <stp>136</stp>
        <stp>MSFT</stp>
        <stp>PRICEDATEM_X</stp>
        <stp>118</stp>
        <stp>0</stp>
        <stp>0</stp>
        <stp>0</stp>
        <stp>0</stp>
        <tr r="C133" s="4"/>
      </tp>
      <tp>
        <v>40207</v>
        <stp/>
        <stp>136</stp>
        <stp>MSFT</stp>
        <stp>PRICEDATEM_X</stp>
        <stp>115</stp>
        <stp>0</stp>
        <stp>0</stp>
        <stp>0</stp>
        <stp>0</stp>
        <tr r="C130" s="4"/>
      </tp>
      <tp>
        <v>40235</v>
        <stp/>
        <stp>136</stp>
        <stp>MSFT</stp>
        <stp>PRICEDATEM_X</stp>
        <stp>114</stp>
        <stp>0</stp>
        <stp>0</stp>
        <stp>0</stp>
        <stp>0</stp>
        <tr r="C129" s="4"/>
      </tp>
      <tp>
        <v>40147</v>
        <stp/>
        <stp>136</stp>
        <stp>MSFT</stp>
        <stp>PRICEDATEM_X</stp>
        <stp>117</stp>
        <stp>0</stp>
        <stp>0</stp>
        <stp>0</stp>
        <stp>0</stp>
        <tr r="C132" s="4"/>
      </tp>
      <tp>
        <v>40178</v>
        <stp/>
        <stp>136</stp>
        <stp>MSFT</stp>
        <stp>PRICEDATEM_X</stp>
        <stp>116</stp>
        <stp>0</stp>
        <stp>0</stp>
        <stp>0</stp>
        <stp>0</stp>
        <tr r="C131" s="4"/>
      </tp>
      <tp>
        <v>40326</v>
        <stp/>
        <stp>136</stp>
        <stp>MSFT</stp>
        <stp>PRICEDATEM_X</stp>
        <stp>111</stp>
        <stp>0</stp>
        <stp>0</stp>
        <stp>0</stp>
        <stp>0</stp>
        <tr r="C126" s="4"/>
      </tp>
      <tp>
        <v>40359</v>
        <stp/>
        <stp>136</stp>
        <stp>MSFT</stp>
        <stp>PRICEDATEM_X</stp>
        <stp>110</stp>
        <stp>0</stp>
        <stp>0</stp>
        <stp>0</stp>
        <stp>0</stp>
        <tr r="C125" s="4"/>
      </tp>
      <tp>
        <v>40268</v>
        <stp/>
        <stp>136</stp>
        <stp>MSFT</stp>
        <stp>PRICEDATEM_X</stp>
        <stp>113</stp>
        <stp>0</stp>
        <stp>0</stp>
        <stp>0</stp>
        <stp>0</stp>
        <tr r="C128" s="4"/>
      </tp>
      <tp>
        <v>40298</v>
        <stp/>
        <stp>136</stp>
        <stp>MSFT</stp>
        <stp>PRICEDATEM_X</stp>
        <stp>112</stp>
        <stp>0</stp>
        <stp>0</stp>
        <stp>0</stp>
        <stp>0</stp>
        <tr r="C127" s="4"/>
      </tp>
      <tp>
        <v>80</v>
        <stp/>
        <stp>136</stp>
        <stp>MSFT</stp>
        <stp>PCNTRANKPETOEPSGROWTH5Y</stp>
        <stp>0</stp>
        <stp>0</stp>
        <stp>0</stp>
        <stp>0</stp>
        <stp>0</stp>
        <tr r="F39" s="6"/>
      </tp>
      <tp>
        <v>3.6</v>
        <stp/>
        <stp>136</stp>
        <stp>MSFT</stp>
        <stp>PETOEPSGROWTH5Y</stp>
        <stp>0</stp>
        <stp>0</stp>
        <stp>0</stp>
        <stp>0</stp>
        <stp>0</stp>
        <tr r="C39" s="6"/>
      </tp>
      <tp t="s">
        <v>NA</v>
        <stp/>
        <stp>136</stp>
        <stp>BOOM</stp>
        <stp>INTERESTEXPENSENONOP12M</stp>
        <stp>0</stp>
        <stp>0</stp>
        <stp>0</stp>
        <stp>0</stp>
        <stp>0</stp>
        <tr r="L17" s="11"/>
        <tr r="L17" s="12"/>
      </tp>
      <tp t="s">
        <v>Inve$tWare Forecast High Price</v>
        <stp/>
        <stp>137</stp>
        <stp/>
        <stp>INVE$TWAREFORECASTHIGHPRICE</stp>
        <stp>0</stp>
        <stp>0</stp>
        <stp>0</stp>
        <stp>0</stp>
        <stp>0</stp>
        <tr r="B21" s="9"/>
      </tp>
      <tp t="s">
        <v>NA</v>
        <stp/>
        <stp>136</stp>
        <stp>BOOM</stp>
        <stp>PCNTRANKFREECASHFLOWGROWTH12M</stp>
        <stp>0</stp>
        <stp>0</stp>
        <stp>0</stp>
        <stp>0</stp>
        <stp>0</stp>
        <tr r="G58" s="3"/>
      </tp>
      <tp>
        <v>45.5</v>
        <stp/>
        <stp>136</stp>
        <stp>AAPL</stp>
        <stp>SECTORINSTITUTIONALOWNERSHIPPCNT</stp>
        <stp>0</stp>
        <stp>0</stp>
        <stp>0</stp>
        <stp>0</stp>
        <stp>0</stp>
        <tr r="E28" s="5"/>
      </tp>
      <tp>
        <v>53.6</v>
        <stp/>
        <stp>136</stp>
        <stp>MSFT</stp>
        <stp>PRICEPERFCFPS</stp>
        <stp>0</stp>
        <stp>0</stp>
        <stp>0</stp>
        <stp>0</stp>
        <stp>0</stp>
        <tr r="C10" s="6"/>
      </tp>
      <tp t="s">
        <v>PA</v>
        <stp/>
        <stp>136</stp>
        <stp>BEAT</stp>
        <stp>STATE</stp>
        <stp>0</stp>
        <stp>0</stp>
        <stp>0</stp>
        <stp>0</stp>
        <stp>0</stp>
        <tr r="E3" s="13"/>
      </tp>
      <tp>
        <v>4597.9830000000002</v>
        <stp/>
        <stp>136</stp>
        <stp>AAPL</stp>
        <stp>FLOAT</stp>
        <stp>0</stp>
        <stp>0</stp>
        <stp>0</stp>
        <stp>0</stp>
        <stp>0</stp>
        <tr r="C37" s="5"/>
      </tp>
      <tp>
        <v>49</v>
        <stp/>
        <stp>136</stp>
        <stp>MSFT</stp>
        <stp>PCNTRANKLTDEBTTOTALCAPITALY_X</stp>
        <stp>5</stp>
        <stp>0</stp>
        <stp>0</stp>
        <stp>0</stp>
        <stp>0</stp>
        <tr r="H102" s="7"/>
      </tp>
      <tp>
        <v>54</v>
        <stp/>
        <stp>136</stp>
        <stp>MSFT</stp>
        <stp>PCNTRANKLTDEBTTOTALCAPITALY_X</stp>
        <stp>4</stp>
        <stp>0</stp>
        <stp>0</stp>
        <stp>0</stp>
        <stp>0</stp>
        <tr r="G102" s="7"/>
      </tp>
      <tp t="s">
        <v>NA</v>
        <stp/>
        <stp>136</stp>
        <stp>MSFT</stp>
        <stp>PCNTRANKLTDEBTTOTALCAPITALY_X</stp>
        <stp>7</stp>
        <stp>0</stp>
        <stp>0</stp>
        <stp>0</stp>
        <stp>0</stp>
        <tr r="J102" s="7"/>
      </tp>
      <tp t="s">
        <v>NA</v>
        <stp/>
        <stp>136</stp>
        <stp>MSFT</stp>
        <stp>PCNTRANKLTDEBTTOTALCAPITALY_X</stp>
        <stp>6</stp>
        <stp>0</stp>
        <stp>0</stp>
        <stp>0</stp>
        <stp>0</stp>
        <tr r="I102" s="7"/>
      </tp>
      <tp>
        <v>74</v>
        <stp/>
        <stp>136</stp>
        <stp>MSFT</stp>
        <stp>PCNTRANKLTDEBTTOTALCAPITALY_X</stp>
        <stp>1</stp>
        <stp>0</stp>
        <stp>0</stp>
        <stp>0</stp>
        <stp>0</stp>
        <tr r="D102" s="7"/>
      </tp>
      <tp>
        <v>63</v>
        <stp/>
        <stp>136</stp>
        <stp>MSFT</stp>
        <stp>PCNTRANKLTDEBTTOTALCAPITALY_X</stp>
        <stp>3</stp>
        <stp>0</stp>
        <stp>0</stp>
        <stp>0</stp>
        <stp>0</stp>
        <tr r="F102" s="7"/>
      </tp>
      <tp>
        <v>74</v>
        <stp/>
        <stp>136</stp>
        <stp>MSFT</stp>
        <stp>PCNTRANKLTDEBTTOTALCAPITALY_X</stp>
        <stp>2</stp>
        <stp>0</stp>
        <stp>0</stp>
        <stp>0</stp>
        <stp>0</stp>
        <tr r="E102" s="7"/>
      </tp>
      <tp t="s">
        <v>Industry Return on equity</v>
        <stp/>
        <stp>137</stp>
        <stp/>
        <stp>INDUSTRYRETURNONEQUITYY_X</stp>
        <stp>0</stp>
        <stp>0</stp>
        <stp>0</stp>
        <stp>0</stp>
        <stp>0</stp>
        <tr r="B38" s="7"/>
      </tp>
      <tp>
        <v>7663</v>
        <stp/>
        <stp>136</stp>
        <stp>MSFT</stp>
        <stp>CASHQ_X</stp>
        <stp>8</stp>
        <stp>0</stp>
        <stp>0</stp>
        <stp>0</stp>
        <stp>0</stp>
        <tr r="J57" s="1"/>
      </tp>
      <tp>
        <v>11212</v>
        <stp/>
        <stp>136</stp>
        <stp>MSFT</stp>
        <stp>CASHQ_X</stp>
        <stp>1</stp>
        <stp>0</stp>
        <stp>0</stp>
        <stp>0</stp>
        <stp>0</stp>
        <tr r="C57" s="1"/>
      </tp>
      <tp>
        <v>6638</v>
        <stp/>
        <stp>136</stp>
        <stp>MSFT</stp>
        <stp>CASHQ_X</stp>
        <stp>2</stp>
        <stp>0</stp>
        <stp>0</stp>
        <stp>0</stp>
        <stp>0</stp>
        <tr r="D57" s="1"/>
      </tp>
      <tp>
        <v>15137</v>
        <stp/>
        <stp>136</stp>
        <stp>MSFT</stp>
        <stp>CASHQ_X</stp>
        <stp>3</stp>
        <stp>0</stp>
        <stp>0</stp>
        <stp>0</stp>
        <stp>0</stp>
        <tr r="E57" s="1"/>
      </tp>
      <tp>
        <v>11946</v>
        <stp/>
        <stp>136</stp>
        <stp>MSFT</stp>
        <stp>CASHQ_X</stp>
        <stp>4</stp>
        <stp>0</stp>
        <stp>0</stp>
        <stp>0</stp>
        <stp>0</stp>
        <tr r="F57" s="1"/>
      </tp>
      <tp>
        <v>9221</v>
        <stp/>
        <stp>136</stp>
        <stp>MSFT</stp>
        <stp>CASHQ_X</stp>
        <stp>5</stp>
        <stp>0</stp>
        <stp>0</stp>
        <stp>0</stp>
        <stp>0</stp>
        <tr r="G57" s="1"/>
      </tp>
      <tp>
        <v>12859</v>
        <stp/>
        <stp>136</stp>
        <stp>MSFT</stp>
        <stp>CASHQ_X</stp>
        <stp>6</stp>
        <stp>0</stp>
        <stp>0</stp>
        <stp>0</stp>
        <stp>0</stp>
        <tr r="H57" s="1"/>
      </tp>
      <tp>
        <v>6884</v>
        <stp/>
        <stp>136</stp>
        <stp>MSFT</stp>
        <stp>CASHQ_X</stp>
        <stp>7</stp>
        <stp>0</stp>
        <stp>0</stp>
        <stp>0</stp>
        <stp>0</stp>
        <tr r="I57" s="1"/>
      </tp>
      <tp>
        <v>266.10000000000002</v>
        <stp/>
        <stp>136</stp>
        <stp>BOOM</stp>
        <stp>LIABILITIESANDEQUITYQ_X</stp>
        <stp>1</stp>
        <stp>0</stp>
        <stp>0</stp>
        <stp>0</stp>
        <stp>0</stp>
        <tr r="C80" s="12"/>
        <tr r="C80" s="11"/>
      </tp>
      <tp>
        <v>240.4</v>
        <stp/>
        <stp>136</stp>
        <stp>BOOM</stp>
        <stp>LIABILITIESANDEQUITYQ_X</stp>
        <stp>2</stp>
        <stp>0</stp>
        <stp>0</stp>
        <stp>0</stp>
        <stp>0</stp>
        <tr r="D80" s="11"/>
        <tr r="D80" s="12"/>
      </tp>
      <tp>
        <v>229.5</v>
        <stp/>
        <stp>136</stp>
        <stp>BOOM</stp>
        <stp>LIABILITIESANDEQUITYQ_X</stp>
        <stp>3</stp>
        <stp>0</stp>
        <stp>0</stp>
        <stp>0</stp>
        <stp>0</stp>
        <tr r="E80" s="11"/>
        <tr r="E80" s="12"/>
      </tp>
      <tp>
        <v>210.8</v>
        <stp/>
        <stp>136</stp>
        <stp>BOOM</stp>
        <stp>LIABILITIESANDEQUITYQ_X</stp>
        <stp>4</stp>
        <stp>0</stp>
        <stp>0</stp>
        <stp>0</stp>
        <stp>0</stp>
        <tr r="F80" s="12"/>
        <tr r="F80" s="11"/>
      </tp>
      <tp>
        <v>198.4</v>
        <stp/>
        <stp>136</stp>
        <stp>BOOM</stp>
        <stp>LIABILITIESANDEQUITYQ_X</stp>
        <stp>5</stp>
        <stp>0</stp>
        <stp>0</stp>
        <stp>0</stp>
        <stp>0</stp>
        <tr r="G80" s="11"/>
        <tr r="G80" s="12"/>
      </tp>
      <tp>
        <v>173.1</v>
        <stp/>
        <stp>136</stp>
        <stp>BOOM</stp>
        <stp>LIABILITIESANDEQUITYQ_X</stp>
        <stp>6</stp>
        <stp>0</stp>
        <stp>0</stp>
        <stp>0</stp>
        <stp>0</stp>
        <tr r="H80" s="12"/>
        <tr r="H80" s="11"/>
      </tp>
      <tp>
        <v>164.9</v>
        <stp/>
        <stp>136</stp>
        <stp>BOOM</stp>
        <stp>LIABILITIESANDEQUITYQ_X</stp>
        <stp>7</stp>
        <stp>0</stp>
        <stp>0</stp>
        <stp>0</stp>
        <stp>0</stp>
        <tr r="I80" s="12"/>
        <tr r="I80" s="11"/>
      </tp>
      <tp>
        <v>173.9</v>
        <stp/>
        <stp>136</stp>
        <stp>BOOM</stp>
        <stp>LIABILITIESANDEQUITYQ_X</stp>
        <stp>8</stp>
        <stp>0</stp>
        <stp>0</stp>
        <stp>0</stp>
        <stp>0</stp>
        <tr r="J80" s="11"/>
        <tr r="J80" s="12"/>
      </tp>
      <tp>
        <v>39.4</v>
        <stp/>
        <stp>136</stp>
        <stp>BEAT</stp>
        <stp>CASHQ_X</stp>
        <stp>4</stp>
        <stp>0</stp>
        <stp>0</stp>
        <stp>0</stp>
        <stp>0</stp>
        <tr r="I27" s="13"/>
      </tp>
      <tp>
        <v>80.900000000000006</v>
        <stp/>
        <stp>136</stp>
        <stp>BEAT</stp>
        <stp>CASHQ_X</stp>
        <stp>2</stp>
        <stp>0</stp>
        <stp>0</stp>
        <stp>0</stp>
        <stp>0</stp>
        <tr r="G27" s="13"/>
      </tp>
      <tp>
        <v>63.1</v>
        <stp/>
        <stp>136</stp>
        <stp>BEAT</stp>
        <stp>CASHQ_X</stp>
        <stp>3</stp>
        <stp>0</stp>
        <stp>0</stp>
        <stp>0</stp>
        <stp>0</stp>
        <tr r="H27" s="13"/>
      </tp>
      <tp>
        <v>45.5</v>
        <stp/>
        <stp>136</stp>
        <stp>BEAT</stp>
        <stp>CASHQ_X</stp>
        <stp>1</stp>
        <stp>0</stp>
        <stp>0</stp>
        <stp>0</stp>
        <stp>0</stp>
        <tr r="F27" s="13"/>
      </tp>
      <tp>
        <v>-3.1</v>
        <stp/>
        <stp>136</stp>
        <stp>BOOM</stp>
        <stp>CASHFROMOPERATIONSQ_X</stp>
        <stp>8</stp>
        <stp>0</stp>
        <stp>0</stp>
        <stp>0</stp>
        <stp>0</stp>
        <tr r="J37" s="12"/>
        <tr r="J37" s="11"/>
      </tp>
      <tp>
        <v>7</v>
        <stp/>
        <stp>136</stp>
        <stp>BOOM</stp>
        <stp>CASHFROMOPERATIONSQ_X</stp>
        <stp>1</stp>
        <stp>0</stp>
        <stp>0</stp>
        <stp>0</stp>
        <stp>0</stp>
        <tr r="C37" s="11"/>
        <tr r="C37" s="12"/>
      </tp>
      <tp>
        <v>8.1</v>
        <stp/>
        <stp>136</stp>
        <stp>BOOM</stp>
        <stp>CASHFROMOPERATIONSQ_X</stp>
        <stp>3</stp>
        <stp>0</stp>
        <stp>0</stp>
        <stp>0</stp>
        <stp>0</stp>
        <tr r="E37" s="11"/>
        <tr r="E37" s="12"/>
      </tp>
      <tp>
        <v>21.1</v>
        <stp/>
        <stp>136</stp>
        <stp>BOOM</stp>
        <stp>CASHFROMOPERATIONSQ_X</stp>
        <stp>2</stp>
        <stp>0</stp>
        <stp>0</stp>
        <stp>0</stp>
        <stp>0</stp>
        <tr r="D37" s="11"/>
        <tr r="D37" s="12"/>
      </tp>
      <tp>
        <v>-3</v>
        <stp/>
        <stp>136</stp>
        <stp>BOOM</stp>
        <stp>CASHFROMOPERATIONSQ_X</stp>
        <stp>5</stp>
        <stp>0</stp>
        <stp>0</stp>
        <stp>0</stp>
        <stp>0</stp>
        <tr r="G37" s="11"/>
        <tr r="G37" s="12"/>
      </tp>
      <tp>
        <v>-1.6</v>
        <stp/>
        <stp>136</stp>
        <stp>BOOM</stp>
        <stp>CASHFROMOPERATIONSQ_X</stp>
        <stp>4</stp>
        <stp>0</stp>
        <stp>0</stp>
        <stp>0</stp>
        <stp>0</stp>
        <tr r="F37" s="11"/>
        <tr r="F37" s="12"/>
      </tp>
      <tp>
        <v>3.7</v>
        <stp/>
        <stp>136</stp>
        <stp>BOOM</stp>
        <stp>CASHFROMOPERATIONSQ_X</stp>
        <stp>7</stp>
        <stp>0</stp>
        <stp>0</stp>
        <stp>0</stp>
        <stp>0</stp>
        <tr r="I37" s="11"/>
        <tr r="I37" s="12"/>
      </tp>
      <tp>
        <v>6.2</v>
        <stp/>
        <stp>136</stp>
        <stp>BOOM</stp>
        <stp>CASHFROMOPERATIONSQ_X</stp>
        <stp>6</stp>
        <stp>0</stp>
        <stp>0</stp>
        <stp>0</stp>
        <stp>0</stp>
        <tr r="H37" s="12"/>
        <tr r="H37" s="11"/>
      </tp>
      <tp t="s">
        <v>NA</v>
        <stp/>
        <stp>136</stp>
        <stp>BOOM</stp>
        <stp>FREECASHFLOWGROWTH12M</stp>
        <stp>0</stp>
        <stp>0</stp>
        <stp>0</stp>
        <stp>0</stp>
        <stp>0</stp>
        <tr r="G16" s="3"/>
      </tp>
      <tp t="s">
        <v>Insiders -Shares Sold</v>
        <stp/>
        <stp>137</stp>
        <stp/>
        <stp>INSIDERSHARESSOLD</stp>
        <stp>0</stp>
        <stp>0</stp>
        <stp>0</stp>
        <stp>0</stp>
        <stp>0</stp>
        <tr r="B35" s="5"/>
      </tp>
      <tp>
        <v>5.25</v>
        <stp/>
        <stp>136</stp>
        <stp>MSFT</stp>
        <stp>INDUSTRYPRICEPERSALES1YEARAGO</stp>
        <stp>0</stp>
        <stp>0</stp>
        <stp>0</stp>
        <stp>0</stp>
        <stp>0</stp>
        <tr r="D16" s="6"/>
      </tp>
      <tp>
        <v>6.1</v>
        <stp/>
        <stp>136</stp>
        <stp>MSFT</stp>
        <stp>SECTORRETURNONEQUITYY_X</stp>
        <stp>1</stp>
        <stp>0</stp>
        <stp>0</stp>
        <stp>0</stp>
        <stp>0</stp>
        <tr r="D65" s="7"/>
      </tp>
      <tp>
        <v>5.8</v>
        <stp/>
        <stp>136</stp>
        <stp>MSFT</stp>
        <stp>SECTORRETURNONEQUITYY_X</stp>
        <stp>3</stp>
        <stp>0</stp>
        <stp>0</stp>
        <stp>0</stp>
        <stp>0</stp>
        <tr r="F65" s="7"/>
      </tp>
      <tp>
        <v>5.4</v>
        <stp/>
        <stp>136</stp>
        <stp>MSFT</stp>
        <stp>SECTORRETURNONEQUITYY_X</stp>
        <stp>2</stp>
        <stp>0</stp>
        <stp>0</stp>
        <stp>0</stp>
        <stp>0</stp>
        <tr r="E65" s="7"/>
      </tp>
      <tp>
        <v>6.6</v>
        <stp/>
        <stp>136</stp>
        <stp>MSFT</stp>
        <stp>SECTORRETURNONEQUITYY_X</stp>
        <stp>5</stp>
        <stp>0</stp>
        <stp>0</stp>
        <stp>0</stp>
        <stp>0</stp>
        <tr r="H65" s="7"/>
      </tp>
      <tp>
        <v>6.1</v>
        <stp/>
        <stp>136</stp>
        <stp>MSFT</stp>
        <stp>SECTORRETURNONEQUITYY_X</stp>
        <stp>4</stp>
        <stp>0</stp>
        <stp>0</stp>
        <stp>0</stp>
        <stp>0</stp>
        <tr r="G65" s="7"/>
      </tp>
      <tp>
        <v>7.9</v>
        <stp/>
        <stp>136</stp>
        <stp>MSFT</stp>
        <stp>SECTORRETURNONEQUITYY_X</stp>
        <stp>7</stp>
        <stp>0</stp>
        <stp>0</stp>
        <stp>0</stp>
        <stp>0</stp>
        <tr r="J65" s="7"/>
      </tp>
      <tp>
        <v>7.7</v>
        <stp/>
        <stp>136</stp>
        <stp>MSFT</stp>
        <stp>SECTORRETURNONEQUITYY_X</stp>
        <stp>6</stp>
        <stp>0</stp>
        <stp>0</stp>
        <stp>0</stp>
        <stp>0</stp>
        <tr r="I65" s="7"/>
      </tp>
      <tp>
        <v>69</v>
        <stp/>
        <stp>136</stp>
        <stp>AAPL</stp>
        <stp>PCNTRANKRELSTRENGTH4W</stp>
        <stp>0</stp>
        <stp>0</stp>
        <stp>0</stp>
        <stp>0</stp>
        <stp>0</stp>
        <tr r="C60" s="5"/>
      </tp>
      <tp>
        <v>6.97</v>
        <stp/>
        <stp>136</stp>
        <stp>MSFT</stp>
        <stp>EPSESTHIGHY2</stp>
        <stp>4</stp>
        <stp>0</stp>
        <stp>0</stp>
        <stp>0</stp>
        <stp>0</stp>
        <tr r="G7" s="8"/>
      </tp>
      <tp>
        <v>272</v>
        <stp/>
        <stp>136</stp>
        <stp>AAPL</stp>
        <stp>SECTORVOLUMEAVEDAILY10D</stp>
        <stp>0</stp>
        <stp>0</stp>
        <stp>0</stp>
        <stp>0</stp>
        <stp>0</stp>
        <tr r="E27" s="5"/>
      </tp>
      <tp t="s">
        <v>EPS-Growth</v>
        <stp/>
        <stp>137</stp>
        <stp/>
        <stp>EPSGROWTH1Y</stp>
        <stp>1</stp>
        <stp>0</stp>
        <stp>0</stp>
        <stp>0</stp>
        <stp>0</stp>
        <tr r="B11" s="3"/>
      </tp>
      <tp t="s">
        <v>NA</v>
        <stp/>
        <stp>136</stp>
        <stp>BOOM</stp>
        <stp>FREECASHFLOWPERSHARE12M</stp>
        <stp>0</stp>
        <stp>0</stp>
        <stp>0</stp>
        <stp>0</stp>
        <stp>0</stp>
        <tr r="L47" s="11"/>
        <tr r="L47" s="12"/>
      </tp>
      <tp t="s">
        <v>% Rank-EPS Growth</v>
        <stp/>
        <stp>137</stp>
        <stp/>
        <stp>PCNTRANKEPSGROWTH1Y</stp>
        <stp>1</stp>
        <stp>0</stp>
        <stp>0</stp>
        <stp>0</stp>
        <stp>0</stp>
        <tr r="B53" s="3"/>
      </tp>
      <tp>
        <v>197.7</v>
        <stp/>
        <stp>136</stp>
        <stp>MSFT</stp>
        <stp>SECTORPRICEPERCFPSAVE7Y</stp>
        <stp>0</stp>
        <stp>0</stp>
        <stp>0</stp>
        <stp>0</stp>
        <stp>0</stp>
        <tr r="G25" s="6"/>
      </tp>
      <tp>
        <v>98.3</v>
        <stp/>
        <stp>136</stp>
        <stp>MSFT</stp>
        <stp>SECTORPRICEPERCFPSAVE5Y</stp>
        <stp>0</stp>
        <stp>0</stp>
        <stp>0</stp>
        <stp>0</stp>
        <stp>0</stp>
        <tr r="F25" s="6"/>
      </tp>
      <tp>
        <v>60.3</v>
        <stp/>
        <stp>136</stp>
        <stp>MSFT</stp>
        <stp>SECTORPRICEPERCFPSAVE3Y</stp>
        <stp>0</stp>
        <stp>0</stp>
        <stp>0</stp>
        <stp>0</stp>
        <stp>0</stp>
        <tr r="E25" s="6"/>
      </tp>
      <tp>
        <v>62.3</v>
        <stp/>
        <stp>136</stp>
        <stp>BEAT</stp>
        <stp>LTDEBTEQUITYY_X</stp>
        <stp>1</stp>
        <stp>0</stp>
        <stp>0</stp>
        <stp>0</stp>
        <stp>0</stp>
        <tr r="F55" s="13"/>
      </tp>
      <tp>
        <v>77</v>
        <stp/>
        <stp>136</stp>
        <stp>MSFT</stp>
        <stp>PCNTRANKLTDEBTEQUITYY_X</stp>
        <stp>2</stp>
        <stp>0</stp>
        <stp>0</stp>
        <stp>0</stp>
        <stp>0</stp>
        <tr r="E103" s="7"/>
      </tp>
      <tp>
        <v>66</v>
        <stp/>
        <stp>136</stp>
        <stp>MSFT</stp>
        <stp>PCNTRANKLTDEBTEQUITYY_X</stp>
        <stp>3</stp>
        <stp>0</stp>
        <stp>0</stp>
        <stp>0</stp>
        <stp>0</stp>
        <tr r="F103" s="7"/>
      </tp>
      <tp>
        <v>78</v>
        <stp/>
        <stp>136</stp>
        <stp>MSFT</stp>
        <stp>PCNTRANKLTDEBTEQUITYY_X</stp>
        <stp>1</stp>
        <stp>0</stp>
        <stp>0</stp>
        <stp>0</stp>
        <stp>0</stp>
        <tr r="D103" s="7"/>
      </tp>
      <tp t="s">
        <v>NA</v>
        <stp/>
        <stp>136</stp>
        <stp>MSFT</stp>
        <stp>PCNTRANKLTDEBTEQUITYY_X</stp>
        <stp>6</stp>
        <stp>0</stp>
        <stp>0</stp>
        <stp>0</stp>
        <stp>0</stp>
        <tr r="I103" s="7"/>
      </tp>
      <tp t="s">
        <v>NA</v>
        <stp/>
        <stp>136</stp>
        <stp>MSFT</stp>
        <stp>PCNTRANKLTDEBTEQUITYY_X</stp>
        <stp>7</stp>
        <stp>0</stp>
        <stp>0</stp>
        <stp>0</stp>
        <stp>0</stp>
        <tr r="J103" s="7"/>
      </tp>
      <tp>
        <v>57</v>
        <stp/>
        <stp>136</stp>
        <stp>MSFT</stp>
        <stp>PCNTRANKLTDEBTEQUITYY_X</stp>
        <stp>4</stp>
        <stp>0</stp>
        <stp>0</stp>
        <stp>0</stp>
        <stp>0</stp>
        <tr r="G103" s="7"/>
      </tp>
      <tp>
        <v>51</v>
        <stp/>
        <stp>136</stp>
        <stp>MSFT</stp>
        <stp>PCNTRANKLTDEBTEQUITYY_X</stp>
        <stp>5</stp>
        <stp>0</stp>
        <stp>0</stp>
        <stp>0</stp>
        <stp>0</stp>
        <tr r="H103" s="7"/>
      </tp>
      <tp>
        <v>92.3</v>
        <stp/>
        <stp>136</stp>
        <stp>MSFT</stp>
        <stp>LTDEBTEQUITYY_X</stp>
        <stp>1</stp>
        <stp>0</stp>
        <stp>0</stp>
        <stp>0</stp>
        <stp>0</stp>
        <tr r="D22" s="7"/>
      </tp>
      <tp>
        <v>89.5</v>
        <stp/>
        <stp>136</stp>
        <stp>MSFT</stp>
        <stp>LTDEBTEQUITYY_X</stp>
        <stp>2</stp>
        <stp>0</stp>
        <stp>0</stp>
        <stp>0</stp>
        <stp>0</stp>
        <tr r="E22" s="7"/>
      </tp>
      <tp>
        <v>57.4</v>
        <stp/>
        <stp>136</stp>
        <stp>MSFT</stp>
        <stp>LTDEBTEQUITYY_X</stp>
        <stp>3</stp>
        <stp>0</stp>
        <stp>0</stp>
        <stp>0</stp>
        <stp>0</stp>
        <tr r="F22" s="7"/>
      </tp>
      <tp>
        <v>34.700000000000003</v>
        <stp/>
        <stp>136</stp>
        <stp>MSFT</stp>
        <stp>LTDEBTEQUITYY_X</stp>
        <stp>4</stp>
        <stp>0</stp>
        <stp>0</stp>
        <stp>0</stp>
        <stp>0</stp>
        <tr r="G22" s="7"/>
      </tp>
      <tp>
        <v>23</v>
        <stp/>
        <stp>136</stp>
        <stp>MSFT</stp>
        <stp>LTDEBTEQUITYY_X</stp>
        <stp>5</stp>
        <stp>0</stp>
        <stp>0</stp>
        <stp>0</stp>
        <stp>0</stp>
        <tr r="H22" s="7"/>
      </tp>
      <tp>
        <v>16</v>
        <stp/>
        <stp>136</stp>
        <stp>MSFT</stp>
        <stp>LTDEBTEQUITYY_X</stp>
        <stp>6</stp>
        <stp>0</stp>
        <stp>0</stp>
        <stp>0</stp>
        <stp>0</stp>
        <tr r="I22" s="7"/>
      </tp>
      <tp>
        <v>16.100000000000001</v>
        <stp/>
        <stp>136</stp>
        <stp>MSFT</stp>
        <stp>LTDEBTEQUITYY_X</stp>
        <stp>7</stp>
        <stp>0</stp>
        <stp>0</stp>
        <stp>0</stp>
        <stp>0</stp>
        <tr r="J22" s="7"/>
      </tp>
      <tp>
        <v>43555</v>
        <stp/>
        <stp>136</stp>
        <stp>MSFT</stp>
        <stp>ENDINGDATEQ_X</stp>
        <stp>1</stp>
        <stp>0</stp>
        <stp>0</stp>
        <stp>0</stp>
        <stp>0</stp>
        <tr r="C6" s="1"/>
      </tp>
      <tp>
        <v>43465</v>
        <stp/>
        <stp>136</stp>
        <stp>MSFT</stp>
        <stp>ENDINGDATEQ_X</stp>
        <stp>2</stp>
        <stp>0</stp>
        <stp>0</stp>
        <stp>0</stp>
        <stp>0</stp>
        <tr r="D6" s="1"/>
      </tp>
      <tp>
        <v>43373</v>
        <stp/>
        <stp>136</stp>
        <stp>MSFT</stp>
        <stp>ENDINGDATEQ_X</stp>
        <stp>3</stp>
        <stp>0</stp>
        <stp>0</stp>
        <stp>0</stp>
        <stp>0</stp>
        <tr r="E6" s="1"/>
      </tp>
      <tp>
        <v>43281</v>
        <stp/>
        <stp>136</stp>
        <stp>MSFT</stp>
        <stp>ENDINGDATEQ_X</stp>
        <stp>4</stp>
        <stp>0</stp>
        <stp>0</stp>
        <stp>0</stp>
        <stp>0</stp>
        <tr r="F6" s="1"/>
      </tp>
      <tp>
        <v>43190</v>
        <stp/>
        <stp>136</stp>
        <stp>MSFT</stp>
        <stp>ENDINGDATEQ_X</stp>
        <stp>5</stp>
        <stp>0</stp>
        <stp>0</stp>
        <stp>0</stp>
        <stp>0</stp>
        <tr r="G6" s="1"/>
      </tp>
      <tp>
        <v>43100</v>
        <stp/>
        <stp>136</stp>
        <stp>MSFT</stp>
        <stp>ENDINGDATEQ_X</stp>
        <stp>6</stp>
        <stp>0</stp>
        <stp>0</stp>
        <stp>0</stp>
        <stp>0</stp>
        <tr r="H6" s="1"/>
      </tp>
      <tp>
        <v>43008</v>
        <stp/>
        <stp>136</stp>
        <stp>MSFT</stp>
        <stp>ENDINGDATEQ_X</stp>
        <stp>7</stp>
        <stp>0</stp>
        <stp>0</stp>
        <stp>0</stp>
        <stp>0</stp>
        <tr r="I6" s="1"/>
      </tp>
      <tp>
        <v>42916</v>
        <stp/>
        <stp>136</stp>
        <stp>MSFT</stp>
        <stp>ENDINGDATEQ_X</stp>
        <stp>8</stp>
        <stp>0</stp>
        <stp>0</stp>
        <stp>0</stp>
        <stp>0</stp>
        <tr r="J6" s="1"/>
      </tp>
      <tp>
        <v>43281</v>
        <stp/>
        <stp>136</stp>
        <stp>MSFT</stp>
        <stp>ENDINGDATEY_X</stp>
        <stp>1</stp>
        <stp>0</stp>
        <stp>0</stp>
        <stp>0</stp>
        <stp>0</stp>
        <tr r="D5" s="7"/>
      </tp>
      <tp>
        <v>42916</v>
        <stp/>
        <stp>136</stp>
        <stp>MSFT</stp>
        <stp>ENDINGDATEY_X</stp>
        <stp>2</stp>
        <stp>0</stp>
        <stp>0</stp>
        <stp>0</stp>
        <stp>0</stp>
        <tr r="E5" s="7"/>
      </tp>
      <tp>
        <v>42551</v>
        <stp/>
        <stp>136</stp>
        <stp>MSFT</stp>
        <stp>ENDINGDATEY_X</stp>
        <stp>3</stp>
        <stp>0</stp>
        <stp>0</stp>
        <stp>0</stp>
        <stp>0</stp>
        <tr r="F5" s="7"/>
      </tp>
      <tp>
        <v>42185</v>
        <stp/>
        <stp>136</stp>
        <stp>MSFT</stp>
        <stp>ENDINGDATEY_X</stp>
        <stp>4</stp>
        <stp>0</stp>
        <stp>0</stp>
        <stp>0</stp>
        <stp>0</stp>
        <tr r="G5" s="7"/>
      </tp>
      <tp>
        <v>41820</v>
        <stp/>
        <stp>136</stp>
        <stp>MSFT</stp>
        <stp>ENDINGDATEY_X</stp>
        <stp>5</stp>
        <stp>0</stp>
        <stp>0</stp>
        <stp>0</stp>
        <stp>0</stp>
        <tr r="H5" s="7"/>
      </tp>
      <tp>
        <v>41455</v>
        <stp/>
        <stp>136</stp>
        <stp>MSFT</stp>
        <stp>ENDINGDATEY_X</stp>
        <stp>6</stp>
        <stp>0</stp>
        <stp>0</stp>
        <stp>0</stp>
        <stp>0</stp>
        <tr r="I5" s="7"/>
      </tp>
      <tp>
        <v>41090</v>
        <stp/>
        <stp>136</stp>
        <stp>MSFT</stp>
        <stp>ENDINGDATEY_X</stp>
        <stp>7</stp>
        <stp>0</stp>
        <stp>0</stp>
        <stp>0</stp>
        <stp>0</stp>
        <tr r="J5" s="7"/>
      </tp>
      <tp>
        <v>0</v>
        <stp/>
        <stp>136</stp>
        <stp>MSFT</stp>
        <stp>INDUSTRYYIELD</stp>
        <stp>0</stp>
        <stp>0</stp>
        <stp>0</stp>
        <stp>0</stp>
        <stp>0</stp>
        <tr r="C19" s="6"/>
      </tp>
      <tp>
        <v>38.6</v>
        <stp/>
        <stp>136</stp>
        <stp>BOOM</stp>
        <stp>ACCOUNTSRECEIVABLEQ_X</stp>
        <stp>8</stp>
        <stp>0</stp>
        <stp>0</stp>
        <stp>0</stp>
        <stp>0</stp>
        <tr r="J57" s="11"/>
        <tr r="J57" s="12"/>
      </tp>
      <tp>
        <v>62.8</v>
        <stp/>
        <stp>136</stp>
        <stp>BOOM</stp>
        <stp>ACCOUNTSRECEIVABLEQ_X</stp>
        <stp>4</stp>
        <stp>0</stp>
        <stp>0</stp>
        <stp>0</stp>
        <stp>0</stp>
        <tr r="F57" s="11"/>
        <tr r="F57" s="12"/>
      </tp>
      <tp>
        <v>57.2</v>
        <stp/>
        <stp>136</stp>
        <stp>BOOM</stp>
        <stp>ACCOUNTSRECEIVABLEQ_X</stp>
        <stp>5</stp>
        <stp>0</stp>
        <stp>0</stp>
        <stp>0</stp>
        <stp>0</stp>
        <tr r="G57" s="11"/>
        <tr r="G57" s="12"/>
      </tp>
      <tp>
        <v>49.5</v>
        <stp/>
        <stp>136</stp>
        <stp>BOOM</stp>
        <stp>ACCOUNTSRECEIVABLEQ_X</stp>
        <stp>6</stp>
        <stp>0</stp>
        <stp>0</stp>
        <stp>0</stp>
        <stp>0</stp>
        <tr r="H57" s="11"/>
        <tr r="H57" s="12"/>
      </tp>
      <tp>
        <v>45.4</v>
        <stp/>
        <stp>136</stp>
        <stp>BOOM</stp>
        <stp>ACCOUNTSRECEIVABLEQ_X</stp>
        <stp>7</stp>
        <stp>0</stp>
        <stp>0</stp>
        <stp>0</stp>
        <stp>0</stp>
        <tr r="I57" s="11"/>
        <tr r="I57" s="12"/>
      </tp>
      <tp>
        <v>73.3</v>
        <stp/>
        <stp>136</stp>
        <stp>BOOM</stp>
        <stp>ACCOUNTSRECEIVABLEQ_X</stp>
        <stp>1</stp>
        <stp>0</stp>
        <stp>0</stp>
        <stp>0</stp>
        <stp>0</stp>
        <tr r="C57" s="12"/>
        <tr r="C57" s="11"/>
      </tp>
      <tp>
        <v>59.7</v>
        <stp/>
        <stp>136</stp>
        <stp>BOOM</stp>
        <stp>ACCOUNTSRECEIVABLEQ_X</stp>
        <stp>2</stp>
        <stp>0</stp>
        <stp>0</stp>
        <stp>0</stp>
        <stp>0</stp>
        <tr r="D57" s="12"/>
        <tr r="D57" s="11"/>
      </tp>
      <tp>
        <v>65.599999999999994</v>
        <stp/>
        <stp>136</stp>
        <stp>BOOM</stp>
        <stp>ACCOUNTSRECEIVABLEQ_X</stp>
        <stp>3</stp>
        <stp>0</stp>
        <stp>0</stp>
        <stp>0</stp>
        <stp>0</stp>
        <tr r="E57" s="11"/>
        <tr r="E57" s="12"/>
      </tp>
      <tp t="s">
        <v>1-408-996-1010</v>
        <stp/>
        <stp>136</stp>
        <stp>AAPL</stp>
        <stp>PHONE</stp>
        <stp>0</stp>
        <stp>0</stp>
        <stp>0</stp>
        <stp>0</stp>
        <stp>0</stp>
        <tr r="C10" s="5"/>
      </tp>
      <tp t="s">
        <v>Industry Gross Income-Growth</v>
        <stp/>
        <stp>137</stp>
        <stp/>
        <stp>INDUSTRYGROSSINCOMEGROWTH1Y</stp>
        <stp>1</stp>
        <stp>0</stp>
        <stp>0</stp>
        <stp>0</stp>
        <stp>0</stp>
        <tr r="B21" s="3"/>
      </tp>
      <tp>
        <v>2.6</v>
        <stp/>
        <stp>136</stp>
        <stp>MSFT</stp>
        <stp>SECTORPRICEPERBOOKAVE7Y</stp>
        <stp>0</stp>
        <stp>0</stp>
        <stp>0</stp>
        <stp>0</stp>
        <stp>0</stp>
        <tr r="G23" s="6"/>
      </tp>
      <tp>
        <v>2.99</v>
        <stp/>
        <stp>136</stp>
        <stp>MSFT</stp>
        <stp>SECTORPRICEPERBOOKAVE5Y</stp>
        <stp>0</stp>
        <stp>0</stp>
        <stp>0</stp>
        <stp>0</stp>
        <stp>0</stp>
        <tr r="F23" s="6"/>
      </tp>
      <tp>
        <v>3.11</v>
        <stp/>
        <stp>136</stp>
        <stp>MSFT</stp>
        <stp>SECTORPRICEPERBOOKAVE3Y</stp>
        <stp>0</stp>
        <stp>0</stp>
        <stp>0</stp>
        <stp>0</stp>
        <stp>0</stp>
        <tr r="E23" s="6"/>
      </tp>
      <tp>
        <v>41772</v>
        <stp/>
        <stp>136</stp>
        <stp>MSFT</stp>
        <stp>PRETAXINCOME12M</stp>
        <stp>0</stp>
        <stp>0</stp>
        <stp>0</stp>
        <stp>0</stp>
        <stp>0</stp>
        <tr r="L21" s="1"/>
      </tp>
      <tp t="s">
        <v>CA</v>
        <stp/>
        <stp>136</stp>
        <stp>AAPL</stp>
        <stp>STATE</stp>
        <stp>0</stp>
        <stp>0</stp>
        <stp>0</stp>
        <stp>0</stp>
        <stp>0</stp>
        <tr r="C7" s="5"/>
      </tp>
      <tp>
        <v>25.2</v>
        <stp/>
        <stp>136</stp>
        <stp>MSFT</stp>
        <stp>SECTORPEAVE3Y</stp>
        <stp>0</stp>
        <stp>0</stp>
        <stp>0</stp>
        <stp>0</stp>
        <stp>0</stp>
        <tr r="E22" s="6"/>
      </tp>
      <tp>
        <v>24.9</v>
        <stp/>
        <stp>136</stp>
        <stp>MSFT</stp>
        <stp>SECTORPEAVE7Y</stp>
        <stp>0</stp>
        <stp>0</stp>
        <stp>0</stp>
        <stp>0</stp>
        <stp>0</stp>
        <tr r="G22" s="6"/>
      </tp>
      <tp>
        <v>25.8</v>
        <stp/>
        <stp>136</stp>
        <stp>MSFT</stp>
        <stp>SECTORPEAVE5Y</stp>
        <stp>0</stp>
        <stp>0</stp>
        <stp>0</stp>
        <stp>0</stp>
        <stp>0</stp>
        <tr r="F22" s="6"/>
      </tp>
      <tp>
        <v>32.86</v>
        <stp/>
        <stp>136</stp>
        <stp>BEAT</stp>
        <stp>FLOAT</stp>
        <stp>0</stp>
        <stp>0</stp>
        <stp>0</stp>
        <stp>0</stp>
        <stp>0</stp>
        <tr r="E11" s="13"/>
      </tp>
      <tp>
        <v>5140</v>
        <stp/>
        <stp>136</stp>
        <stp>AAPL</stp>
        <stp>INSTITUTIONSHARESSOLD</stp>
        <stp>0</stp>
        <stp>0</stp>
        <stp>0</stp>
        <stp>0</stp>
        <stp>0</stp>
        <tr r="C31" s="5"/>
      </tp>
      <tp t="s">
        <v>Industry Return on assets</v>
        <stp/>
        <stp>137</stp>
        <stp/>
        <stp>INDUSTRYRETURNONASSETSY_X</stp>
        <stp>0</stp>
        <stp>0</stp>
        <stp>0</stp>
        <stp>0</stp>
        <stp>0</stp>
        <tr r="B37" s="7"/>
      </tp>
      <tp>
        <v>4.4980000000000002</v>
        <stp/>
        <stp>136</stp>
        <stp>MSFT</stp>
        <stp>EPSDILUTED12M</stp>
        <stp>0</stp>
        <stp>0</stp>
        <stp>0</stp>
        <stp>0</stp>
        <stp>0</stp>
        <tr r="L33" s="1"/>
      </tp>
      <tp t="s">
        <v>EPS Est Qtr 0</v>
        <stp/>
        <stp>137</stp>
        <stp/>
        <stp>EPSESTQ0</stp>
        <stp>0</stp>
        <stp>0</stp>
        <stp>0</stp>
        <stp>0</stp>
        <stp>0</stp>
        <tr r="D72" s="13"/>
      </tp>
      <tp t="s">
        <v>EPS Est Year 0</v>
        <stp/>
        <stp>137</stp>
        <stp/>
        <stp>EPSESTY0</stp>
        <stp>0</stp>
        <stp>0</stp>
        <stp>0</stp>
        <stp>0</stp>
        <stp>0</stp>
        <tr r="D74" s="13"/>
      </tp>
      <tp>
        <v>4.66</v>
        <stp/>
        <stp>136</stp>
        <stp>MSFT</stp>
        <stp>EPSESTHIGHY0</stp>
        <stp>2</stp>
        <stp>0</stp>
        <stp>0</stp>
        <stp>0</stp>
        <stp>0</stp>
        <tr r="E7" s="8"/>
      </tp>
      <tp>
        <v>1.29</v>
        <stp/>
        <stp>136</stp>
        <stp>MSFT</stp>
        <stp>EPSESTHIGHQ0</stp>
        <stp>0</stp>
        <stp>0</stp>
        <stp>0</stp>
        <stp>0</stp>
        <stp>0</stp>
        <tr r="C7" s="8"/>
      </tp>
      <tp t="s">
        <v>PE Relative Valuation</v>
        <stp/>
        <stp>137</stp>
        <stp/>
        <stp>PERELATIVEVALUATION</stp>
        <stp>0</stp>
        <stp>0</stp>
        <stp>0</stp>
        <stp>0</stp>
        <stp>0</stp>
        <tr r="B95" s="5"/>
      </tp>
      <tp>
        <v>4.4850000000000003</v>
        <stp/>
        <stp>136</stp>
        <stp>MSFT</stp>
        <stp>EPSDILUTEDCONTINUING12M</stp>
        <stp>0</stp>
        <stp>0</stp>
        <stp>0</stp>
        <stp>0</stp>
        <stp>0</stp>
        <tr r="L34" s="1"/>
      </tp>
      <tp>
        <v>28358</v>
        <stp/>
        <stp>136</stp>
        <stp>MSFT</stp>
        <stp>OTHERLTLIABILITIESQ_X</stp>
        <stp>8</stp>
        <stp>0</stp>
        <stp>0</stp>
        <stp>0</stp>
        <stp>0</stp>
        <tr r="J77" s="1"/>
      </tp>
      <tp>
        <v>41795</v>
        <stp/>
        <stp>136</stp>
        <stp>MSFT</stp>
        <stp>OTHERLTLIABILITIESQ_X</stp>
        <stp>2</stp>
        <stp>0</stp>
        <stp>0</stp>
        <stp>0</stp>
        <stp>0</stp>
        <tr r="D77" s="1"/>
      </tp>
      <tp>
        <v>41171</v>
        <stp/>
        <stp>136</stp>
        <stp>MSFT</stp>
        <stp>OTHERLTLIABILITIESQ_X</stp>
        <stp>3</stp>
        <stp>0</stp>
        <stp>0</stp>
        <stp>0</stp>
        <stp>0</stp>
        <tr r="E77" s="1"/>
      </tp>
      <tp>
        <v>42443</v>
        <stp/>
        <stp>136</stp>
        <stp>MSFT</stp>
        <stp>OTHERLTLIABILITIESQ_X</stp>
        <stp>1</stp>
        <stp>0</stp>
        <stp>0</stp>
        <stp>0</stp>
        <stp>0</stp>
        <tr r="C77" s="1"/>
      </tp>
      <tp>
        <v>42450</v>
        <stp/>
        <stp>136</stp>
        <stp>MSFT</stp>
        <stp>OTHERLTLIABILITIESQ_X</stp>
        <stp>6</stp>
        <stp>0</stp>
        <stp>0</stp>
        <stp>0</stp>
        <stp>0</stp>
        <tr r="H77" s="1"/>
      </tp>
      <tp>
        <v>28453</v>
        <stp/>
        <stp>136</stp>
        <stp>MSFT</stp>
        <stp>OTHERLTLIABILITIESQ_X</stp>
        <stp>7</stp>
        <stp>0</stp>
        <stp>0</stp>
        <stp>0</stp>
        <stp>0</stp>
        <tr r="I77" s="1"/>
      </tp>
      <tp>
        <v>41275</v>
        <stp/>
        <stp>136</stp>
        <stp>MSFT</stp>
        <stp>OTHERLTLIABILITIESQ_X</stp>
        <stp>4</stp>
        <stp>0</stp>
        <stp>0</stp>
        <stp>0</stp>
        <stp>0</stp>
        <tr r="F77" s="1"/>
      </tp>
      <tp>
        <v>42495</v>
        <stp/>
        <stp>136</stp>
        <stp>MSFT</stp>
        <stp>OTHERLTLIABILITIESQ_X</stp>
        <stp>5</stp>
        <stp>0</stp>
        <stp>0</stp>
        <stp>0</stp>
        <stp>0</stp>
        <tr r="G77" s="1"/>
      </tp>
      <tp t="s">
        <v>Long-Term Debt</v>
        <stp/>
        <stp>137</stp>
        <stp/>
        <stp>LTDEBTQ_X</stp>
        <stp>0</stp>
        <stp>0</stp>
        <stp>0</stp>
        <stp>0</stp>
        <stp>0</stp>
        <tr r="D51" s="13"/>
        <tr r="B76" s="1"/>
        <tr r="B74" s="12"/>
        <tr r="B74" s="11"/>
      </tp>
      <tp>
        <v>98</v>
        <stp/>
        <stp>136</stp>
        <stp>AAPL</stp>
        <stp>PCNTRANKPRICE</stp>
        <stp>0</stp>
        <stp>0</stp>
        <stp>0</stp>
        <stp>0</stp>
        <stp>0</stp>
        <tr r="F22" s="5"/>
      </tp>
      <tp t="s">
        <v>Sector Gross Income-Growth</v>
        <stp/>
        <stp>137</stp>
        <stp/>
        <stp>SECTORGROSSINCOMEGROWTH1Y</stp>
        <stp>1</stp>
        <stp>0</stp>
        <stp>0</stp>
        <stp>0</stp>
        <stp>0</stp>
        <tr r="B35" s="3"/>
      </tp>
      <tp>
        <v>5.62</v>
        <stp/>
        <stp>136</stp>
        <stp>MSFT</stp>
        <stp>EPSESTHIGHY1</stp>
        <stp>3</stp>
        <stp>0</stp>
        <stp>0</stp>
        <stp>0</stp>
        <stp>0</stp>
        <tr r="F7" s="8"/>
      </tp>
      <tp>
        <v>1.3</v>
        <stp/>
        <stp>136</stp>
        <stp>MSFT</stp>
        <stp>EPSESTHIGHQ1</stp>
        <stp>0</stp>
        <stp>0</stp>
        <stp>0</stp>
        <stp>0</stp>
        <stp>0</stp>
        <tr r="D7" s="8"/>
      </tp>
      <tp t="s">
        <v>Sector Yield</v>
        <stp/>
        <stp>137</stp>
        <stp/>
        <stp>SECTORYIELD</stp>
        <stp>0</stp>
        <stp>0</stp>
        <stp>0</stp>
        <stp>0</stp>
        <stp>0</stp>
        <tr r="B27" s="6"/>
      </tp>
      <tp>
        <v>33.6</v>
        <stp/>
        <stp>136</stp>
        <stp>MSFT</stp>
        <stp>INDUSTRYPEAVE5Y</stp>
        <stp>0</stp>
        <stp>0</stp>
        <stp>0</stp>
        <stp>0</stp>
        <stp>0</stp>
        <tr r="F14" s="6"/>
      </tp>
      <tp>
        <v>35.5</v>
        <stp/>
        <stp>136</stp>
        <stp>MSFT</stp>
        <stp>INDUSTRYPEAVE7Y</stp>
        <stp>0</stp>
        <stp>0</stp>
        <stp>0</stp>
        <stp>0</stp>
        <stp>0</stp>
        <tr r="G14" s="6"/>
      </tp>
      <tp>
        <v>37.5</v>
        <stp/>
        <stp>136</stp>
        <stp>MSFT</stp>
        <stp>INDUSTRYPEAVE3Y</stp>
        <stp>0</stp>
        <stp>0</stp>
        <stp>0</stp>
        <stp>0</stp>
        <stp>0</stp>
        <tr r="E14" s="6"/>
      </tp>
      <tp>
        <v>0</v>
        <stp/>
        <stp>136</stp>
        <stp>MSFT</stp>
        <stp>DEPRECIATIONQ_X</stp>
        <stp>8</stp>
        <stp>0</stp>
        <stp>0</stp>
        <stp>0</stp>
        <stp>0</stp>
        <tr r="J11" s="1"/>
      </tp>
      <tp>
        <v>0</v>
        <stp/>
        <stp>136</stp>
        <stp>MSFT</stp>
        <stp>DEPRECIATIONQ_X</stp>
        <stp>6</stp>
        <stp>0</stp>
        <stp>0</stp>
        <stp>0</stp>
        <stp>0</stp>
        <tr r="H11" s="1"/>
      </tp>
      <tp>
        <v>0</v>
        <stp/>
        <stp>136</stp>
        <stp>MSFT</stp>
        <stp>DEPRECIATIONQ_X</stp>
        <stp>7</stp>
        <stp>0</stp>
        <stp>0</stp>
        <stp>0</stp>
        <stp>0</stp>
        <tr r="I11" s="1"/>
      </tp>
      <tp>
        <v>0</v>
        <stp/>
        <stp>136</stp>
        <stp>MSFT</stp>
        <stp>DEPRECIATIONQ_X</stp>
        <stp>4</stp>
        <stp>0</stp>
        <stp>0</stp>
        <stp>0</stp>
        <stp>0</stp>
        <tr r="F11" s="1"/>
      </tp>
      <tp>
        <v>0</v>
        <stp/>
        <stp>136</stp>
        <stp>MSFT</stp>
        <stp>DEPRECIATIONQ_X</stp>
        <stp>5</stp>
        <stp>0</stp>
        <stp>0</stp>
        <stp>0</stp>
        <stp>0</stp>
        <tr r="G11" s="1"/>
      </tp>
      <tp>
        <v>0</v>
        <stp/>
        <stp>136</stp>
        <stp>MSFT</stp>
        <stp>DEPRECIATIONQ_X</stp>
        <stp>2</stp>
        <stp>0</stp>
        <stp>0</stp>
        <stp>0</stp>
        <stp>0</stp>
        <tr r="D11" s="1"/>
      </tp>
      <tp>
        <v>0</v>
        <stp/>
        <stp>136</stp>
        <stp>MSFT</stp>
        <stp>DEPRECIATIONQ_X</stp>
        <stp>3</stp>
        <stp>0</stp>
        <stp>0</stp>
        <stp>0</stp>
        <stp>0</stp>
        <tr r="E11" s="1"/>
      </tp>
      <tp>
        <v>0</v>
        <stp/>
        <stp>136</stp>
        <stp>MSFT</stp>
        <stp>DEPRECIATIONQ_X</stp>
        <stp>1</stp>
        <stp>0</stp>
        <stp>0</stp>
        <stp>0</stp>
        <stp>0</stp>
        <tr r="C11" s="1"/>
      </tp>
      <tp>
        <v>59.9</v>
        <stp/>
        <stp>136</stp>
        <stp>BOOM</stp>
        <stp>GROSSINCOMEGROWTHQ5TOQ1</stp>
        <stp>0</stp>
        <stp>0</stp>
        <stp>0</stp>
        <stp>0</stp>
        <stp>0</stp>
        <tr r="H7" s="3"/>
      </tp>
      <tp>
        <v>76</v>
        <stp/>
        <stp>136</stp>
        <stp>BOOM</stp>
        <stp>GROSSINCOMEGROWTHQ6TOQ2</stp>
        <stp>0</stp>
        <stp>0</stp>
        <stp>0</stp>
        <stp>0</stp>
        <stp>0</stp>
        <tr r="I7" s="3"/>
      </tp>
      <tp>
        <v>72.900000000000006</v>
        <stp/>
        <stp>136</stp>
        <stp>BOOM</stp>
        <stp>GROSSINCOMEGROWTHQ7TOQ3</stp>
        <stp>0</stp>
        <stp>0</stp>
        <stp>0</stp>
        <stp>0</stp>
        <stp>0</stp>
        <tr r="J7" s="3"/>
      </tp>
      <tp>
        <v>43</v>
        <stp/>
        <stp>136</stp>
        <stp>MSFT</stp>
        <stp>PEUSINGAVEEPS3Y</stp>
        <stp>0</stp>
        <stp>0</stp>
        <stp>0</stp>
        <stp>0</stp>
        <stp>0</stp>
        <tr r="C42" s="6"/>
      </tp>
      <tp>
        <v>-0.3</v>
        <stp/>
        <stp>136</stp>
        <stp>BOOM</stp>
        <stp>GROSSOPERATINGINCOMEQ_X</stp>
        <stp>8</stp>
        <stp>0</stp>
        <stp>0</stp>
        <stp>0</stp>
        <stp>0</stp>
        <tr r="J15" s="11"/>
        <tr r="J15" s="12"/>
      </tp>
      <tp>
        <v>15.5</v>
        <stp/>
        <stp>136</stp>
        <stp>BOOM</stp>
        <stp>GROSSOPERATINGINCOMEQ_X</stp>
        <stp>4</stp>
        <stp>0</stp>
        <stp>0</stp>
        <stp>0</stp>
        <stp>0</stp>
        <tr r="F15" s="12"/>
        <tr r="F15" s="11"/>
      </tp>
      <tp>
        <v>5.3</v>
        <stp/>
        <stp>136</stp>
        <stp>BOOM</stp>
        <stp>GROSSOPERATINGINCOMEQ_X</stp>
        <stp>5</stp>
        <stp>0</stp>
        <stp>0</stp>
        <stp>0</stp>
        <stp>0</stp>
        <tr r="G15" s="11"/>
        <tr r="G15" s="12"/>
      </tp>
      <tp>
        <v>0.5</v>
        <stp/>
        <stp>136</stp>
        <stp>BOOM</stp>
        <stp>GROSSOPERATINGINCOMEQ_X</stp>
        <stp>6</stp>
        <stp>0</stp>
        <stp>0</stp>
        <stp>0</stp>
        <stp>0</stp>
        <tr r="H15" s="11"/>
        <tr r="H15" s="12"/>
      </tp>
      <tp>
        <v>-12.4</v>
        <stp/>
        <stp>136</stp>
        <stp>BOOM</stp>
        <stp>GROSSOPERATINGINCOMEQ_X</stp>
        <stp>7</stp>
        <stp>0</stp>
        <stp>0</stp>
        <stp>0</stp>
        <stp>0</stp>
        <tr r="I15" s="11"/>
        <tr r="I15" s="12"/>
      </tp>
      <tp>
        <v>20.399999999999999</v>
        <stp/>
        <stp>136</stp>
        <stp>BOOM</stp>
        <stp>GROSSOPERATINGINCOMEQ_X</stp>
        <stp>1</stp>
        <stp>0</stp>
        <stp>0</stp>
        <stp>0</stp>
        <stp>0</stp>
        <tr r="C15" s="11"/>
        <tr r="C15" s="12"/>
      </tp>
      <tp>
        <v>13</v>
        <stp/>
        <stp>136</stp>
        <stp>BOOM</stp>
        <stp>GROSSOPERATINGINCOMEQ_X</stp>
        <stp>2</stp>
        <stp>0</stp>
        <stp>0</stp>
        <stp>0</stp>
        <stp>0</stp>
        <tr r="D15" s="11"/>
        <tr r="D15" s="12"/>
      </tp>
      <tp>
        <v>8.8000000000000007</v>
        <stp/>
        <stp>136</stp>
        <stp>BOOM</stp>
        <stp>GROSSOPERATINGINCOMEQ_X</stp>
        <stp>3</stp>
        <stp>0</stp>
        <stp>0</stp>
        <stp>0</stp>
        <stp>0</stp>
        <tr r="E15" s="12"/>
        <tr r="E15" s="11"/>
      </tp>
      <tp>
        <v>80</v>
        <stp/>
        <stp>136</stp>
        <stp>MSFT</stp>
        <stp>PCNTRANKPEUSINGAVEEPS3Y</stp>
        <stp>0</stp>
        <stp>0</stp>
        <stp>0</stp>
        <stp>0</stp>
        <stp>0</stp>
        <tr r="F42" s="6"/>
      </tp>
      <tp>
        <v>1.9</v>
        <stp/>
        <stp>136</stp>
        <stp>MSFT</stp>
        <stp>SECTORRETURNONASSETSY_X</stp>
        <stp>7</stp>
        <stp>0</stp>
        <stp>0</stp>
        <stp>0</stp>
        <stp>0</stp>
        <tr r="J64" s="7"/>
      </tp>
      <tp>
        <v>1.8</v>
        <stp/>
        <stp>136</stp>
        <stp>MSFT</stp>
        <stp>SECTORRETURNONASSETSY_X</stp>
        <stp>6</stp>
        <stp>0</stp>
        <stp>0</stp>
        <stp>0</stp>
        <stp>0</stp>
        <tr r="I64" s="7"/>
      </tp>
      <tp>
        <v>0.9</v>
        <stp/>
        <stp>136</stp>
        <stp>MSFT</stp>
        <stp>SECTORRETURNONASSETSY_X</stp>
        <stp>5</stp>
        <stp>0</stp>
        <stp>0</stp>
        <stp>0</stp>
        <stp>0</stp>
        <tr r="H64" s="7"/>
      </tp>
      <tp>
        <v>-0.7</v>
        <stp/>
        <stp>136</stp>
        <stp>MSFT</stp>
        <stp>SECTORRETURNONASSETSY_X</stp>
        <stp>4</stp>
        <stp>0</stp>
        <stp>0</stp>
        <stp>0</stp>
        <stp>0</stp>
        <tr r="G64" s="7"/>
      </tp>
      <tp>
        <v>-0.8</v>
        <stp/>
        <stp>136</stp>
        <stp>MSFT</stp>
        <stp>SECTORRETURNONASSETSY_X</stp>
        <stp>3</stp>
        <stp>0</stp>
        <stp>0</stp>
        <stp>0</stp>
        <stp>0</stp>
        <tr r="F64" s="7"/>
      </tp>
      <tp>
        <v>-1.2</v>
        <stp/>
        <stp>136</stp>
        <stp>MSFT</stp>
        <stp>SECTORRETURNONASSETSY_X</stp>
        <stp>2</stp>
        <stp>0</stp>
        <stp>0</stp>
        <stp>0</stp>
        <stp>0</stp>
        <tr r="E64" s="7"/>
      </tp>
      <tp>
        <v>-1.1000000000000001</v>
        <stp/>
        <stp>136</stp>
        <stp>MSFT</stp>
        <stp>SECTORRETURNONASSETSY_X</stp>
        <stp>1</stp>
        <stp>0</stp>
        <stp>0</stp>
        <stp>0</stp>
        <stp>0</stp>
        <tr r="D64" s="7"/>
      </tp>
      <tp t="s">
        <v>Insiders -Sell Trades</v>
        <stp/>
        <stp>137</stp>
        <stp/>
        <stp>INSIDERSELLTRADES</stp>
        <stp>0</stp>
        <stp>0</stp>
        <stp>0</stp>
        <stp>0</stp>
        <stp>0</stp>
        <tr r="B36" s="5"/>
      </tp>
      <tp>
        <v>22.887</v>
        <stp/>
        <stp>136</stp>
        <stp>AAPL</stp>
        <stp>INDUSTRYFLOAT</stp>
        <stp>0</stp>
        <stp>0</stp>
        <stp>0</stp>
        <stp>0</stp>
        <stp>0</stp>
        <tr r="D37" s="5"/>
      </tp>
      <tp t="s">
        <v>Return on Equity</v>
        <stp/>
        <stp>137</stp>
        <stp/>
        <stp>RETURNONEQUITYY_X</stp>
        <stp>0</stp>
        <stp>0</stp>
        <stp>0</stp>
        <stp>0</stp>
        <stp>0</stp>
        <tr r="B11" s="7"/>
      </tp>
      <tp t="s">
        <v>% Rank-Net Income Growth</v>
        <stp/>
        <stp>137</stp>
        <stp/>
        <stp>PCNTRANKNETINCOMEGROWTH1Y</stp>
        <stp>1</stp>
        <stp>0</stp>
        <stp>0</stp>
        <stp>0</stp>
        <stp>0</stp>
        <tr r="B52" s="3"/>
      </tp>
      <tp>
        <v>40.9</v>
        <stp/>
        <stp>136</stp>
        <stp>MSFT</stp>
        <stp>INDUSTRYPRICEPERFCFPS</stp>
        <stp>0</stp>
        <stp>0</stp>
        <stp>0</stp>
        <stp>0</stp>
        <stp>0</stp>
        <tr r="C18" s="6"/>
      </tp>
      <tp>
        <v>0.33300000000000002</v>
        <stp/>
        <stp>136</stp>
        <stp>MSFT</stp>
        <stp>EPSESTSTDDEVY2</stp>
        <stp>4</stp>
        <stp>0</stp>
        <stp>0</stp>
        <stp>0</stp>
        <stp>0</stp>
        <tr r="G9" s="8"/>
      </tp>
      <tp t="s">
        <v>Payout - 7 Year Avg.</v>
        <stp/>
        <stp>137</stp>
        <stp/>
        <stp>PAYOUTAVE7Y</stp>
        <stp>0</stp>
        <stp>0</stp>
        <stp>0</stp>
        <stp>0</stp>
        <stp>0</stp>
        <tr r="B103" s="5"/>
      </tp>
      <tp t="s">
        <v>Sector LT debt/total capital</v>
        <stp/>
        <stp>137</stp>
        <stp/>
        <stp>SECTORLTDEBTTOTALCAPITALY_X</stp>
        <stp>0</stp>
        <stp>0</stp>
        <stp>0</stp>
        <stp>0</stp>
        <stp>0</stp>
        <tr r="B75" s="7"/>
      </tp>
      <tp>
        <v>2.7</v>
        <stp/>
        <stp>136</stp>
        <stp>BOOM</stp>
        <stp>SECTORNETINCOMEGROWTH7Y</stp>
        <stp>0</stp>
        <stp>0</stp>
        <stp>0</stp>
        <stp>0</stp>
        <stp>0</stp>
        <tr r="F38" s="3"/>
      </tp>
      <tp>
        <v>8.1</v>
        <stp/>
        <stp>136</stp>
        <stp>BOOM</stp>
        <stp>SECTORNETINCOMEGROWTH5Y</stp>
        <stp>0</stp>
        <stp>0</stp>
        <stp>0</stp>
        <stp>0</stp>
        <stp>0</stp>
        <tr r="E38" s="3"/>
      </tp>
      <tp>
        <v>17.100000000000001</v>
        <stp/>
        <stp>136</stp>
        <stp>BOOM</stp>
        <stp>SECTORNETINCOMEGROWTH3Y</stp>
        <stp>0</stp>
        <stp>0</stp>
        <stp>0</stp>
        <stp>0</stp>
        <stp>0</stp>
        <tr r="D38" s="3"/>
      </tp>
      <tp>
        <v>1.2</v>
        <stp/>
        <stp>136</stp>
        <stp>BOOM</stp>
        <stp>SECTORNETINCOMEGROWTH1Y</stp>
        <stp>0</stp>
        <stp>0</stp>
        <stp>0</stp>
        <stp>0</stp>
        <stp>0</stp>
        <tr r="C38" s="3"/>
      </tp>
      <tp t="s">
        <v>Flash - Long-Term Debt</v>
        <stp/>
        <stp>137</stp>
        <stp/>
        <stp>FLASHLTDEBT</stp>
        <stp>0</stp>
        <stp>0</stp>
        <stp>0</stp>
        <stp>0</stp>
        <stp>0</stp>
        <tr r="B84" s="5"/>
      </tp>
      <tp t="s">
        <v>Buffett Price Growth-EPS Gr.</v>
        <stp/>
        <stp>137</stp>
        <stp/>
        <stp>BUFFETTPRICEGROWTHEPSGROWTH</stp>
        <stp>0</stp>
        <stp>0</stp>
        <stp>0</stp>
        <stp>0</stp>
        <stp>0</stp>
        <tr r="B18" s="9"/>
      </tp>
      <tp>
        <v>451</v>
        <stp/>
        <stp>136</stp>
        <stp>BOOM</stp>
        <stp>EPSGROWTHQ8TOQ4</stp>
        <stp>0</stp>
        <stp>0</stp>
        <stp>0</stp>
        <stp>0</stp>
        <stp>0</stp>
        <tr r="K11" s="3"/>
      </tp>
      <tp t="s">
        <v>Institutional Shareholders</v>
        <stp/>
        <stp>137</stp>
        <stp/>
        <stp>INSTITUTIONALSHAREHOLDERS</stp>
        <stp>0</stp>
        <stp>0</stp>
        <stp>0</stp>
        <stp>0</stp>
        <stp>0</stp>
        <tr r="B29" s="5"/>
      </tp>
      <tp>
        <v>42916</v>
        <stp/>
        <stp>136</stp>
        <stp>BOOM</stp>
        <stp>ENDINGDATEQ_X</stp>
        <stp>8</stp>
        <stp>0</stp>
        <stp>0</stp>
        <stp>0</stp>
        <stp>0</stp>
        <tr r="J6" s="12"/>
        <tr r="J6" s="11"/>
      </tp>
      <tp>
        <v>43555</v>
        <stp/>
        <stp>136</stp>
        <stp>BOOM</stp>
        <stp>ENDINGDATEQ_X</stp>
        <stp>1</stp>
        <stp>0</stp>
        <stp>0</stp>
        <stp>0</stp>
        <stp>0</stp>
        <tr r="C6" s="11"/>
        <tr r="C6" s="12"/>
      </tp>
      <tp>
        <v>43373</v>
        <stp/>
        <stp>136</stp>
        <stp>BOOM</stp>
        <stp>ENDINGDATEQ_X</stp>
        <stp>3</stp>
        <stp>0</stp>
        <stp>0</stp>
        <stp>0</stp>
        <stp>0</stp>
        <tr r="E6" s="11"/>
        <tr r="E6" s="12"/>
      </tp>
      <tp>
        <v>43465</v>
        <stp/>
        <stp>136</stp>
        <stp>BOOM</stp>
        <stp>ENDINGDATEQ_X</stp>
        <stp>2</stp>
        <stp>0</stp>
        <stp>0</stp>
        <stp>0</stp>
        <stp>0</stp>
        <tr r="D6" s="11"/>
        <tr r="D6" s="12"/>
      </tp>
      <tp>
        <v>43190</v>
        <stp/>
        <stp>136</stp>
        <stp>BOOM</stp>
        <stp>ENDINGDATEQ_X</stp>
        <stp>5</stp>
        <stp>0</stp>
        <stp>0</stp>
        <stp>0</stp>
        <stp>0</stp>
        <tr r="G6" s="11"/>
        <tr r="G6" s="12"/>
      </tp>
      <tp>
        <v>43281</v>
        <stp/>
        <stp>136</stp>
        <stp>BOOM</stp>
        <stp>ENDINGDATEQ_X</stp>
        <stp>4</stp>
        <stp>0</stp>
        <stp>0</stp>
        <stp>0</stp>
        <stp>0</stp>
        <tr r="F6" s="11"/>
        <tr r="F6" s="12"/>
      </tp>
      <tp>
        <v>43008</v>
        <stp/>
        <stp>136</stp>
        <stp>BOOM</stp>
        <stp>ENDINGDATEQ_X</stp>
        <stp>7</stp>
        <stp>0</stp>
        <stp>0</stp>
        <stp>0</stp>
        <stp>0</stp>
        <tr r="I6" s="12"/>
        <tr r="I6" s="11"/>
      </tp>
      <tp>
        <v>43100</v>
        <stp/>
        <stp>136</stp>
        <stp>BOOM</stp>
        <stp>ENDINGDATEQ_X</stp>
        <stp>6</stp>
        <stp>0</stp>
        <stp>0</stp>
        <stp>0</stp>
        <stp>0</stp>
        <tr r="H6" s="11"/>
        <tr r="H6" s="12"/>
      </tp>
      <tp>
        <v>31.4</v>
        <stp/>
        <stp>136</stp>
        <stp>BOOM</stp>
        <stp>INDUSTRYFREECASHFLOWGROWTH12M</stp>
        <stp>0</stp>
        <stp>0</stp>
        <stp>0</stp>
        <stp>0</stp>
        <stp>0</stp>
        <tr r="G30" s="3"/>
      </tp>
      <tp>
        <v>17208</v>
        <stp/>
        <stp>136</stp>
        <stp>MSFT</stp>
        <stp>ACCOUNTSRECEIVABLEQ_X</stp>
        <stp>5</stp>
        <stp>0</stp>
        <stp>0</stp>
        <stp>0</stp>
        <stp>0</stp>
        <tr r="G59" s="1"/>
      </tp>
      <tp>
        <v>26481</v>
        <stp/>
        <stp>136</stp>
        <stp>MSFT</stp>
        <stp>ACCOUNTSRECEIVABLEQ_X</stp>
        <stp>4</stp>
        <stp>0</stp>
        <stp>0</stp>
        <stp>0</stp>
        <stp>0</stp>
        <tr r="F59" s="1"/>
      </tp>
      <tp>
        <v>14561</v>
        <stp/>
        <stp>136</stp>
        <stp>MSFT</stp>
        <stp>ACCOUNTSRECEIVABLEQ_X</stp>
        <stp>7</stp>
        <stp>0</stp>
        <stp>0</stp>
        <stp>0</stp>
        <stp>0</stp>
        <tr r="I59" s="1"/>
      </tp>
      <tp>
        <v>18428</v>
        <stp/>
        <stp>136</stp>
        <stp>MSFT</stp>
        <stp>ACCOUNTSRECEIVABLEQ_X</stp>
        <stp>6</stp>
        <stp>0</stp>
        <stp>0</stp>
        <stp>0</stp>
        <stp>0</stp>
        <tr r="H59" s="1"/>
      </tp>
      <tp>
        <v>19269</v>
        <stp/>
        <stp>136</stp>
        <stp>MSFT</stp>
        <stp>ACCOUNTSRECEIVABLEQ_X</stp>
        <stp>1</stp>
        <stp>0</stp>
        <stp>0</stp>
        <stp>0</stp>
        <stp>0</stp>
        <tr r="C59" s="1"/>
      </tp>
      <tp>
        <v>17390</v>
        <stp/>
        <stp>136</stp>
        <stp>MSFT</stp>
        <stp>ACCOUNTSRECEIVABLEQ_X</stp>
        <stp>3</stp>
        <stp>0</stp>
        <stp>0</stp>
        <stp>0</stp>
        <stp>0</stp>
        <tr r="E59" s="1"/>
      </tp>
      <tp>
        <v>19680</v>
        <stp/>
        <stp>136</stp>
        <stp>MSFT</stp>
        <stp>ACCOUNTSRECEIVABLEQ_X</stp>
        <stp>2</stp>
        <stp>0</stp>
        <stp>0</stp>
        <stp>0</stp>
        <stp>0</stp>
        <tr r="D59" s="1"/>
      </tp>
      <tp>
        <v>22431</v>
        <stp/>
        <stp>136</stp>
        <stp>MSFT</stp>
        <stp>ACCOUNTSRECEIVABLEQ_X</stp>
        <stp>8</stp>
        <stp>0</stp>
        <stp>0</stp>
        <stp>0</stp>
        <stp>0</stp>
        <tr r="J59" s="1"/>
      </tp>
      <tp>
        <v>7.71</v>
        <stp/>
        <stp>136</stp>
        <stp>MSFT</stp>
        <stp>PRICEPERSALES1YEARAGO</stp>
        <stp>0</stp>
        <stp>0</stp>
        <stp>0</stp>
        <stp>0</stp>
        <stp>0</stp>
        <tr r="D8" s="6"/>
      </tp>
      <tp>
        <v>98</v>
        <stp/>
        <stp>136</stp>
        <stp>AAPL</stp>
        <stp>PCNTRANKPRICELOW52WEEK</stp>
        <stp>0</stp>
        <stp>0</stp>
        <stp>0</stp>
        <stp>0</stp>
        <stp>0</stp>
        <tr r="F24" s="5"/>
      </tp>
      <tp>
        <v>69</v>
        <stp/>
        <stp>136</stp>
        <stp>MSFT</stp>
        <stp>PCNTRANKLTDEBTTOTALCAPITALQ1</stp>
        <stp>0</stp>
        <stp>0</stp>
        <stp>0</stp>
        <stp>0</stp>
        <stp>0</stp>
        <tr r="C102" s="7"/>
      </tp>
      <tp>
        <v>2689</v>
        <stp/>
        <stp>136</stp>
        <stp>MSFT</stp>
        <stp>INTERESTEXPENSENONOP12M</stp>
        <stp>0</stp>
        <stp>0</stp>
        <stp>0</stp>
        <stp>0</stp>
        <stp>0</stp>
        <tr r="L19" s="1"/>
      </tp>
      <tp t="s">
        <v>Valuation-PE</v>
        <stp/>
        <stp>137</stp>
        <stp/>
        <stp>VALUATIONPE</stp>
        <stp>0</stp>
        <stp>0</stp>
        <stp>0</stp>
        <stp>0</stp>
        <stp>0</stp>
        <tr r="B7" s="9"/>
      </tp>
      <tp>
        <v>0.14099999999999999</v>
        <stp/>
        <stp>136</stp>
        <stp>MSFT</stp>
        <stp>QTRLYSURPRISEDIFFERENCE</stp>
        <stp>0</stp>
        <stp>0</stp>
        <stp>0</stp>
        <stp>0</stp>
        <stp>0</stp>
        <tr r="C26" s="8"/>
      </tp>
      <tp>
        <v>96</v>
        <stp/>
        <stp>136</stp>
        <stp>BOOM</stp>
        <stp>PCNTRANKEPSCONTGROWTH1Y</stp>
        <stp>0</stp>
        <stp>0</stp>
        <stp>0</stp>
        <stp>0</stp>
        <stp>0</stp>
        <tr r="C54" s="3"/>
      </tp>
      <tp>
        <v>85</v>
        <stp/>
        <stp>136</stp>
        <stp>BOOM</stp>
        <stp>PCNTRANKEPSCONTGROWTH3Y</stp>
        <stp>0</stp>
        <stp>0</stp>
        <stp>0</stp>
        <stp>0</stp>
        <stp>0</stp>
        <tr r="D54" s="3"/>
      </tp>
      <tp>
        <v>87</v>
        <stp/>
        <stp>136</stp>
        <stp>BOOM</stp>
        <stp>PCNTRANKEPSCONTGROWTH5Y</stp>
        <stp>0</stp>
        <stp>0</stp>
        <stp>0</stp>
        <stp>0</stp>
        <stp>0</stp>
        <tr r="E54" s="3"/>
      </tp>
      <tp>
        <v>63</v>
        <stp/>
        <stp>136</stp>
        <stp>BOOM</stp>
        <stp>PCNTRANKEPSCONTGROWTH7Y</stp>
        <stp>0</stp>
        <stp>0</stp>
        <stp>0</stp>
        <stp>0</stp>
        <stp>0</stp>
        <tr r="F54" s="3"/>
      </tp>
      <tp>
        <v>27.8</v>
        <stp/>
        <stp>136</stp>
        <stp>BOOM</stp>
        <stp>OPERATINGINCOMEGROWTH5Y</stp>
        <stp>0</stp>
        <stp>0</stp>
        <stp>0</stp>
        <stp>0</stp>
        <stp>0</stp>
        <tr r="E9" s="3"/>
      </tp>
      <tp>
        <v>10.8</v>
        <stp/>
        <stp>136</stp>
        <stp>BOOM</stp>
        <stp>OPERATINGINCOMEGROWTH7Y</stp>
        <stp>0</stp>
        <stp>0</stp>
        <stp>0</stp>
        <stp>0</stp>
        <stp>0</stp>
        <tr r="F9" s="3"/>
      </tp>
      <tp>
        <v>405.3</v>
        <stp/>
        <stp>136</stp>
        <stp>BOOM</stp>
        <stp>OPERATINGINCOMEGROWTH1Y</stp>
        <stp>0</stp>
        <stp>0</stp>
        <stp>0</stp>
        <stp>0</stp>
        <stp>0</stp>
        <tr r="C9" s="3"/>
      </tp>
      <tp>
        <v>53</v>
        <stp/>
        <stp>136</stp>
        <stp>BOOM</stp>
        <stp>OPERATINGINCOMEGROWTH3Y</stp>
        <stp>0</stp>
        <stp>0</stp>
        <stp>0</stp>
        <stp>0</stp>
        <stp>0</stp>
        <tr r="D9" s="3"/>
      </tp>
      <tp>
        <v>47.6</v>
        <stp/>
        <stp>136</stp>
        <stp>BOOM</stp>
        <stp>EPSCONTGROWTH3Y</stp>
        <stp>0</stp>
        <stp>0</stp>
        <stp>0</stp>
        <stp>0</stp>
        <stp>0</stp>
        <tr r="D12" s="3"/>
      </tp>
      <tp>
        <v>267.5</v>
        <stp/>
        <stp>136</stp>
        <stp>BOOM</stp>
        <stp>EPSCONTGROWTH1Y</stp>
        <stp>0</stp>
        <stp>0</stp>
        <stp>0</stp>
        <stp>0</stp>
        <stp>0</stp>
        <tr r="C12" s="3"/>
      </tp>
      <tp>
        <v>12.2</v>
        <stp/>
        <stp>136</stp>
        <stp>BOOM</stp>
        <stp>EPSCONTGROWTH7Y</stp>
        <stp>0</stp>
        <stp>0</stp>
        <stp>0</stp>
        <stp>0</stp>
        <stp>0</stp>
        <tr r="F12" s="3"/>
      </tp>
      <tp>
        <v>36.5</v>
        <stp/>
        <stp>136</stp>
        <stp>BOOM</stp>
        <stp>EPSCONTGROWTH5Y</stp>
        <stp>0</stp>
        <stp>0</stp>
        <stp>0</stp>
        <stp>0</stp>
        <stp>0</stp>
        <tr r="E12" s="3"/>
      </tp>
      <tp t="s">
        <v>Dividend</v>
        <stp/>
        <stp>137</stp>
        <stp/>
        <stp>DIVIDENDQ_X</stp>
        <stp>0</stp>
        <stp>0</stp>
        <stp>0</stp>
        <stp>0</stp>
        <stp>0</stp>
        <tr r="B33" s="12"/>
        <tr r="B33" s="11"/>
        <tr r="B35" s="1"/>
      </tp>
      <tp>
        <v>1.3</v>
        <stp/>
        <stp>136</stp>
        <stp>MSFT</stp>
        <stp>INDUSTRYLTDEBTTOTALCAPITALY_X</stp>
        <stp>3</stp>
        <stp>0</stp>
        <stp>0</stp>
        <stp>0</stp>
        <stp>0</stp>
        <tr r="F48" s="7"/>
      </tp>
      <tp>
        <v>1.1000000000000001</v>
        <stp/>
        <stp>136</stp>
        <stp>MSFT</stp>
        <stp>INDUSTRYLTDEBTTOTALCAPITALY_X</stp>
        <stp>2</stp>
        <stp>0</stp>
        <stp>0</stp>
        <stp>0</stp>
        <stp>0</stp>
        <tr r="E48" s="7"/>
      </tp>
      <tp>
        <v>6</v>
        <stp/>
        <stp>136</stp>
        <stp>MSFT</stp>
        <stp>INDUSTRYLTDEBTTOTALCAPITALY_X</stp>
        <stp>1</stp>
        <stp>0</stp>
        <stp>0</stp>
        <stp>0</stp>
        <stp>0</stp>
        <tr r="D48" s="7"/>
      </tp>
      <tp>
        <v>0</v>
        <stp/>
        <stp>136</stp>
        <stp>MSFT</stp>
        <stp>INDUSTRYLTDEBTTOTALCAPITALY_X</stp>
        <stp>7</stp>
        <stp>0</stp>
        <stp>0</stp>
        <stp>0</stp>
        <stp>0</stp>
        <tr r="J48" s="7"/>
      </tp>
      <tp>
        <v>0</v>
        <stp/>
        <stp>136</stp>
        <stp>MSFT</stp>
        <stp>INDUSTRYLTDEBTTOTALCAPITALY_X</stp>
        <stp>6</stp>
        <stp>0</stp>
        <stp>0</stp>
        <stp>0</stp>
        <stp>0</stp>
        <tr r="I48" s="7"/>
      </tp>
      <tp>
        <v>0</v>
        <stp/>
        <stp>136</stp>
        <stp>MSFT</stp>
        <stp>INDUSTRYLTDEBTTOTALCAPITALY_X</stp>
        <stp>5</stp>
        <stp>0</stp>
        <stp>0</stp>
        <stp>0</stp>
        <stp>0</stp>
        <tr r="H48" s="7"/>
      </tp>
      <tp>
        <v>0</v>
        <stp/>
        <stp>136</stp>
        <stp>MSFT</stp>
        <stp>INDUSTRYLTDEBTTOTALCAPITALY_X</stp>
        <stp>4</stp>
        <stp>0</stp>
        <stp>0</stp>
        <stp>0</stp>
        <stp>0</stp>
        <tr r="G48" s="7"/>
      </tp>
      <tp t="s">
        <v>% Rank-Return on Equity</v>
        <stp/>
        <stp>137</stp>
        <stp/>
        <stp>PCNTRANKRETURNONEQUITYY_X</stp>
        <stp>0</stp>
        <stp>0</stp>
        <stp>0</stp>
        <stp>0</stp>
        <stp>0</stp>
        <tr r="B92" s="7"/>
      </tp>
      <tp t="s">
        <v>Flash - Date</v>
        <stp/>
        <stp>137</stp>
        <stp/>
        <stp>FLASHDATE</stp>
        <stp>0</stp>
        <stp>0</stp>
        <stp>0</stp>
        <stp>0</stp>
        <stp>0</stp>
        <tr r="B77" s="5"/>
      </tp>
      <tp t="s">
        <v>Net Income-Growth</v>
        <stp/>
        <stp>137</stp>
        <stp/>
        <stp>NETINCOMEGROWTH1Y</stp>
        <stp>1</stp>
        <stp>0</stp>
        <stp>0</stp>
        <stp>0</stp>
        <stp>0</stp>
        <tr r="B10" s="3"/>
      </tp>
      <tp>
        <v>2.7690000000000001</v>
        <stp/>
        <stp>136</stp>
        <stp>BOOM</stp>
        <stp>EPSDILUTED12M</stp>
        <stp>0</stp>
        <stp>0</stp>
        <stp>0</stp>
        <stp>0</stp>
        <stp>0</stp>
        <tr r="L31" s="12"/>
        <tr r="L31" s="11"/>
      </tp>
      <tp>
        <v>2.3E-2</v>
        <stp/>
        <stp>136</stp>
        <stp>MSFT</stp>
        <stp>EPSESTSTDDEVY0</stp>
        <stp>2</stp>
        <stp>0</stp>
        <stp>0</stp>
        <stp>0</stp>
        <stp>0</stp>
        <tr r="E9" s="8"/>
      </tp>
      <tp>
        <v>2.4E-2</v>
        <stp/>
        <stp>136</stp>
        <stp>MSFT</stp>
        <stp>EPSESTSTDDEVQ0</stp>
        <stp>0</stp>
        <stp>0</stp>
        <stp>0</stp>
        <stp>0</stp>
        <stp>0</stp>
        <tr r="C9" s="8"/>
      </tp>
      <tp t="s">
        <v>Sector Price/FCFPS</v>
        <stp/>
        <stp>137</stp>
        <stp/>
        <stp>SECTORPRICEPERFCFPS</stp>
        <stp>0</stp>
        <stp>0</stp>
        <stp>0</stp>
        <stp>0</stp>
        <stp>0</stp>
        <tr r="B26" s="6"/>
      </tp>
      <tp>
        <v>125</v>
        <stp/>
        <stp>136</stp>
        <stp>AAPL</stp>
        <stp>SECTORINSTITUTIONALSHAREHOLDERS</stp>
        <stp>0</stp>
        <stp>0</stp>
        <stp>0</stp>
        <stp>0</stp>
        <stp>0</stp>
        <tr r="E29" s="5"/>
      </tp>
      <tp>
        <v>3.5</v>
        <stp/>
        <stp>136</stp>
        <stp>BOOM</stp>
        <stp>OTHERLTLIABILITIESQ_X</stp>
        <stp>3</stp>
        <stp>0</stp>
        <stp>0</stp>
        <stp>0</stp>
        <stp>0</stp>
        <tr r="E75" s="11"/>
        <tr r="E75" s="12"/>
      </tp>
      <tp>
        <v>3.3</v>
        <stp/>
        <stp>136</stp>
        <stp>BOOM</stp>
        <stp>OTHERLTLIABILITIESQ_X</stp>
        <stp>2</stp>
        <stp>0</stp>
        <stp>0</stp>
        <stp>0</stp>
        <stp>0</stp>
        <tr r="D75" s="11"/>
        <tr r="D75" s="12"/>
      </tp>
      <tp>
        <v>10</v>
        <stp/>
        <stp>136</stp>
        <stp>BOOM</stp>
        <stp>OTHERLTLIABILITIESQ_X</stp>
        <stp>1</stp>
        <stp>0</stp>
        <stp>0</stp>
        <stp>0</stp>
        <stp>0</stp>
        <tr r="C75" s="11"/>
        <tr r="C75" s="12"/>
      </tp>
      <tp>
        <v>3.6</v>
        <stp/>
        <stp>136</stp>
        <stp>BOOM</stp>
        <stp>OTHERLTLIABILITIESQ_X</stp>
        <stp>7</stp>
        <stp>0</stp>
        <stp>0</stp>
        <stp>0</stp>
        <stp>0</stp>
        <tr r="I75" s="12"/>
        <tr r="I75" s="11"/>
      </tp>
      <tp>
        <v>3.7</v>
        <stp/>
        <stp>136</stp>
        <stp>BOOM</stp>
        <stp>OTHERLTLIABILITIESQ_X</stp>
        <stp>6</stp>
        <stp>0</stp>
        <stp>0</stp>
        <stp>0</stp>
        <stp>0</stp>
        <tr r="H75" s="12"/>
        <tr r="H75" s="11"/>
      </tp>
      <tp>
        <v>3.3</v>
        <stp/>
        <stp>136</stp>
        <stp>BOOM</stp>
        <stp>OTHERLTLIABILITIESQ_X</stp>
        <stp>5</stp>
        <stp>0</stp>
        <stp>0</stp>
        <stp>0</stp>
        <stp>0</stp>
        <tr r="G75" s="11"/>
        <tr r="G75" s="12"/>
      </tp>
      <tp>
        <v>3.6</v>
        <stp/>
        <stp>136</stp>
        <stp>BOOM</stp>
        <stp>OTHERLTLIABILITIESQ_X</stp>
        <stp>4</stp>
        <stp>0</stp>
        <stp>0</stp>
        <stp>0</stp>
        <stp>0</stp>
        <tr r="F75" s="11"/>
        <tr r="F75" s="12"/>
      </tp>
      <tp>
        <v>3.9</v>
        <stp/>
        <stp>136</stp>
        <stp>BOOM</stp>
        <stp>OTHERLTLIABILITIESQ_X</stp>
        <stp>8</stp>
        <stp>0</stp>
        <stp>0</stp>
        <stp>0</stp>
        <stp>0</stp>
        <tr r="J75" s="11"/>
        <tr r="J75" s="12"/>
      </tp>
      <tp t="s">
        <v>Net Fixed Assets (PP&amp;E)</v>
        <stp/>
        <stp>137</stp>
        <stp/>
        <stp>NETFIXEDASSETSQ_X</stp>
        <stp>0</stp>
        <stp>0</stp>
        <stp>0</stp>
        <stp>0</stp>
        <stp>0</stp>
        <tr r="D43" s="13"/>
        <tr r="B62" s="11"/>
        <tr r="B64" s="1"/>
        <tr r="B62" s="12"/>
      </tp>
      <tp t="s">
        <v>Preferred Stock</v>
        <stp/>
        <stp>137</stp>
        <stp/>
        <stp>PREFERREDSTOCKQ_X</stp>
        <stp>0</stp>
        <stp>0</stp>
        <stp>0</stp>
        <stp>0</stp>
        <stp>0</stp>
        <tr r="B78" s="11"/>
        <tr r="B78" s="12"/>
        <tr r="B80" s="1"/>
      </tp>
      <tp>
        <v>85</v>
        <stp/>
        <stp>136</stp>
        <stp>MSFT</stp>
        <stp>PCNTRANKPRICEPERSALES1YEARAGO</stp>
        <stp>0</stp>
        <stp>0</stp>
        <stp>0</stp>
        <stp>0</stp>
        <stp>0</stp>
        <tr r="D32" s="6"/>
      </tp>
      <tp>
        <v>0.14000000000000001</v>
        <stp/>
        <stp>136</stp>
        <stp>MSFT</stp>
        <stp>EPSESTSTDDEVY1</stp>
        <stp>3</stp>
        <stp>0</stp>
        <stp>0</stp>
        <stp>0</stp>
        <stp>0</stp>
        <tr r="F9" s="8"/>
      </tp>
      <tp>
        <v>3.7999999999999999E-2</v>
        <stp/>
        <stp>136</stp>
        <stp>MSFT</stp>
        <stp>EPSESTSTDDEVQ1</stp>
        <stp>0</stp>
        <stp>0</stp>
        <stp>0</stp>
        <stp>0</stp>
        <stp>0</stp>
        <tr r="D9" s="8"/>
      </tp>
      <tp>
        <v>79</v>
        <stp/>
        <stp>136</stp>
        <stp>MSFT</stp>
        <stp>PCNTRANKQUICKRATIOQ1</stp>
        <stp>0</stp>
        <stp>0</stp>
        <stp>0</stp>
        <stp>0</stp>
        <stp>0</stp>
        <tr r="C95" s="7"/>
      </tp>
      <tp>
        <v>250312</v>
        <stp/>
        <stp>136</stp>
        <stp>MSFT</stp>
        <stp>LIABILITIESANDEQUITYQ_X</stp>
        <stp>8</stp>
        <stp>0</stp>
        <stp>0</stp>
        <stp>0</stp>
        <stp>0</stp>
        <tr r="J82" s="1"/>
      </tp>
      <tp>
        <v>258848</v>
        <stp/>
        <stp>136</stp>
        <stp>MSFT</stp>
        <stp>LIABILITIESANDEQUITYQ_X</stp>
        <stp>4</stp>
        <stp>0</stp>
        <stp>0</stp>
        <stp>0</stp>
        <stp>0</stp>
        <tr r="F82" s="1"/>
      </tp>
      <tp>
        <v>245497</v>
        <stp/>
        <stp>136</stp>
        <stp>MSFT</stp>
        <stp>LIABILITIESANDEQUITYQ_X</stp>
        <stp>5</stp>
        <stp>0</stp>
        <stp>0</stp>
        <stp>0</stp>
        <stp>0</stp>
        <tr r="G82" s="1"/>
      </tp>
      <tp>
        <v>256003</v>
        <stp/>
        <stp>136</stp>
        <stp>MSFT</stp>
        <stp>LIABILITIESANDEQUITYQ_X</stp>
        <stp>6</stp>
        <stp>0</stp>
        <stp>0</stp>
        <stp>0</stp>
        <stp>0</stp>
        <tr r="H82" s="1"/>
      </tp>
      <tp>
        <v>249097</v>
        <stp/>
        <stp>136</stp>
        <stp>MSFT</stp>
        <stp>LIABILITIESANDEQUITYQ_X</stp>
        <stp>7</stp>
        <stp>0</stp>
        <stp>0</stp>
        <stp>0</stp>
        <stp>0</stp>
        <tr r="I82" s="1"/>
      </tp>
      <tp>
        <v>263281</v>
        <stp/>
        <stp>136</stp>
        <stp>MSFT</stp>
        <stp>LIABILITIESANDEQUITYQ_X</stp>
        <stp>1</stp>
        <stp>0</stp>
        <stp>0</stp>
        <stp>0</stp>
        <stp>0</stp>
        <tr r="C82" s="1"/>
      </tp>
      <tp>
        <v>258859</v>
        <stp/>
        <stp>136</stp>
        <stp>MSFT</stp>
        <stp>LIABILITIESANDEQUITYQ_X</stp>
        <stp>2</stp>
        <stp>0</stp>
        <stp>0</stp>
        <stp>0</stp>
        <stp>0</stp>
        <tr r="D82" s="1"/>
      </tp>
      <tp>
        <v>257619</v>
        <stp/>
        <stp>136</stp>
        <stp>MSFT</stp>
        <stp>LIABILITIESANDEQUITYQ_X</stp>
        <stp>3</stp>
        <stp>0</stp>
        <stp>0</stp>
        <stp>0</stp>
        <stp>0</stp>
        <tr r="E82" s="1"/>
      </tp>
      <tp>
        <v>6.6</v>
        <stp/>
        <stp>136</stp>
        <stp>BOOM</stp>
        <stp>CASHQ_X</stp>
        <stp>4</stp>
        <stp>0</stp>
        <stp>0</stp>
        <stp>0</stp>
        <stp>0</stp>
        <tr r="F55" s="12"/>
        <tr r="F55" s="11"/>
      </tp>
      <tp>
        <v>10.8</v>
        <stp/>
        <stp>136</stp>
        <stp>BOOM</stp>
        <stp>CASHQ_X</stp>
        <stp>5</stp>
        <stp>0</stp>
        <stp>0</stp>
        <stp>0</stp>
        <stp>0</stp>
        <tr r="G55" s="12"/>
        <tr r="G55" s="11"/>
      </tp>
      <tp>
        <v>9</v>
        <stp/>
        <stp>136</stp>
        <stp>BOOM</stp>
        <stp>CASHQ_X</stp>
        <stp>6</stp>
        <stp>0</stp>
        <stp>0</stp>
        <stp>0</stp>
        <stp>0</stp>
        <tr r="H55" s="12"/>
        <tr r="H55" s="11"/>
      </tp>
      <tp>
        <v>8.9</v>
        <stp/>
        <stp>136</stp>
        <stp>BOOM</stp>
        <stp>CASHQ_X</stp>
        <stp>7</stp>
        <stp>0</stp>
        <stp>0</stp>
        <stp>0</stp>
        <stp>0</stp>
        <tr r="I55" s="11"/>
        <tr r="I55" s="12"/>
      </tp>
      <tp>
        <v>14.9</v>
        <stp/>
        <stp>136</stp>
        <stp>BOOM</stp>
        <stp>CASHQ_X</stp>
        <stp>1</stp>
        <stp>0</stp>
        <stp>0</stp>
        <stp>0</stp>
        <stp>0</stp>
        <tr r="C55" s="11"/>
        <tr r="C55" s="12"/>
      </tp>
      <tp>
        <v>13.4</v>
        <stp/>
        <stp>136</stp>
        <stp>BOOM</stp>
        <stp>CASHQ_X</stp>
        <stp>2</stp>
        <stp>0</stp>
        <stp>0</stp>
        <stp>0</stp>
        <stp>0</stp>
        <tr r="D55" s="11"/>
        <tr r="D55" s="12"/>
      </tp>
      <tp>
        <v>11.1</v>
        <stp/>
        <stp>136</stp>
        <stp>BOOM</stp>
        <stp>CASHQ_X</stp>
        <stp>3</stp>
        <stp>0</stp>
        <stp>0</stp>
        <stp>0</stp>
        <stp>0</stp>
        <tr r="E55" s="11"/>
        <tr r="E55" s="12"/>
      </tp>
      <tp>
        <v>8.6</v>
        <stp/>
        <stp>136</stp>
        <stp>BOOM</stp>
        <stp>CASHQ_X</stp>
        <stp>8</stp>
        <stp>0</stp>
        <stp>0</stp>
        <stp>0</stp>
        <stp>0</stp>
        <tr r="J55" s="12"/>
        <tr r="J55" s="11"/>
      </tp>
      <tp>
        <v>5.48</v>
        <stp/>
        <stp>136</stp>
        <stp>AAPL</stp>
        <stp>PRICECHANGE4W</stp>
        <stp>0</stp>
        <stp>0</stp>
        <stp>0</stp>
        <stp>0</stp>
        <stp>0</stp>
        <tr r="C56" s="5"/>
      </tp>
      <tp>
        <v>53861</v>
        <stp/>
        <stp>136</stp>
        <stp>MSFT</stp>
        <stp>CURRENTLIABILITIESQ_X</stp>
        <stp>1</stp>
        <stp>0</stp>
        <stp>0</stp>
        <stp>0</stp>
        <stp>0</stp>
        <tr r="C74" s="1"/>
      </tp>
      <tp>
        <v>50318</v>
        <stp/>
        <stp>136</stp>
        <stp>MSFT</stp>
        <stp>CURRENTLIABILITIESQ_X</stp>
        <stp>2</stp>
        <stp>0</stp>
        <stp>0</stp>
        <stp>0</stp>
        <stp>0</stp>
        <tr r="D74" s="1"/>
      </tp>
      <tp>
        <v>56277</v>
        <stp/>
        <stp>136</stp>
        <stp>MSFT</stp>
        <stp>CURRENTLIABILITIESQ_X</stp>
        <stp>3</stp>
        <stp>0</stp>
        <stp>0</stp>
        <stp>0</stp>
        <stp>0</stp>
        <tr r="E74" s="1"/>
      </tp>
      <tp>
        <v>58488</v>
        <stp/>
        <stp>136</stp>
        <stp>MSFT</stp>
        <stp>CURRENTLIABILITIESQ_X</stp>
        <stp>4</stp>
        <stp>0</stp>
        <stp>0</stp>
        <stp>0</stp>
        <stp>0</stp>
        <tr r="F74" s="1"/>
      </tp>
      <tp>
        <v>46133</v>
        <stp/>
        <stp>136</stp>
        <stp>MSFT</stp>
        <stp>CURRENTLIABILITIESQ_X</stp>
        <stp>5</stp>
        <stp>0</stp>
        <stp>0</stp>
        <stp>0</stp>
        <stp>0</stp>
        <tr r="G74" s="1"/>
      </tp>
      <tp>
        <v>58099</v>
        <stp/>
        <stp>136</stp>
        <stp>MSFT</stp>
        <stp>CURRENTLIABILITIESQ_X</stp>
        <stp>6</stp>
        <stp>0</stp>
        <stp>0</stp>
        <stp>0</stp>
        <stp>0</stp>
        <tr r="H74" s="1"/>
      </tp>
      <tp>
        <v>51615</v>
        <stp/>
        <stp>136</stp>
        <stp>MSFT</stp>
        <stp>CURRENTLIABILITIESQ_X</stp>
        <stp>7</stp>
        <stp>0</stp>
        <stp>0</stp>
        <stp>0</stp>
        <stp>0</stp>
        <tr r="I74" s="1"/>
      </tp>
      <tp>
        <v>55745</v>
        <stp/>
        <stp>136</stp>
        <stp>MSFT</stp>
        <stp>CURRENTLIABILITIESQ_X</stp>
        <stp>8</stp>
        <stp>0</stp>
        <stp>0</stp>
        <stp>0</stp>
        <stp>0</stp>
        <tr r="J74" s="1"/>
      </tp>
      <tp t="s">
        <v>Return on Assets</v>
        <stp/>
        <stp>137</stp>
        <stp/>
        <stp>RETURNONASSETSY_X</stp>
        <stp>0</stp>
        <stp>0</stp>
        <stp>0</stp>
        <stp>0</stp>
        <stp>0</stp>
        <tr r="B10" s="7"/>
      </tp>
      <tp>
        <v>5.6</v>
        <stp/>
        <stp>136</stp>
        <stp>BOOM</stp>
        <stp>OTHERCURRENTASSETSQ_X</stp>
        <stp>8</stp>
        <stp>0</stp>
        <stp>0</stp>
        <stp>0</stp>
        <stp>0</stp>
        <tr r="J59" s="11"/>
        <tr r="J59" s="12"/>
      </tp>
      <tp>
        <v>7</v>
        <stp/>
        <stp>136</stp>
        <stp>BOOM</stp>
        <stp>OTHERCURRENTASSETSQ_X</stp>
        <stp>1</stp>
        <stp>0</stp>
        <stp>0</stp>
        <stp>0</stp>
        <stp>0</stp>
        <tr r="C59" s="12"/>
        <tr r="C59" s="11"/>
      </tp>
      <tp>
        <v>6.7</v>
        <stp/>
        <stp>136</stp>
        <stp>BOOM</stp>
        <stp>OTHERCURRENTASSETSQ_X</stp>
        <stp>3</stp>
        <stp>0</stp>
        <stp>0</stp>
        <stp>0</stp>
        <stp>0</stp>
        <tr r="E59" s="11"/>
        <tr r="E59" s="12"/>
      </tp>
      <tp>
        <v>8.1</v>
        <stp/>
        <stp>136</stp>
        <stp>BOOM</stp>
        <stp>OTHERCURRENTASSETSQ_X</stp>
        <stp>2</stp>
        <stp>0</stp>
        <stp>0</stp>
        <stp>0</stp>
        <stp>0</stp>
        <tr r="D59" s="11"/>
        <tr r="D59" s="12"/>
      </tp>
      <tp>
        <v>10.8</v>
        <stp/>
        <stp>136</stp>
        <stp>BOOM</stp>
        <stp>OTHERCURRENTASSETSQ_X</stp>
        <stp>5</stp>
        <stp>0</stp>
        <stp>0</stp>
        <stp>0</stp>
        <stp>0</stp>
        <tr r="G59" s="12"/>
        <tr r="G59" s="11"/>
      </tp>
      <tp>
        <v>6.4</v>
        <stp/>
        <stp>136</stp>
        <stp>BOOM</stp>
        <stp>OTHERCURRENTASSETSQ_X</stp>
        <stp>4</stp>
        <stp>0</stp>
        <stp>0</stp>
        <stp>0</stp>
        <stp>0</stp>
        <tr r="F59" s="11"/>
        <tr r="F59" s="12"/>
      </tp>
      <tp>
        <v>5.3</v>
        <stp/>
        <stp>136</stp>
        <stp>BOOM</stp>
        <stp>OTHERCURRENTASSETSQ_X</stp>
        <stp>7</stp>
        <stp>0</stp>
        <stp>0</stp>
        <stp>0</stp>
        <stp>0</stp>
        <tr r="I59" s="11"/>
        <tr r="I59" s="12"/>
      </tp>
      <tp>
        <v>5.8</v>
        <stp/>
        <stp>136</stp>
        <stp>BOOM</stp>
        <stp>OTHERCURRENTASSETSQ_X</stp>
        <stp>6</stp>
        <stp>0</stp>
        <stp>0</stp>
        <stp>0</stp>
        <stp>0</stp>
        <tr r="H59" s="12"/>
        <tr r="H59" s="11"/>
      </tp>
      <tp>
        <v>2.9</v>
        <stp/>
        <stp>136</stp>
        <stp>MSFT</stp>
        <stp>QUICKRATIOQ1</stp>
        <stp>0</stp>
        <stp>0</stp>
        <stp>0</stp>
        <stp>0</stp>
        <stp>0</stp>
        <tr r="C14" s="7"/>
      </tp>
      <tp>
        <v>26</v>
        <stp/>
        <stp>136</stp>
        <stp>MSFT</stp>
        <stp>EPSESTNUMBERY0</stp>
        <stp>2</stp>
        <stp>0</stp>
        <stp>0</stp>
        <stp>0</stp>
        <stp>0</stp>
        <tr r="E10" s="8"/>
      </tp>
      <tp>
        <v>29</v>
        <stp/>
        <stp>136</stp>
        <stp>MSFT</stp>
        <stp>EPSESTNUMBERQ0</stp>
        <stp>0</stp>
        <stp>0</stp>
        <stp>0</stp>
        <stp>0</stp>
        <stp>0</stp>
        <tr r="C10" s="8"/>
      </tp>
      <tp>
        <v>50.2</v>
        <stp/>
        <stp>136</stp>
        <stp>BOOM</stp>
        <stp>PRETAXINCOME12M</stp>
        <stp>0</stp>
        <stp>0</stp>
        <stp>0</stp>
        <stp>0</stp>
        <stp>0</stp>
        <tr r="L19" s="12"/>
        <tr r="L19" s="11"/>
      </tp>
      <tp>
        <v>70</v>
        <stp/>
        <stp>136</stp>
        <stp>MSFT</stp>
        <stp>PCNTRANKYIELD</stp>
        <stp>0</stp>
        <stp>0</stp>
        <stp>0</stp>
        <stp>0</stp>
        <stp>0</stp>
        <tr r="C35" s="6"/>
      </tp>
      <tp t="s">
        <v>Price Change 3 Year Mean</v>
        <stp/>
        <stp>137</stp>
        <stp/>
        <stp>PRICECHANGE3YMEAN</stp>
        <stp>0</stp>
        <stp>0</stp>
        <stp>0</stp>
        <stp>0</stp>
        <stp>0</stp>
        <tr r="B40" s="5"/>
      </tp>
      <tp>
        <v>33</v>
        <stp/>
        <stp>136</stp>
        <stp>MSFT</stp>
        <stp>EPSESTNUMBERY1</stp>
        <stp>3</stp>
        <stp>0</stp>
        <stp>0</stp>
        <stp>0</stp>
        <stp>0</stp>
        <tr r="F10" s="8"/>
      </tp>
      <tp>
        <v>26</v>
        <stp/>
        <stp>136</stp>
        <stp>MSFT</stp>
        <stp>EPSESTNUMBERQ1</stp>
        <stp>0</stp>
        <stp>0</stp>
        <stp>0</stp>
        <stp>0</stp>
        <stp>0</stp>
        <tr r="D10" s="8"/>
      </tp>
      <tp>
        <v>130</v>
        <stp/>
        <stp>136</stp>
        <stp>MSFT</stp>
        <stp>INVE$TWARERELATIVEVALUE</stp>
        <stp>0</stp>
        <stp>0</stp>
        <stp>0</stp>
        <stp>0</stp>
        <stp>0</stp>
        <tr r="C27" s="9"/>
      </tp>
      <tp t="s">
        <v>NA</v>
        <stp/>
        <stp>136</stp>
        <stp>BOOM</stp>
        <stp>EPSDILGROWTH12M</stp>
        <stp>0</stp>
        <stp>0</stp>
        <stp>0</stp>
        <stp>0</stp>
        <stp>0</stp>
        <tr r="G13" s="3"/>
      </tp>
      <tp>
        <v>2.59</v>
        <stp/>
        <stp>136</stp>
        <stp>MSFT</stp>
        <stp>FREECASHFLOWPERSHARE12M</stp>
        <stp>0</stp>
        <stp>0</stp>
        <stp>0</stp>
        <stp>0</stp>
        <stp>0</stp>
        <tr r="L49" s="1"/>
      </tp>
      <tp t="s">
        <v>Cash Flow</v>
        <stp/>
        <stp>137</stp>
        <stp/>
        <stp>CASHFLOWQ_X</stp>
        <stp>0</stp>
        <stp>0</stp>
        <stp>0</stp>
        <stp>0</stp>
        <stp>0</stp>
        <tr r="D25" s="13"/>
        <tr r="B41" s="11"/>
        <tr r="B41" s="12"/>
        <tr r="B43" s="1"/>
      </tp>
      <tp>
        <v>26.1</v>
        <stp/>
        <stp>136</stp>
        <stp>AAPL</stp>
        <stp>PRETAXMARGIN12M</stp>
        <stp>0</stp>
        <stp>0</stp>
        <stp>0</stp>
        <stp>0</stp>
        <stp>0</stp>
        <tr r="C100" s="5"/>
      </tp>
      <tp t="s">
        <v>Cash Flow/Share</v>
        <stp/>
        <stp>137</stp>
        <stp/>
        <stp>CASHFLOWPERSHAREQ_X</stp>
        <stp>0</stp>
        <stp>0</stp>
        <stp>0</stp>
        <stp>0</stp>
        <stp>0</stp>
        <tr r="B46" s="12"/>
        <tr r="B46" s="11"/>
        <tr r="B48" s="1"/>
      </tp>
      <tp t="s">
        <v>United States</v>
        <stp/>
        <stp>136</stp>
        <stp>AAPL</stp>
        <stp>COUNTRY</stp>
        <stp>0</stp>
        <stp>0</stp>
        <stp>0</stp>
        <stp>0</stp>
        <stp>0</stp>
        <tr r="C9" s="5"/>
      </tp>
      <tp t="s">
        <v>PE High</v>
        <stp/>
        <stp>137</stp>
        <stp/>
        <stp>PEHIGHY_X</stp>
        <stp>0</stp>
        <stp>0</stp>
        <stp>0</stp>
        <stp>0</stp>
        <stp>0</stp>
        <tr r="B53" s="6"/>
      </tp>
      <tp t="s">
        <v>% Rank-Return on Assets</v>
        <stp/>
        <stp>137</stp>
        <stp/>
        <stp>PCNTRANKRETURNONASSETSY_X</stp>
        <stp>0</stp>
        <stp>0</stp>
        <stp>0</stp>
        <stp>0</stp>
        <stp>0</stp>
        <tr r="B91" s="7"/>
      </tp>
      <tp>
        <v>12</v>
        <stp/>
        <stp>136</stp>
        <stp>MSFT</stp>
        <stp>SECTOREPSGROWTHESTLOW</stp>
        <stp>0</stp>
        <stp>0</stp>
        <stp>0</stp>
        <stp>0</stp>
        <stp>0</stp>
        <tr r="J8" s="8"/>
      </tp>
      <tp>
        <v>23</v>
        <stp/>
        <stp>136</stp>
        <stp>MSFT</stp>
        <stp>EPSESTNUMBERY2</stp>
        <stp>4</stp>
        <stp>0</stp>
        <stp>0</stp>
        <stp>0</stp>
        <stp>0</stp>
        <tr r="G10" s="8"/>
      </tp>
      <tp>
        <v>11.2</v>
        <stp/>
        <stp>136</stp>
        <stp>BEAT</stp>
        <stp>GROSSOPERATINGINCOMEQ_X</stp>
        <stp>4</stp>
        <stp>0</stp>
        <stp>0</stp>
        <stp>0</stp>
        <stp>0</stp>
        <tr r="I14" s="13"/>
      </tp>
      <tp>
        <v>14.6</v>
        <stp/>
        <stp>136</stp>
        <stp>BEAT</stp>
        <stp>GROSSOPERATINGINCOMEQ_X</stp>
        <stp>2</stp>
        <stp>0</stp>
        <stp>0</stp>
        <stp>0</stp>
        <stp>0</stp>
        <tr r="G14" s="13"/>
      </tp>
      <tp>
        <v>17.399999999999999</v>
        <stp/>
        <stp>136</stp>
        <stp>BEAT</stp>
        <stp>GROSSOPERATINGINCOMEQ_X</stp>
        <stp>3</stp>
        <stp>0</stp>
        <stp>0</stp>
        <stp>0</stp>
        <stp>0</stp>
        <tr r="H14" s="13"/>
      </tp>
      <tp>
        <v>13.2</v>
        <stp/>
        <stp>136</stp>
        <stp>BEAT</stp>
        <stp>GROSSOPERATINGINCOMEQ_X</stp>
        <stp>1</stp>
        <stp>0</stp>
        <stp>0</stp>
        <stp>0</stp>
        <stp>0</stp>
        <tr r="F14" s="13"/>
        <tr r="E6" s="13"/>
      </tp>
      <tp t="s">
        <v>NA</v>
        <stp/>
        <stp>136</stp>
        <stp>MSFT</stp>
        <stp>PCNTRANKCURRENTRATIOY_X</stp>
        <stp>6</stp>
        <stp>0</stp>
        <stp>0</stp>
        <stp>0</stp>
        <stp>0</stp>
        <tr r="I96" s="7"/>
      </tp>
      <tp t="s">
        <v>NA</v>
        <stp/>
        <stp>136</stp>
        <stp>MSFT</stp>
        <stp>PCNTRANKCURRENTRATIOY_X</stp>
        <stp>7</stp>
        <stp>0</stp>
        <stp>0</stp>
        <stp>0</stp>
        <stp>0</stp>
        <tr r="J96" s="7"/>
      </tp>
      <tp>
        <v>65</v>
        <stp/>
        <stp>136</stp>
        <stp>MSFT</stp>
        <stp>PCNTRANKCURRENTRATIOY_X</stp>
        <stp>4</stp>
        <stp>0</stp>
        <stp>0</stp>
        <stp>0</stp>
        <stp>0</stp>
        <tr r="G96" s="7"/>
      </tp>
      <tp>
        <v>66</v>
        <stp/>
        <stp>136</stp>
        <stp>MSFT</stp>
        <stp>PCNTRANKCURRENTRATIOY_X</stp>
        <stp>5</stp>
        <stp>0</stp>
        <stp>0</stp>
        <stp>0</stp>
        <stp>0</stp>
        <tr r="H96" s="7"/>
      </tp>
      <tp>
        <v>73</v>
        <stp/>
        <stp>136</stp>
        <stp>MSFT</stp>
        <stp>PCNTRANKCURRENTRATIOY_X</stp>
        <stp>2</stp>
        <stp>0</stp>
        <stp>0</stp>
        <stp>0</stp>
        <stp>0</stp>
        <tr r="E96" s="7"/>
      </tp>
      <tp>
        <v>65</v>
        <stp/>
        <stp>136</stp>
        <stp>MSFT</stp>
        <stp>PCNTRANKCURRENTRATIOY_X</stp>
        <stp>3</stp>
        <stp>0</stp>
        <stp>0</stp>
        <stp>0</stp>
        <stp>0</stp>
        <tr r="F96" s="7"/>
      </tp>
      <tp>
        <v>72</v>
        <stp/>
        <stp>136</stp>
        <stp>MSFT</stp>
        <stp>PCNTRANKCURRENTRATIOY_X</stp>
        <stp>1</stp>
        <stp>0</stp>
        <stp>0</stp>
        <stp>0</stp>
        <stp>0</stp>
        <tr r="D96" s="7"/>
      </tp>
      <tp>
        <v>10341</v>
        <stp/>
        <stp>136</stp>
        <stp>MSFT</stp>
        <stp>GROSSOPERATINGINCOMEQ_X</stp>
        <stp>1</stp>
        <stp>0</stp>
        <stp>0</stp>
        <stp>0</stp>
        <stp>0</stp>
        <tr r="C17" s="1"/>
      </tp>
      <tp>
        <v>10251</v>
        <stp/>
        <stp>136</stp>
        <stp>MSFT</stp>
        <stp>GROSSOPERATINGINCOMEQ_X</stp>
        <stp>2</stp>
        <stp>0</stp>
        <stp>0</stp>
        <stp>0</stp>
        <stp>0</stp>
        <tr r="D17" s="1"/>
      </tp>
      <tp>
        <v>9955</v>
        <stp/>
        <stp>136</stp>
        <stp>MSFT</stp>
        <stp>GROSSOPERATINGINCOMEQ_X</stp>
        <stp>3</stp>
        <stp>0</stp>
        <stp>0</stp>
        <stp>0</stp>
        <stp>0</stp>
        <tr r="E17" s="1"/>
      </tp>
      <tp>
        <v>10379</v>
        <stp/>
        <stp>136</stp>
        <stp>MSFT</stp>
        <stp>GROSSOPERATINGINCOMEQ_X</stp>
        <stp>4</stp>
        <stp>0</stp>
        <stp>0</stp>
        <stp>0</stp>
        <stp>0</stp>
        <tr r="F17" s="1"/>
      </tp>
      <tp>
        <v>8275</v>
        <stp/>
        <stp>136</stp>
        <stp>MSFT</stp>
        <stp>GROSSOPERATINGINCOMEQ_X</stp>
        <stp>5</stp>
        <stp>0</stp>
        <stp>0</stp>
        <stp>0</stp>
        <stp>0</stp>
        <tr r="G17" s="1"/>
      </tp>
      <tp>
        <v>8655</v>
        <stp/>
        <stp>136</stp>
        <stp>MSFT</stp>
        <stp>GROSSOPERATINGINCOMEQ_X</stp>
        <stp>6</stp>
        <stp>0</stp>
        <stp>0</stp>
        <stp>0</stp>
        <stp>0</stp>
        <tr r="H17" s="1"/>
      </tp>
      <tp>
        <v>7702</v>
        <stp/>
        <stp>136</stp>
        <stp>MSFT</stp>
        <stp>GROSSOPERATINGINCOMEQ_X</stp>
        <stp>7</stp>
        <stp>0</stp>
        <stp>0</stp>
        <stp>0</stp>
        <stp>0</stp>
        <tr r="I17" s="1"/>
      </tp>
      <tp>
        <v>7681</v>
        <stp/>
        <stp>136</stp>
        <stp>MSFT</stp>
        <stp>GROSSOPERATINGINCOMEQ_X</stp>
        <stp>8</stp>
        <stp>0</stp>
        <stp>0</stp>
        <stp>0</stp>
        <stp>0</stp>
        <tr r="J17" s="1"/>
      </tp>
      <tp>
        <v>2.5</v>
        <stp/>
        <stp>136</stp>
        <stp>MSFT</stp>
        <stp>CURRENTRATIOY_X</stp>
        <stp>4</stp>
        <stp>0</stp>
        <stp>0</stp>
        <stp>0</stp>
        <stp>0</stp>
        <tr r="G15" s="7"/>
      </tp>
      <tp>
        <v>2.5</v>
        <stp/>
        <stp>136</stp>
        <stp>MSFT</stp>
        <stp>CURRENTRATIOY_X</stp>
        <stp>5</stp>
        <stp>0</stp>
        <stp>0</stp>
        <stp>0</stp>
        <stp>0</stp>
        <tr r="H15" s="7"/>
      </tp>
      <tp>
        <v>2.7</v>
        <stp/>
        <stp>136</stp>
        <stp>MSFT</stp>
        <stp>CURRENTRATIOY_X</stp>
        <stp>6</stp>
        <stp>0</stp>
        <stp>0</stp>
        <stp>0</stp>
        <stp>0</stp>
        <tr r="I15" s="7"/>
      </tp>
      <tp>
        <v>2.6</v>
        <stp/>
        <stp>136</stp>
        <stp>MSFT</stp>
        <stp>CURRENTRATIOY_X</stp>
        <stp>7</stp>
        <stp>0</stp>
        <stp>0</stp>
        <stp>0</stp>
        <stp>0</stp>
        <tr r="J15" s="7"/>
      </tp>
      <tp>
        <v>2.9</v>
        <stp/>
        <stp>136</stp>
        <stp>MSFT</stp>
        <stp>CURRENTRATIOY_X</stp>
        <stp>1</stp>
        <stp>0</stp>
        <stp>0</stp>
        <stp>0</stp>
        <stp>0</stp>
        <tr r="D15" s="7"/>
      </tp>
      <tp>
        <v>2.9</v>
        <stp/>
        <stp>136</stp>
        <stp>MSFT</stp>
        <stp>CURRENTRATIOY_X</stp>
        <stp>2</stp>
        <stp>0</stp>
        <stp>0</stp>
        <stp>0</stp>
        <stp>0</stp>
        <tr r="E15" s="7"/>
      </tp>
      <tp>
        <v>2.4</v>
        <stp/>
        <stp>136</stp>
        <stp>MSFT</stp>
        <stp>CURRENTRATIOY_X</stp>
        <stp>3</stp>
        <stp>0</stp>
        <stp>0</stp>
        <stp>0</stp>
        <stp>0</stp>
        <tr r="F15" s="7"/>
      </tp>
      <tp t="s">
        <v>Price Change 3 Year Std. Dev.</v>
        <stp/>
        <stp>137</stp>
        <stp/>
        <stp>PRICECHANGE3YSTDDEV</stp>
        <stp>0</stp>
        <stp>0</stp>
        <stp>0</stp>
        <stp>0</stp>
        <stp>0</stp>
        <tr r="B41" s="5"/>
      </tp>
      <tp t="s">
        <v>Price Change 3 Year Annual</v>
        <stp/>
        <stp>137</stp>
        <stp/>
        <stp>PRICECHANGE3YANNUAL</stp>
        <stp>0</stp>
        <stp>0</stp>
        <stp>0</stp>
        <stp>0</stp>
        <stp>0</stp>
        <tr r="B42" s="5"/>
      </tp>
      <tp t="s">
        <v>NA</v>
        <stp/>
        <stp>136</stp>
        <stp>AAPL</stp>
        <stp>SHORTINTERESTPCNTCHANGEM2TOM1</stp>
        <stp>0</stp>
        <stp>0</stp>
        <stp>0</stp>
        <stp>0</stp>
        <stp>0</stp>
        <tr r="C45" s="5"/>
      </tp>
      <tp t="s">
        <v>Dividend, Indicated</v>
        <stp/>
        <stp>137</stp>
        <stp/>
        <stp>DIVIDENDINDICATED</stp>
        <stp>0</stp>
        <stp>0</stp>
        <stp>0</stp>
        <stp>0</stp>
        <stp>0</stp>
        <tr r="B49" s="5"/>
      </tp>
      <tp>
        <v>13520</v>
        <stp/>
        <stp>136</stp>
        <stp>MSFT</stp>
        <stp>CASHFROMOPERATIONSQ_X</stp>
        <stp>1</stp>
        <stp>0</stp>
        <stp>0</stp>
        <stp>0</stp>
        <stp>0</stp>
        <tr r="C39" s="1"/>
      </tp>
      <tp>
        <v>8900</v>
        <stp/>
        <stp>136</stp>
        <stp>MSFT</stp>
        <stp>CASHFROMOPERATIONSQ_X</stp>
        <stp>2</stp>
        <stp>0</stp>
        <stp>0</stp>
        <stp>0</stp>
        <stp>0</stp>
        <tr r="D39" s="1"/>
      </tp>
      <tp>
        <v>13657</v>
        <stp/>
        <stp>136</stp>
        <stp>MSFT</stp>
        <stp>CASHFROMOPERATIONSQ_X</stp>
        <stp>3</stp>
        <stp>0</stp>
        <stp>0</stp>
        <stp>0</stp>
        <stp>0</stp>
        <tr r="E39" s="1"/>
      </tp>
      <tp>
        <v>11418</v>
        <stp/>
        <stp>136</stp>
        <stp>MSFT</stp>
        <stp>CASHFROMOPERATIONSQ_X</stp>
        <stp>4</stp>
        <stp>0</stp>
        <stp>0</stp>
        <stp>0</stp>
        <stp>0</stp>
        <tr r="F39" s="1"/>
      </tp>
      <tp>
        <v>12151</v>
        <stp/>
        <stp>136</stp>
        <stp>MSFT</stp>
        <stp>CASHFROMOPERATIONSQ_X</stp>
        <stp>5</stp>
        <stp>0</stp>
        <stp>0</stp>
        <stp>0</stp>
        <stp>0</stp>
        <tr r="G39" s="1"/>
      </tp>
      <tp>
        <v>7875</v>
        <stp/>
        <stp>136</stp>
        <stp>MSFT</stp>
        <stp>CASHFROMOPERATIONSQ_X</stp>
        <stp>6</stp>
        <stp>0</stp>
        <stp>0</stp>
        <stp>0</stp>
        <stp>0</stp>
        <tr r="H39" s="1"/>
      </tp>
      <tp>
        <v>12440</v>
        <stp/>
        <stp>136</stp>
        <stp>MSFT</stp>
        <stp>CASHFROMOPERATIONSQ_X</stp>
        <stp>7</stp>
        <stp>0</stp>
        <stp>0</stp>
        <stp>0</stp>
        <stp>0</stp>
        <tr r="I39" s="1"/>
      </tp>
      <tp>
        <v>11005</v>
        <stp/>
        <stp>136</stp>
        <stp>MSFT</stp>
        <stp>CASHFROMOPERATIONSQ_X</stp>
        <stp>8</stp>
        <stp>0</stp>
        <stp>0</stp>
        <stp>0</stp>
        <stp>0</stp>
        <tr r="J39" s="1"/>
      </tp>
      <tp>
        <v>1.3</v>
        <stp/>
        <stp>136</stp>
        <stp>MSFT</stp>
        <stp>YIELD</stp>
        <stp>0</stp>
        <stp>0</stp>
        <stp>0</stp>
        <stp>0</stp>
        <stp>0</stp>
        <tr r="C11" s="6"/>
      </tp>
      <tp t="s">
        <v>Research And Development</v>
        <stp/>
        <stp>137</stp>
        <stp/>
        <stp>RESEARCHANDDEVELOPMENTQ_X</stp>
        <stp>0</stp>
        <stp>0</stp>
        <stp>0</stp>
        <stp>0</stp>
        <stp>0</stp>
        <tr r="B11" s="11"/>
        <tr r="B11" s="12"/>
        <tr r="B12" s="1"/>
      </tp>
      <tp>
        <v>14.7</v>
        <stp/>
        <stp>136</stp>
        <stp>MSFT</stp>
        <stp>INDUSTRYEPSGROWTHESTLOW</stp>
        <stp>0</stp>
        <stp>0</stp>
        <stp>0</stp>
        <stp>0</stp>
        <stp>0</stp>
        <tr r="I8" s="8"/>
      </tp>
      <tp>
        <v>16.7</v>
        <stp/>
        <stp>136</stp>
        <stp>BOOM</stp>
        <stp>SALESGROWTHR27Y</stp>
        <stp>0</stp>
        <stp>0</stp>
        <stp>0</stp>
        <stp>0</stp>
        <stp>0</stp>
        <tr r="N6" s="3"/>
      </tp>
      <tp>
        <v>6</v>
        <stp/>
        <stp>136</stp>
        <stp>AAPL</stp>
        <stp>DIVIDENDINCREASESY7TOY1</stp>
        <stp>0</stp>
        <stp>0</stp>
        <stp>0</stp>
        <stp>0</stp>
        <stp>0</stp>
        <tr r="C109" s="5"/>
      </tp>
      <tp>
        <v>2.8279999999999998</v>
        <stp/>
        <stp>136</stp>
        <stp>BOOM</stp>
        <stp>EPSDILUTEDCONTINUING12M</stp>
        <stp>0</stp>
        <stp>0</stp>
        <stp>0</stp>
        <stp>0</stp>
        <stp>0</stp>
        <tr r="L32" s="12"/>
        <tr r="L32" s="11"/>
      </tp>
      <tp>
        <v>22.1</v>
        <stp/>
        <stp>136</stp>
        <stp>BOOM</stp>
        <stp>SALESGROWTHLS3Y</stp>
        <stp>0</stp>
        <stp>0</stp>
        <stp>0</stp>
        <stp>0</stp>
        <stp>0</stp>
        <tr r="L6" s="3"/>
      </tp>
      <tp>
        <v>6.3</v>
        <stp/>
        <stp>136</stp>
        <stp>BOOM</stp>
        <stp>SALESGROWTHLS5Y</stp>
        <stp>0</stp>
        <stp>0</stp>
        <stp>0</stp>
        <stp>0</stp>
        <stp>0</stp>
        <tr r="M6" s="3"/>
      </tp>
      <tp t="s">
        <v>Sector EPS-Growth</v>
        <stp/>
        <stp>137</stp>
        <stp/>
        <stp>SECTOREPSGROWTH1Y</stp>
        <stp>1</stp>
        <stp>0</stp>
        <stp>0</stp>
        <stp>0</stp>
        <stp>0</stp>
        <tr r="B39" s="3"/>
      </tp>
      <tp t="s">
        <v>% Rank-Total Liab/Assets</v>
        <stp/>
        <stp>137</stp>
        <stp/>
        <stp>PCNTRANKTOTALLIABILITIESASSETSY_X</stp>
        <stp>0</stp>
        <stp>0</stp>
        <stp>0</stp>
        <stp>0</stp>
        <stp>0</stp>
        <tr r="B101" s="7"/>
      </tp>
      <tp>
        <v>32.1</v>
        <stp/>
        <stp>136</stp>
        <stp>MSFT</stp>
        <stp>SECTORPEUSINGAVEEPS3Y</stp>
        <stp>0</stp>
        <stp>0</stp>
        <stp>0</stp>
        <stp>0</stp>
        <stp>0</stp>
        <tr r="E42" s="6"/>
      </tp>
      <tp>
        <v>6.6</v>
        <stp/>
        <stp>136</stp>
        <stp>BOOM</stp>
        <stp>SALESGROWTH7Y</stp>
        <stp>0</stp>
        <stp>0</stp>
        <stp>0</stp>
        <stp>0</stp>
        <stp>0</stp>
        <tr r="F6" s="3"/>
      </tp>
      <tp>
        <v>10.1</v>
        <stp/>
        <stp>136</stp>
        <stp>BOOM</stp>
        <stp>SALESGROWTH5Y</stp>
        <stp>0</stp>
        <stp>0</stp>
        <stp>0</stp>
        <stp>0</stp>
        <stp>0</stp>
        <tr r="E6" s="3"/>
      </tp>
      <tp>
        <v>25.1</v>
        <stp/>
        <stp>136</stp>
        <stp>BOOM</stp>
        <stp>SALESGROWTH3Y</stp>
        <stp>0</stp>
        <stp>0</stp>
        <stp>0</stp>
        <stp>0</stp>
        <stp>0</stp>
        <tr r="D6" s="3"/>
      </tp>
      <tp>
        <v>69.3</v>
        <stp/>
        <stp>136</stp>
        <stp>BOOM</stp>
        <stp>SALESGROWTH1Y</stp>
        <stp>0</stp>
        <stp>0</stp>
        <stp>0</stp>
        <stp>0</stp>
        <stp>0</stp>
        <tr r="C6" s="3"/>
      </tp>
      <tp>
        <v>20</v>
        <stp/>
        <stp>136</stp>
        <stp>MSFT</stp>
        <stp>SECTORPEFORWARDEPSY1</stp>
        <stp>0</stp>
        <stp>0</stp>
        <stp>0</stp>
        <stp>0</stp>
        <stp>0</stp>
        <tr r="P22" s="6"/>
      </tp>
      <tp>
        <v>72</v>
        <stp/>
        <stp>136</stp>
        <stp>MSFT</stp>
        <stp>PCNTRANKLTDEBTEQUITYQ1</stp>
        <stp>0</stp>
        <stp>0</stp>
        <stp>0</stp>
        <stp>0</stp>
        <stp>0</stp>
        <tr r="C103" s="7"/>
      </tp>
      <tp>
        <v>7958</v>
        <stp/>
        <stp>136</stp>
        <stp>MSFT</stp>
        <stp>PRETAXINCOMEQ_X</stp>
        <stp>8</stp>
        <stp>0</stp>
        <stp>0</stp>
        <stp>0</stp>
        <stp>0</stp>
        <tr r="J21" s="1"/>
      </tp>
      <tp>
        <v>10486</v>
        <stp/>
        <stp>136</stp>
        <stp>MSFT</stp>
        <stp>PRETAXINCOMEQ_X</stp>
        <stp>1</stp>
        <stp>0</stp>
        <stp>0</stp>
        <stp>0</stp>
        <stp>0</stp>
        <tr r="C21" s="1"/>
      </tp>
      <tp>
        <v>10221</v>
        <stp/>
        <stp>136</stp>
        <stp>MSFT</stp>
        <stp>PRETAXINCOMEQ_X</stp>
        <stp>3</stp>
        <stp>0</stp>
        <stp>0</stp>
        <stp>0</stp>
        <stp>0</stp>
        <tr r="E21" s="1"/>
      </tp>
      <tp>
        <v>10385</v>
        <stp/>
        <stp>136</stp>
        <stp>MSFT</stp>
        <stp>PRETAXINCOMEQ_X</stp>
        <stp>2</stp>
        <stp>0</stp>
        <stp>0</stp>
        <stp>0</stp>
        <stp>0</stp>
        <tr r="D21" s="1"/>
      </tp>
      <tp>
        <v>8641</v>
        <stp/>
        <stp>136</stp>
        <stp>MSFT</stp>
        <stp>PRETAXINCOMEQ_X</stp>
        <stp>5</stp>
        <stp>0</stp>
        <stp>0</stp>
        <stp>0</stp>
        <stp>0</stp>
        <tr r="G21" s="1"/>
      </tp>
      <tp>
        <v>10680</v>
        <stp/>
        <stp>136</stp>
        <stp>MSFT</stp>
        <stp>PRETAXINCOMEQ_X</stp>
        <stp>4</stp>
        <stp>0</stp>
        <stp>0</stp>
        <stp>0</stp>
        <stp>0</stp>
        <tr r="F21" s="1"/>
      </tp>
      <tp>
        <v>7984</v>
        <stp/>
        <stp>136</stp>
        <stp>MSFT</stp>
        <stp>PRETAXINCOMEQ_X</stp>
        <stp>7</stp>
        <stp>0</stp>
        <stp>0</stp>
        <stp>0</stp>
        <stp>0</stp>
        <tr r="I21" s="1"/>
      </tp>
      <tp>
        <v>9169</v>
        <stp/>
        <stp>136</stp>
        <stp>MSFT</stp>
        <stp>PRETAXINCOMEQ_X</stp>
        <stp>6</stp>
        <stp>0</stp>
        <stp>0</stp>
        <stp>0</stp>
        <stp>0</stp>
        <tr r="H21" s="1"/>
      </tp>
      <tp>
        <v>285.39999999999998</v>
        <stp/>
        <stp>136</stp>
        <stp>BOOM</stp>
        <stp>EPSGROWTHQ5TOQ1</stp>
        <stp>0</stp>
        <stp>0</stp>
        <stp>0</stp>
        <stp>0</stp>
        <stp>0</stp>
        <tr r="H11" s="3"/>
      </tp>
      <tp>
        <v>851.7</v>
        <stp/>
        <stp>136</stp>
        <stp>BOOM</stp>
        <stp>EPSGROWTHQ6TOQ2</stp>
        <stp>0</stp>
        <stp>0</stp>
        <stp>0</stp>
        <stp>0</stp>
        <stp>0</stp>
        <tr r="I11" s="3"/>
      </tp>
      <tp>
        <v>133.6</v>
        <stp/>
        <stp>136</stp>
        <stp>BOOM</stp>
        <stp>EPSGROWTHQ7TOQ3</stp>
        <stp>0</stp>
        <stp>0</stp>
        <stp>0</stp>
        <stp>0</stp>
        <stp>0</stp>
        <tr r="J11" s="3"/>
      </tp>
      <tp>
        <v>33.200000000000003</v>
        <stp/>
        <stp>136</stp>
        <stp>BEAT</stp>
        <stp>OTHERLTLIABILITIESQ_X</stp>
        <stp>2</stp>
        <stp>0</stp>
        <stp>0</stp>
        <stp>0</stp>
        <stp>0</stp>
        <tr r="G52" s="13"/>
      </tp>
      <tp>
        <v>34</v>
        <stp/>
        <stp>136</stp>
        <stp>BEAT</stp>
        <stp>OTHERLTLIABILITIESQ_X</stp>
        <stp>3</stp>
        <stp>0</stp>
        <stp>0</stp>
        <stp>0</stp>
        <stp>0</stp>
        <tr r="H52" s="13"/>
      </tp>
      <tp>
        <v>75.5</v>
        <stp/>
        <stp>136</stp>
        <stp>BEAT</stp>
        <stp>OTHERLTLIABILITIESQ_X</stp>
        <stp>1</stp>
        <stp>0</stp>
        <stp>0</stp>
        <stp>0</stp>
        <stp>0</stp>
        <tr r="F52" s="13"/>
      </tp>
      <tp>
        <v>33.6</v>
        <stp/>
        <stp>136</stp>
        <stp>BEAT</stp>
        <stp>OTHERLTLIABILITIESQ_X</stp>
        <stp>4</stp>
        <stp>0</stp>
        <stp>0</stp>
        <stp>0</stp>
        <stp>0</stp>
        <tr r="I52" s="13"/>
      </tp>
      <tp>
        <v>18.3</v>
        <stp/>
        <stp>136</stp>
        <stp>MSFT</stp>
        <stp>EPSGROWTHHISTY1TOESTY0</stp>
        <stp>0</stp>
        <stp>0</stp>
        <stp>0</stp>
        <stp>0</stp>
        <stp>0</stp>
        <tr r="C32" s="8"/>
      </tp>
      <tp>
        <v>24.1</v>
        <stp/>
        <stp>136</stp>
        <stp>MSFT</stp>
        <stp>SECTORPEFORWARDEPSY0</stp>
        <stp>0</stp>
        <stp>0</stp>
        <stp>0</stp>
        <stp>0</stp>
        <stp>0</stp>
        <tr r="O22" s="6"/>
      </tp>
      <tp>
        <v>305</v>
        <stp/>
        <stp>136</stp>
        <stp>AAPL</stp>
        <stp>LTDEBTWORKINGCAPITALQ1</stp>
        <stp>0</stp>
        <stp>0</stp>
        <stp>0</stp>
        <stp>0</stp>
        <stp>0</stp>
        <tr r="C53" s="5"/>
      </tp>
      <tp>
        <v>1.5</v>
        <stp/>
        <stp>136</stp>
        <stp>MSFT</stp>
        <stp>YIELD1YEARAGO</stp>
        <stp>0</stp>
        <stp>0</stp>
        <stp>0</stp>
        <stp>0</stp>
        <stp>0</stp>
        <tr r="D11" s="6"/>
      </tp>
      <tp>
        <v>68.599999999999994</v>
        <stp/>
        <stp>136</stp>
        <stp>MSFT</stp>
        <stp>INDUSTRYPEUSINGAVEEPS3Y</stp>
        <stp>0</stp>
        <stp>0</stp>
        <stp>0</stp>
        <stp>0</stp>
        <stp>0</stp>
        <tr r="D42" s="6"/>
      </tp>
      <tp>
        <v>-0.41</v>
        <stp/>
        <stp>136</stp>
        <stp>BOOM</stp>
        <stp>FREECASHFLOWPERSHAREQ_X</stp>
        <stp>8</stp>
        <stp>0</stp>
        <stp>0</stp>
        <stp>0</stp>
        <stp>0</stp>
        <tr r="J47" s="12"/>
        <tr r="J47" s="11"/>
      </tp>
      <tp>
        <v>-1.26</v>
        <stp/>
        <stp>136</stp>
        <stp>BOOM</stp>
        <stp>FREECASHFLOWPERSHAREQ_X</stp>
        <stp>4</stp>
        <stp>0</stp>
        <stp>0</stp>
        <stp>0</stp>
        <stp>0</stp>
        <tr r="F47" s="12"/>
        <tr r="F47" s="11"/>
      </tp>
      <tp>
        <v>-0.59</v>
        <stp/>
        <stp>136</stp>
        <stp>BOOM</stp>
        <stp>FREECASHFLOWPERSHAREQ_X</stp>
        <stp>5</stp>
        <stp>0</stp>
        <stp>0</stp>
        <stp>0</stp>
        <stp>0</stp>
        <tr r="G47" s="12"/>
        <tr r="G47" s="11"/>
      </tp>
      <tp>
        <v>0.21</v>
        <stp/>
        <stp>136</stp>
        <stp>BOOM</stp>
        <stp>FREECASHFLOWPERSHAREQ_X</stp>
        <stp>6</stp>
        <stp>0</stp>
        <stp>0</stp>
        <stp>0</stp>
        <stp>0</stp>
        <tr r="H47" s="12"/>
        <tr r="H47" s="11"/>
      </tp>
      <tp>
        <v>0.15</v>
        <stp/>
        <stp>136</stp>
        <stp>BOOM</stp>
        <stp>FREECASHFLOWPERSHAREQ_X</stp>
        <stp>7</stp>
        <stp>0</stp>
        <stp>0</stp>
        <stp>0</stp>
        <stp>0</stp>
        <tr r="I47" s="11"/>
        <tr r="I47" s="12"/>
      </tp>
      <tp>
        <v>0.01</v>
        <stp/>
        <stp>136</stp>
        <stp>BOOM</stp>
        <stp>FREECASHFLOWPERSHAREQ_X</stp>
        <stp>1</stp>
        <stp>0</stp>
        <stp>0</stp>
        <stp>0</stp>
        <stp>0</stp>
        <tr r="C47" s="12"/>
        <tr r="C47" s="11"/>
      </tp>
      <tp>
        <v>0.15</v>
        <stp/>
        <stp>136</stp>
        <stp>BOOM</stp>
        <stp>FREECASHFLOWPERSHAREQ_X</stp>
        <stp>2</stp>
        <stp>0</stp>
        <stp>0</stp>
        <stp>0</stp>
        <stp>0</stp>
        <tr r="D47" s="12"/>
        <tr r="D47" s="11"/>
      </tp>
      <tp>
        <v>-0.17</v>
        <stp/>
        <stp>136</stp>
        <stp>BOOM</stp>
        <stp>FREECASHFLOWPERSHAREQ_X</stp>
        <stp>3</stp>
        <stp>0</stp>
        <stp>0</stp>
        <stp>0</stp>
        <stp>0</stp>
        <tr r="E47" s="11"/>
        <tr r="E47" s="12"/>
      </tp>
      <tp>
        <v>21</v>
        <stp/>
        <stp>136</stp>
        <stp>MSFT</stp>
        <stp>PEAVE7Y</stp>
        <stp>0</stp>
        <stp>0</stp>
        <stp>0</stp>
        <stp>0</stp>
        <stp>0</stp>
        <tr r="G6" s="6"/>
      </tp>
      <tp>
        <v>23.9</v>
        <stp/>
        <stp>136</stp>
        <stp>MSFT</stp>
        <stp>PEAVE5Y</stp>
        <stp>0</stp>
        <stp>0</stp>
        <stp>0</stp>
        <stp>0</stp>
        <stp>0</stp>
        <tr r="F6" s="6"/>
      </tp>
      <tp>
        <v>23.5</v>
        <stp/>
        <stp>136</stp>
        <stp>MSFT</stp>
        <stp>PEAVE3Y</stp>
        <stp>0</stp>
        <stp>0</stp>
        <stp>0</stp>
        <stp>0</stp>
        <stp>0</stp>
        <tr r="E6" s="6"/>
      </tp>
      <tp>
        <v>117</v>
        <stp/>
        <stp>136</stp>
        <stp>BOOM</stp>
        <stp>EQUITYCOMMONQ_X</stp>
        <stp>8</stp>
        <stp>0</stp>
        <stp>0</stp>
        <stp>0</stp>
        <stp>0</stp>
        <tr r="J79" s="11"/>
        <tr r="J79" s="12"/>
      </tp>
      <tp>
        <v>119.4</v>
        <stp/>
        <stp>136</stp>
        <stp>BOOM</stp>
        <stp>EQUITYCOMMONQ_X</stp>
        <stp>3</stp>
        <stp>0</stp>
        <stp>0</stp>
        <stp>0</stp>
        <stp>0</stp>
        <tr r="E79" s="11"/>
        <tr r="E79" s="12"/>
      </tp>
      <tp>
        <v>134.30000000000001</v>
        <stp/>
        <stp>136</stp>
        <stp>BOOM</stp>
        <stp>EQUITYCOMMONQ_X</stp>
        <stp>2</stp>
        <stp>0</stp>
        <stp>0</stp>
        <stp>0</stp>
        <stp>0</stp>
        <tr r="D79" s="11"/>
        <tr r="D79" s="12"/>
      </tp>
      <tp>
        <v>148.9</v>
        <stp/>
        <stp>136</stp>
        <stp>BOOM</stp>
        <stp>EQUITYCOMMONQ_X</stp>
        <stp>1</stp>
        <stp>0</stp>
        <stp>0</stp>
        <stp>0</stp>
        <stp>0</stp>
        <tr r="C79" s="12"/>
        <tr r="C79" s="11"/>
      </tp>
      <tp>
        <v>106.3</v>
        <stp/>
        <stp>136</stp>
        <stp>BOOM</stp>
        <stp>EQUITYCOMMONQ_X</stp>
        <stp>7</stp>
        <stp>0</stp>
        <stp>0</stp>
        <stp>0</stp>
        <stp>0</stp>
        <tr r="I79" s="12"/>
        <tr r="I79" s="11"/>
      </tp>
      <tp>
        <v>105.8</v>
        <stp/>
        <stp>136</stp>
        <stp>BOOM</stp>
        <stp>EQUITYCOMMONQ_X</stp>
        <stp>6</stp>
        <stp>0</stp>
        <stp>0</stp>
        <stp>0</stp>
        <stp>0</stp>
        <tr r="H79" s="11"/>
        <tr r="H79" s="12"/>
      </tp>
      <tp>
        <v>111.4</v>
        <stp/>
        <stp>136</stp>
        <stp>BOOM</stp>
        <stp>EQUITYCOMMONQ_X</stp>
        <stp>5</stp>
        <stp>0</stp>
        <stp>0</stp>
        <stp>0</stp>
        <stp>0</stp>
        <tr r="G79" s="11"/>
        <tr r="G79" s="12"/>
      </tp>
      <tp>
        <v>114.2</v>
        <stp/>
        <stp>136</stp>
        <stp>BOOM</stp>
        <stp>EQUITYCOMMONQ_X</stp>
        <stp>4</stp>
        <stp>0</stp>
        <stp>0</stp>
        <stp>0</stp>
        <stp>0</stp>
        <tr r="F79" s="11"/>
        <tr r="F79" s="12"/>
      </tp>
      <tp>
        <v>63</v>
        <stp/>
        <stp>136</stp>
        <stp>MSFT</stp>
        <stp>PCNTRANKPEAVE5Y</stp>
        <stp>0</stp>
        <stp>0</stp>
        <stp>0</stp>
        <stp>0</stp>
        <stp>0</stp>
        <tr r="F30" s="6"/>
      </tp>
      <tp>
        <v>56</v>
        <stp/>
        <stp>136</stp>
        <stp>MSFT</stp>
        <stp>PCNTRANKPEAVE7Y</stp>
        <stp>0</stp>
        <stp>0</stp>
        <stp>0</stp>
        <stp>0</stp>
        <stp>0</stp>
        <tr r="G30" s="6"/>
      </tp>
      <tp>
        <v>63</v>
        <stp/>
        <stp>136</stp>
        <stp>MSFT</stp>
        <stp>PCNTRANKPEAVE3Y</stp>
        <stp>0</stp>
        <stp>0</stp>
        <stp>0</stp>
        <stp>0</stp>
        <stp>0</stp>
        <tr r="E30" s="6"/>
      </tp>
      <tp t="s">
        <v>Sector Quick ratio</v>
        <stp/>
        <stp>137</stp>
        <stp/>
        <stp>SECTORQUICKRATIOY_X</stp>
        <stp>0</stp>
        <stp>0</stp>
        <stp>0</stp>
        <stp>0</stp>
        <stp>0</stp>
        <tr r="B68" s="7"/>
      </tp>
      <tp t="s">
        <v>Valuation-PE &amp; Est</v>
        <stp/>
        <stp>137</stp>
        <stp/>
        <stp>VALUATIONPEANDEST</stp>
        <stp>0</stp>
        <stp>0</stp>
        <stp>0</stp>
        <stp>0</stp>
        <stp>0</stp>
        <tr r="B16" s="9"/>
      </tp>
      <tp t="s">
        <v>Total Liabilities/Assets</v>
        <stp/>
        <stp>137</stp>
        <stp/>
        <stp>TOTALLIABILITIESASSETSY_X</stp>
        <stp>0</stp>
        <stp>0</stp>
        <stp>0</stp>
        <stp>0</stp>
        <stp>0</stp>
        <tr r="D57" s="13"/>
        <tr r="B20" s="7"/>
      </tp>
      <tp>
        <v>564.20000000000005</v>
        <stp/>
        <stp>136</stp>
        <stp>BOOM</stp>
        <stp>PRETAXINCOMEGROWTH12M</stp>
        <stp>0</stp>
        <stp>0</stp>
        <stp>0</stp>
        <stp>0</stp>
        <stp>0</stp>
        <tr r="G8" s="3"/>
      </tp>
      <tp>
        <v>92</v>
        <stp/>
        <stp>136</stp>
        <stp>BOOM</stp>
        <stp>PCNTRANKSALESGROWTH1Y</stp>
        <stp>0</stp>
        <stp>0</stp>
        <stp>0</stp>
        <stp>0</stp>
        <stp>0</stp>
        <tr r="C48" s="3"/>
      </tp>
      <tp>
        <v>82</v>
        <stp/>
        <stp>136</stp>
        <stp>BOOM</stp>
        <stp>PCNTRANKSALESGROWTH3Y</stp>
        <stp>0</stp>
        <stp>0</stp>
        <stp>0</stp>
        <stp>0</stp>
        <stp>0</stp>
        <tr r="D48" s="3"/>
      </tp>
      <tp>
        <v>64</v>
        <stp/>
        <stp>136</stp>
        <stp>BOOM</stp>
        <stp>PCNTRANKSALESGROWTH5Y</stp>
        <stp>0</stp>
        <stp>0</stp>
        <stp>0</stp>
        <stp>0</stp>
        <stp>0</stp>
        <tr r="E48" s="3"/>
      </tp>
      <tp>
        <v>56</v>
        <stp/>
        <stp>136</stp>
        <stp>BOOM</stp>
        <stp>PCNTRANKSALESGROWTH7Y</stp>
        <stp>0</stp>
        <stp>0</stp>
        <stp>0</stp>
        <stp>0</stp>
        <stp>0</stp>
        <tr r="F48" s="3"/>
      </tp>
      <tp>
        <v>76</v>
        <stp/>
        <stp>136</stp>
        <stp>MSFT</stp>
        <stp>LTDEBTEQUITYQ1</stp>
        <stp>0</stp>
        <stp>0</stp>
        <stp>0</stp>
        <stp>0</stp>
        <stp>0</stp>
        <tr r="C22" s="7"/>
      </tp>
      <tp>
        <v>7.47</v>
        <stp/>
        <stp>136</stp>
        <stp>MSFT</stp>
        <stp>INVE$TWAREEPSPROJECTION</stp>
        <stp>0</stp>
        <stp>0</stp>
        <stp>0</stp>
        <stp>0</stp>
        <stp>0</stp>
        <tr r="C20" s="9"/>
      </tp>
      <tp>
        <v>0.7</v>
        <stp/>
        <stp>136</stp>
        <stp>MSFT</stp>
        <stp>INDUSTRYLTDEBTEQUITYY_X</stp>
        <stp>2</stp>
        <stp>0</stp>
        <stp>0</stp>
        <stp>0</stp>
        <stp>0</stp>
        <tr r="E49" s="7"/>
      </tp>
      <tp>
        <v>0.3</v>
        <stp/>
        <stp>136</stp>
        <stp>MSFT</stp>
        <stp>INDUSTRYLTDEBTEQUITYY_X</stp>
        <stp>3</stp>
        <stp>0</stp>
        <stp>0</stp>
        <stp>0</stp>
        <stp>0</stp>
        <tr r="F49" s="7"/>
      </tp>
      <tp>
        <v>4.4000000000000004</v>
        <stp/>
        <stp>136</stp>
        <stp>MSFT</stp>
        <stp>INDUSTRYLTDEBTEQUITYY_X</stp>
        <stp>1</stp>
        <stp>0</stp>
        <stp>0</stp>
        <stp>0</stp>
        <stp>0</stp>
        <tr r="D49" s="7"/>
      </tp>
      <tp>
        <v>0</v>
        <stp/>
        <stp>136</stp>
        <stp>MSFT</stp>
        <stp>INDUSTRYLTDEBTEQUITYY_X</stp>
        <stp>6</stp>
        <stp>0</stp>
        <stp>0</stp>
        <stp>0</stp>
        <stp>0</stp>
        <tr r="I49" s="7"/>
      </tp>
      <tp>
        <v>0</v>
        <stp/>
        <stp>136</stp>
        <stp>MSFT</stp>
        <stp>INDUSTRYLTDEBTEQUITYY_X</stp>
        <stp>7</stp>
        <stp>0</stp>
        <stp>0</stp>
        <stp>0</stp>
        <stp>0</stp>
        <tr r="J49" s="7"/>
      </tp>
      <tp>
        <v>0</v>
        <stp/>
        <stp>136</stp>
        <stp>MSFT</stp>
        <stp>INDUSTRYLTDEBTEQUITYY_X</stp>
        <stp>4</stp>
        <stp>0</stp>
        <stp>0</stp>
        <stp>0</stp>
        <stp>0</stp>
        <tr r="G49" s="7"/>
      </tp>
      <tp>
        <v>0</v>
        <stp/>
        <stp>136</stp>
        <stp>MSFT</stp>
        <stp>INDUSTRYLTDEBTEQUITYY_X</stp>
        <stp>5</stp>
        <stp>0</stp>
        <stp>0</stp>
        <stp>0</stp>
        <stp>0</stp>
        <tr r="H49" s="7"/>
      </tp>
      <tp>
        <v>0</v>
        <stp/>
        <stp>136</stp>
        <stp>MSFT</stp>
        <stp>DEPRECIATION12M</stp>
        <stp>0</stp>
        <stp>0</stp>
        <stp>0</stp>
        <stp>0</stp>
        <stp>0</stp>
        <tr r="L11" s="1"/>
      </tp>
      <tp t="s">
        <v>NA</v>
        <stp/>
        <stp>136</stp>
        <stp>BOOM</stp>
        <stp>GROSSOPERATINGINCOME12M</stp>
        <stp>0</stp>
        <stp>0</stp>
        <stp>0</stp>
        <stp>0</stp>
        <stp>0</stp>
        <tr r="L15" s="12"/>
        <tr r="L15" s="11"/>
      </tp>
      <tp>
        <v>-0.1</v>
        <stp/>
        <stp>136</stp>
        <stp>MSFT</stp>
        <stp>SECTORRETURNONASSETS12M</stp>
        <stp>0</stp>
        <stp>0</stp>
        <stp>0</stp>
        <stp>0</stp>
        <stp>0</stp>
        <tr r="C64" s="7"/>
      </tp>
      <tp t="s">
        <v>Industry EPS-Growth</v>
        <stp/>
        <stp>137</stp>
        <stp/>
        <stp>INDUSTRYEPSGROWTH1Y</stp>
        <stp>1</stp>
        <stp>0</stp>
        <stp>0</stp>
        <stp>0</stp>
        <stp>0</stp>
        <tr r="B25" s="3"/>
      </tp>
      <tp>
        <v>43555</v>
        <stp/>
        <stp>136</stp>
        <stp>BEAT</stp>
        <stp>ENDINGDATEQ_X</stp>
        <stp>1</stp>
        <stp>0</stp>
        <stp>0</stp>
        <stp>0</stp>
        <stp>0</stp>
        <tr r="E7" s="13"/>
      </tp>
      <tp>
        <v>1.5</v>
        <stp/>
        <stp>136</stp>
        <stp>MSFT</stp>
        <stp>INDUSTRYQUICKRATIOY_X</stp>
        <stp>6</stp>
        <stp>0</stp>
        <stp>0</stp>
        <stp>0</stp>
        <stp>0</stp>
        <tr r="I41" s="7"/>
      </tp>
      <tp>
        <v>1.4</v>
        <stp/>
        <stp>136</stp>
        <stp>MSFT</stp>
        <stp>INDUSTRYQUICKRATIOY_X</stp>
        <stp>7</stp>
        <stp>0</stp>
        <stp>0</stp>
        <stp>0</stp>
        <stp>0</stp>
        <tr r="J41" s="7"/>
      </tp>
      <tp>
        <v>1.6</v>
        <stp/>
        <stp>136</stp>
        <stp>MSFT</stp>
        <stp>INDUSTRYQUICKRATIOY_X</stp>
        <stp>4</stp>
        <stp>0</stp>
        <stp>0</stp>
        <stp>0</stp>
        <stp>0</stp>
        <tr r="G41" s="7"/>
      </tp>
      <tp>
        <v>1.6</v>
        <stp/>
        <stp>136</stp>
        <stp>MSFT</stp>
        <stp>INDUSTRYQUICKRATIOY_X</stp>
        <stp>5</stp>
        <stp>0</stp>
        <stp>0</stp>
        <stp>0</stp>
        <stp>0</stp>
        <tr r="H41" s="7"/>
      </tp>
      <tp>
        <v>1.3</v>
        <stp/>
        <stp>136</stp>
        <stp>MSFT</stp>
        <stp>INDUSTRYQUICKRATIOY_X</stp>
        <stp>2</stp>
        <stp>0</stp>
        <stp>0</stp>
        <stp>0</stp>
        <stp>0</stp>
        <tr r="E41" s="7"/>
      </tp>
      <tp>
        <v>1.3</v>
        <stp/>
        <stp>136</stp>
        <stp>MSFT</stp>
        <stp>INDUSTRYQUICKRATIOY_X</stp>
        <stp>3</stp>
        <stp>0</stp>
        <stp>0</stp>
        <stp>0</stp>
        <stp>0</stp>
        <tr r="F41" s="7"/>
      </tp>
      <tp>
        <v>1.4</v>
        <stp/>
        <stp>136</stp>
        <stp>MSFT</stp>
        <stp>INDUSTRYQUICKRATIOY_X</stp>
        <stp>1</stp>
        <stp>0</stp>
        <stp>0</stp>
        <stp>0</stp>
        <stp>0</stp>
        <tr r="D41" s="7"/>
      </tp>
      <tp>
        <v>69</v>
        <stp/>
        <stp>136</stp>
        <stp>AAPL</stp>
        <stp>PCNTRANKRELSTRENGTHWEIGHTED4Q</stp>
        <stp>0</stp>
        <stp>0</stp>
        <stp>0</stp>
        <stp>0</stp>
        <stp>0</stp>
        <tr r="G60" s="5"/>
      </tp>
      <tp>
        <v>6.7</v>
        <stp/>
        <stp>136</stp>
        <stp>MSFT</stp>
        <stp>SECTORLTDEBTEQUITYY_X</stp>
        <stp>1</stp>
        <stp>0</stp>
        <stp>0</stp>
        <stp>0</stp>
        <stp>0</stp>
        <tr r="D76" s="7"/>
      </tp>
      <tp>
        <v>6.5</v>
        <stp/>
        <stp>136</stp>
        <stp>MSFT</stp>
        <stp>SECTORLTDEBTEQUITYY_X</stp>
        <stp>2</stp>
        <stp>0</stp>
        <stp>0</stp>
        <stp>0</stp>
        <stp>0</stp>
        <tr r="E76" s="7"/>
      </tp>
      <tp>
        <v>5.6</v>
        <stp/>
        <stp>136</stp>
        <stp>MSFT</stp>
        <stp>SECTORLTDEBTEQUITYY_X</stp>
        <stp>3</stp>
        <stp>0</stp>
        <stp>0</stp>
        <stp>0</stp>
        <stp>0</stp>
        <tr r="F76" s="7"/>
      </tp>
      <tp>
        <v>2.2999999999999998</v>
        <stp/>
        <stp>136</stp>
        <stp>MSFT</stp>
        <stp>SECTORLTDEBTEQUITYY_X</stp>
        <stp>4</stp>
        <stp>0</stp>
        <stp>0</stp>
        <stp>0</stp>
        <stp>0</stp>
        <tr r="G76" s="7"/>
      </tp>
      <tp>
        <v>0.8</v>
        <stp/>
        <stp>136</stp>
        <stp>MSFT</stp>
        <stp>SECTORLTDEBTEQUITYY_X</stp>
        <stp>5</stp>
        <stp>0</stp>
        <stp>0</stp>
        <stp>0</stp>
        <stp>0</stp>
        <tr r="H76" s="7"/>
      </tp>
      <tp>
        <v>0.2</v>
        <stp/>
        <stp>136</stp>
        <stp>MSFT</stp>
        <stp>SECTORLTDEBTEQUITYY_X</stp>
        <stp>6</stp>
        <stp>0</stp>
        <stp>0</stp>
        <stp>0</stp>
        <stp>0</stp>
        <tr r="I76" s="7"/>
      </tp>
      <tp>
        <v>0.2</v>
        <stp/>
        <stp>136</stp>
        <stp>MSFT</stp>
        <stp>SECTORLTDEBTEQUITYY_X</stp>
        <stp>7</stp>
        <stp>0</stp>
        <stp>0</stp>
        <stp>0</stp>
        <stp>0</stp>
        <tr r="J76" s="7"/>
      </tp>
      <tp>
        <v>-0.81699999999999995</v>
        <stp/>
        <stp>136</stp>
        <stp>MSFT</stp>
        <stp>EPSDILUTEDQ_X</stp>
        <stp>6</stp>
        <stp>0</stp>
        <stp>0</stp>
        <stp>0</stp>
        <stp>0</stp>
        <tr r="H33" s="1"/>
      </tp>
      <tp>
        <v>0.84299999999999997</v>
        <stp/>
        <stp>136</stp>
        <stp>MSFT</stp>
        <stp>EPSDILUTEDQ_X</stp>
        <stp>7</stp>
        <stp>0</stp>
        <stp>0</stp>
        <stp>0</stp>
        <stp>0</stp>
        <tr r="I33" s="1"/>
      </tp>
      <tp>
        <v>1.1399999999999999</v>
        <stp/>
        <stp>136</stp>
        <stp>MSFT</stp>
        <stp>EPSDILUTEDQ_X</stp>
        <stp>4</stp>
        <stp>0</stp>
        <stp>0</stp>
        <stp>0</stp>
        <stp>0</stp>
        <tr r="F33" s="1"/>
      </tp>
      <tp>
        <v>0.95299999999999996</v>
        <stp/>
        <stp>136</stp>
        <stp>MSFT</stp>
        <stp>EPSDILUTEDQ_X</stp>
        <stp>5</stp>
        <stp>0</stp>
        <stp>0</stp>
        <stp>0</stp>
        <stp>0</stp>
        <tr r="G33" s="1"/>
      </tp>
      <tp>
        <v>1.0840000000000001</v>
        <stp/>
        <stp>136</stp>
        <stp>MSFT</stp>
        <stp>EPSDILUTEDQ_X</stp>
        <stp>2</stp>
        <stp>0</stp>
        <stp>0</stp>
        <stp>0</stp>
        <stp>0</stp>
        <tr r="D33" s="1"/>
      </tp>
      <tp>
        <v>1.1359999999999999</v>
        <stp/>
        <stp>136</stp>
        <stp>MSFT</stp>
        <stp>EPSDILUTEDQ_X</stp>
        <stp>3</stp>
        <stp>0</stp>
        <stp>0</stp>
        <stp>0</stp>
        <stp>0</stp>
        <tr r="E33" s="1"/>
      </tp>
      <tp>
        <v>1.1379999999999999</v>
        <stp/>
        <stp>136</stp>
        <stp>MSFT</stp>
        <stp>EPSDILUTEDQ_X</stp>
        <stp>1</stp>
        <stp>0</stp>
        <stp>0</stp>
        <stp>0</stp>
        <stp>0</stp>
        <tr r="C33" s="1"/>
      </tp>
      <tp>
        <v>1.0329999999999999</v>
        <stp/>
        <stp>136</stp>
        <stp>MSFT</stp>
        <stp>EPSDILUTEDQ_X</stp>
        <stp>8</stp>
        <stp>0</stp>
        <stp>0</stp>
        <stp>0</stp>
        <stp>0</stp>
        <tr r="J33" s="1"/>
      </tp>
      <tp>
        <v>17.7</v>
        <stp/>
        <stp>136</stp>
        <stp>MSFT</stp>
        <stp>SECTORPEFORWARDEPSY2</stp>
        <stp>0</stp>
        <stp>0</stp>
        <stp>0</stp>
        <stp>0</stp>
        <stp>0</stp>
        <tr r="Q22" s="6"/>
      </tp>
      <tp>
        <v>75</v>
        <stp/>
        <stp>136</stp>
        <stp>MSFT</stp>
        <stp>PCNTRANKYIELD1YEARAGO</stp>
        <stp>0</stp>
        <stp>0</stp>
        <stp>0</stp>
        <stp>0</stp>
        <stp>0</stp>
        <tr r="D35" s="6"/>
      </tp>
      <tp>
        <v>53.8</v>
        <stp/>
        <stp>136</stp>
        <stp>MSFT</stp>
        <stp>SECTORTOTALLIABILITIESASSETSQ1</stp>
        <stp>0</stp>
        <stp>0</stp>
        <stp>0</stp>
        <stp>0</stp>
        <stp>0</stp>
        <tr r="C74" s="7"/>
      </tp>
      <tp t="s">
        <v>Gross Income-Growth</v>
        <stp/>
        <stp>137</stp>
        <stp/>
        <stp>GROSSINCOMEGROWTH1Y</stp>
        <stp>1</stp>
        <stp>0</stp>
        <stp>0</stp>
        <stp>0</stp>
        <stp>0</stp>
        <tr r="B7" s="3"/>
      </tp>
      <tp>
        <v>46.7</v>
        <stp/>
        <stp>136</stp>
        <stp>MSFT</stp>
        <stp>INVE$TWAREPCNTLOWTOHIGH</stp>
        <stp>0</stp>
        <stp>0</stp>
        <stp>0</stp>
        <stp>0</stp>
        <stp>0</stp>
        <tr r="C24" s="9"/>
      </tp>
      <tp>
        <v>-0.26</v>
        <stp/>
        <stp>136</stp>
        <stp>BEAT</stp>
        <stp>EPSDILUTEDCONTINUINGY_X</stp>
        <stp>2</stp>
        <stp>0</stp>
        <stp>0</stp>
        <stp>0</stp>
        <stp>0</stp>
        <tr r="M71" s="13"/>
      </tp>
      <tp>
        <v>1.1970000000000001</v>
        <stp/>
        <stp>136</stp>
        <stp>BEAT</stp>
        <stp>EPSDILUTEDCONTINUINGY_X</stp>
        <stp>1</stp>
        <stp>0</stp>
        <stp>0</stp>
        <stp>0</stp>
        <stp>0</stp>
        <tr r="L71" s="13"/>
      </tp>
      <tp>
        <v>5.3999999999999999E-2</v>
        <stp/>
        <stp>136</stp>
        <stp>BEAT</stp>
        <stp>EPSDILUTEDCONTINUINGQ_X</stp>
        <stp>8</stp>
        <stp>0</stp>
        <stp>0</stp>
        <stp>0</stp>
        <stp>0</stp>
        <tr r="M70" s="13"/>
      </tp>
      <tp>
        <v>-7.1999999999999995E-2</v>
        <stp/>
        <stp>136</stp>
        <stp>BEAT</stp>
        <stp>EPSDILUTEDCONTINUINGQ_X</stp>
        <stp>7</stp>
        <stp>0</stp>
        <stp>0</stp>
        <stp>0</stp>
        <stp>0</stp>
        <tr r="L70" s="13"/>
      </tp>
      <tp>
        <v>-0.23200000000000001</v>
        <stp/>
        <stp>136</stp>
        <stp>BEAT</stp>
        <stp>EPSDILUTEDCONTINUINGQ_X</stp>
        <stp>6</stp>
        <stp>0</stp>
        <stp>0</stp>
        <stp>0</stp>
        <stp>0</stp>
        <tr r="K70" s="13"/>
      </tp>
      <tp>
        <v>0.17</v>
        <stp/>
        <stp>136</stp>
        <stp>BEAT</stp>
        <stp>EPSDILUTEDCONTINUINGQ_X</stp>
        <stp>5</stp>
        <stp>0</stp>
        <stp>0</stp>
        <stp>0</stp>
        <stp>0</stp>
        <tr r="J70" s="13"/>
      </tp>
      <tp>
        <v>0.29399999999999998</v>
        <stp/>
        <stp>136</stp>
        <stp>BEAT</stp>
        <stp>EPSDILUTEDCONTINUINGQ_X</stp>
        <stp>4</stp>
        <stp>0</stp>
        <stp>0</stp>
        <stp>0</stp>
        <stp>0</stp>
        <tr r="I70" s="13"/>
      </tp>
      <tp>
        <v>0.44500000000000001</v>
        <stp/>
        <stp>136</stp>
        <stp>BEAT</stp>
        <stp>EPSDILUTEDCONTINUINGQ_X</stp>
        <stp>3</stp>
        <stp>0</stp>
        <stp>0</stp>
        <stp>0</stp>
        <stp>0</stp>
        <tr r="H70" s="13"/>
      </tp>
      <tp>
        <v>0.28499999999999998</v>
        <stp/>
        <stp>136</stp>
        <stp>BEAT</stp>
        <stp>EPSDILUTEDCONTINUINGQ_X</stp>
        <stp>2</stp>
        <stp>0</stp>
        <stp>0</stp>
        <stp>0</stp>
        <stp>0</stp>
        <tr r="G70" s="13"/>
      </tp>
      <tp>
        <v>0.32100000000000001</v>
        <stp/>
        <stp>136</stp>
        <stp>BEAT</stp>
        <stp>EPSDILUTEDCONTINUINGQ_X</stp>
        <stp>1</stp>
        <stp>0</stp>
        <stp>0</stp>
        <stp>0</stp>
        <stp>0</stp>
        <tr r="F70" s="13"/>
      </tp>
      <tp>
        <v>13.22</v>
        <stp/>
        <stp>136</stp>
        <stp>AAPL</stp>
        <stp>PERELATIVEADJPE</stp>
        <stp>0</stp>
        <stp>0</stp>
        <stp>0</stp>
        <stp>0</stp>
        <stp>0</stp>
        <tr r="C97" s="5"/>
      </tp>
      <tp t="s">
        <v>% Rank-Gross Income Growth</v>
        <stp/>
        <stp>137</stp>
        <stp/>
        <stp>PCNTRANKGROSSINCOMEGROWTH1Y</stp>
        <stp>1</stp>
        <stp>0</stp>
        <stp>0</stp>
        <stp>0</stp>
        <stp>0</stp>
        <tr r="B49" s="3"/>
      </tp>
      <tp>
        <v>1.0329999999999999</v>
        <stp/>
        <stp>136</stp>
        <stp>MSFT</stp>
        <stp>EPSDILUTEDCONTINUINGQ_X</stp>
        <stp>8</stp>
        <stp>0</stp>
        <stp>0</stp>
        <stp>0</stp>
        <stp>0</stp>
        <tr r="J34" s="1"/>
      </tp>
      <tp>
        <v>1.1379999999999999</v>
        <stp/>
        <stp>136</stp>
        <stp>MSFT</stp>
        <stp>EPSDILUTEDCONTINUINGQ_X</stp>
        <stp>1</stp>
        <stp>0</stp>
        <stp>0</stp>
        <stp>0</stp>
        <stp>0</stp>
        <tr r="C34" s="1"/>
      </tp>
      <tp>
        <v>1.1359999999999999</v>
        <stp/>
        <stp>136</stp>
        <stp>MSFT</stp>
        <stp>EPSDILUTEDCONTINUINGQ_X</stp>
        <stp>3</stp>
        <stp>0</stp>
        <stp>0</stp>
        <stp>0</stp>
        <stp>0</stp>
        <tr r="E34" s="1"/>
      </tp>
      <tp>
        <v>1.0840000000000001</v>
        <stp/>
        <stp>136</stp>
        <stp>MSFT</stp>
        <stp>EPSDILUTEDCONTINUINGQ_X</stp>
        <stp>2</stp>
        <stp>0</stp>
        <stp>0</stp>
        <stp>0</stp>
        <stp>0</stp>
        <tr r="D34" s="1"/>
      </tp>
      <tp>
        <v>0.95299999999999996</v>
        <stp/>
        <stp>136</stp>
        <stp>MSFT</stp>
        <stp>EPSDILUTEDCONTINUINGQ_X</stp>
        <stp>5</stp>
        <stp>0</stp>
        <stp>0</stp>
        <stp>0</stp>
        <stp>0</stp>
        <tr r="G34" s="1"/>
      </tp>
      <tp>
        <v>1.127</v>
        <stp/>
        <stp>136</stp>
        <stp>MSFT</stp>
        <stp>EPSDILUTEDCONTINUINGQ_X</stp>
        <stp>4</stp>
        <stp>0</stp>
        <stp>0</stp>
        <stp>0</stp>
        <stp>0</stp>
        <tr r="F34" s="1"/>
      </tp>
      <tp>
        <v>0.84299999999999997</v>
        <stp/>
        <stp>136</stp>
        <stp>MSFT</stp>
        <stp>EPSDILUTEDCONTINUINGQ_X</stp>
        <stp>7</stp>
        <stp>0</stp>
        <stp>0</stp>
        <stp>0</stp>
        <stp>0</stp>
        <tr r="I34" s="1"/>
      </tp>
      <tp>
        <v>0.97299999999999998</v>
        <stp/>
        <stp>136</stp>
        <stp>MSFT</stp>
        <stp>EPSDILUTEDCONTINUINGQ_X</stp>
        <stp>6</stp>
        <stp>0</stp>
        <stp>0</stp>
        <stp>0</stp>
        <stp>0</stp>
        <tr r="H34" s="1"/>
      </tp>
      <tp t="s">
        <v>Goodwill And Intangibles</v>
        <stp/>
        <stp>137</stp>
        <stp/>
        <stp>GOODWILLANDINTANGIBLESQ_X</stp>
        <stp>0</stp>
        <stp>0</stp>
        <stp>0</stp>
        <stp>0</stp>
        <stp>0</stp>
        <tr r="D45" s="13"/>
        <tr r="B64" s="11"/>
        <tr r="B64" s="12"/>
        <tr r="B66" s="1"/>
      </tp>
      <tp>
        <v>14.8</v>
        <stp/>
        <stp>136</stp>
        <stp>MSFT</stp>
        <stp>EPSGROWTHESTLASTMONTH</stp>
        <stp>0</stp>
        <stp>0</stp>
        <stp>0</stp>
        <stp>0</stp>
        <stp>0</stp>
        <tr r="H15" s="8"/>
      </tp>
      <tp>
        <v>3</v>
        <stp/>
        <stp>136</stp>
        <stp>MSFT</stp>
        <stp>CURRENTRATIOQ1</stp>
        <stp>0</stp>
        <stp>0</stp>
        <stp>0</stp>
        <stp>0</stp>
        <stp>0</stp>
        <tr r="C15" s="7"/>
      </tp>
      <tp t="s">
        <v>Sector Sales-Growth</v>
        <stp/>
        <stp>137</stp>
        <stp/>
        <stp>SECTORSALESGROWTH1Y</stp>
        <stp>1</stp>
        <stp>0</stp>
        <stp>0</stp>
        <stp>0</stp>
        <stp>0</stp>
        <tr r="B34" s="3"/>
      </tp>
      <tp t="s">
        <v>Net Insider Buys % Shares Out.</v>
        <stp/>
        <stp>137</stp>
        <stp/>
        <stp>NETINSIDERBUYSPCNTSHARESOUT</stp>
        <stp>0</stp>
        <stp>0</stp>
        <stp>0</stp>
        <stp>0</stp>
        <stp>0</stp>
        <tr r="B44" s="5"/>
      </tp>
      <tp t="s">
        <v>Income After Taxes</v>
        <stp/>
        <stp>137</stp>
        <stp/>
        <stp>INCOMEAFTERTAXESQ_X</stp>
        <stp>0</stp>
        <stp>0</stp>
        <stp>0</stp>
        <stp>0</stp>
        <stp>0</stp>
        <tr r="B22" s="11"/>
        <tr r="B24" s="1"/>
        <tr r="B22" s="12"/>
      </tp>
      <tp>
        <v>43.3</v>
        <stp/>
        <stp>136</stp>
        <stp>AAPL</stp>
        <stp>PRICECHANGEVSBVCHANGE</stp>
        <stp>0</stp>
        <stp>0</stp>
        <stp>0</stp>
        <stp>0</stp>
        <stp>0</stp>
        <tr r="C107" s="5"/>
      </tp>
      <tp>
        <v>87</v>
        <stp/>
        <stp>136</stp>
        <stp>MSFT</stp>
        <stp>PCNTRANKPRICEPERSALES</stp>
        <stp>0</stp>
        <stp>0</stp>
        <stp>0</stp>
        <stp>0</stp>
        <stp>0</stp>
        <tr r="C32" s="6"/>
      </tp>
      <tp>
        <v>2.5</v>
        <stp/>
        <stp>136</stp>
        <stp>MSFT</stp>
        <stp>INDUSTRYPETODIVADJEPSGROWTH5Y</stp>
        <stp>0</stp>
        <stp>0</stp>
        <stp>0</stp>
        <stp>0</stp>
        <stp>0</stp>
        <tr r="D41" s="6"/>
      </tp>
      <tp t="s">
        <v>Valuation-Avg Yield</v>
        <stp/>
        <stp>137</stp>
        <stp/>
        <stp>VALUATIONAVEYIELD</stp>
        <stp>0</stp>
        <stp>0</stp>
        <stp>0</stp>
        <stp>0</stp>
        <stp>0</stp>
        <tr r="B15" s="9"/>
      </tp>
      <tp>
        <v>32.1</v>
        <stp/>
        <stp>136</stp>
        <stp>MSFT</stp>
        <stp>INDUSTRYPEFORWARDEPSY2</stp>
        <stp>0</stp>
        <stp>0</stp>
        <stp>0</stp>
        <stp>0</stp>
        <stp>0</stp>
        <tr r="Q14" s="6"/>
      </tp>
      <tp>
        <v>27.4</v>
        <stp/>
        <stp>136</stp>
        <stp>MSFT</stp>
        <stp>PRICEM_X</stp>
        <stp>97</stp>
        <stp>0</stp>
        <stp>0</stp>
        <stp>0</stp>
        <stp>0</stp>
        <tr r="F112" s="4"/>
      </tp>
      <tp>
        <v>26.6</v>
        <stp/>
        <stp>136</stp>
        <stp>MSFT</stp>
        <stp>PRICEM_X</stp>
        <stp>96</stp>
        <stp>0</stp>
        <stp>0</stp>
        <stp>0</stp>
        <stp>0</stp>
        <tr r="F111" s="4"/>
      </tp>
      <tp>
        <v>24.89</v>
        <stp/>
        <stp>136</stp>
        <stp>MSFT</stp>
        <stp>PRICEM_X</stp>
        <stp>95</stp>
        <stp>0</stp>
        <stp>0</stp>
        <stp>0</stp>
        <stp>0</stp>
        <tr r="F110" s="4"/>
      </tp>
      <tp>
        <v>26.63</v>
        <stp/>
        <stp>136</stp>
        <stp>MSFT</stp>
        <stp>PRICEM_X</stp>
        <stp>94</stp>
        <stp>0</stp>
        <stp>0</stp>
        <stp>0</stp>
        <stp>0</stp>
        <tr r="F109" s="4"/>
      </tp>
      <tp>
        <v>25.58</v>
        <stp/>
        <stp>136</stp>
        <stp>MSFT</stp>
        <stp>PRICEM_X</stp>
        <stp>93</stp>
        <stp>0</stp>
        <stp>0</stp>
        <stp>0</stp>
        <stp>0</stp>
        <tr r="F108" s="4"/>
      </tp>
      <tp>
        <v>25.96</v>
        <stp/>
        <stp>136</stp>
        <stp>MSFT</stp>
        <stp>PRICEM_X</stp>
        <stp>92</stp>
        <stp>0</stp>
        <stp>0</stp>
        <stp>0</stp>
        <stp>0</stp>
        <tr r="F107" s="4"/>
      </tp>
      <tp>
        <v>29.53</v>
        <stp/>
        <stp>136</stp>
        <stp>MSFT</stp>
        <stp>PRICEM_X</stp>
        <stp>91</stp>
        <stp>0</stp>
        <stp>0</stp>
        <stp>0</stp>
        <stp>0</stp>
        <tr r="F106" s="4"/>
      </tp>
      <tp>
        <v>31.74</v>
        <stp/>
        <stp>136</stp>
        <stp>MSFT</stp>
        <stp>PRICEM_X</stp>
        <stp>90</stp>
        <stp>0</stp>
        <stp>0</stp>
        <stp>0</stp>
        <stp>0</stp>
        <tr r="F105" s="4"/>
      </tp>
      <tp>
        <v>25.01</v>
        <stp/>
        <stp>136</stp>
        <stp>MSFT</stp>
        <stp>PRICEM_X</stp>
        <stp>99</stp>
        <stp>0</stp>
        <stp>0</stp>
        <stp>0</stp>
        <stp>0</stp>
        <tr r="F114" s="4"/>
      </tp>
      <tp>
        <v>26</v>
        <stp/>
        <stp>136</stp>
        <stp>MSFT</stp>
        <stp>PRICEM_X</stp>
        <stp>98</stp>
        <stp>0</stp>
        <stp>0</stp>
        <stp>0</stp>
        <stp>0</stp>
        <tr r="F113" s="4"/>
      </tp>
      <tp>
        <v>29.19</v>
        <stp/>
        <stp>136</stp>
        <stp>MSFT</stp>
        <stp>PRICEM_X</stp>
        <stp>87</stp>
        <stp>0</stp>
        <stp>0</stp>
        <stp>0</stp>
        <stp>0</stp>
        <tr r="F102" s="4"/>
      </tp>
      <tp>
        <v>30.59</v>
        <stp/>
        <stp>136</stp>
        <stp>MSFT</stp>
        <stp>PRICEM_X</stp>
        <stp>86</stp>
        <stp>0</stp>
        <stp>0</stp>
        <stp>0</stp>
        <stp>0</stp>
        <tr r="F101" s="4"/>
      </tp>
      <tp>
        <v>29.47</v>
        <stp/>
        <stp>136</stp>
        <stp>MSFT</stp>
        <stp>PRICEM_X</stp>
        <stp>85</stp>
        <stp>0</stp>
        <stp>0</stp>
        <stp>0</stp>
        <stp>0</stp>
        <tr r="F100" s="4"/>
      </tp>
      <tp>
        <v>30.82</v>
        <stp/>
        <stp>136</stp>
        <stp>MSFT</stp>
        <stp>PRICEM_X</stp>
        <stp>84</stp>
        <stp>0</stp>
        <stp>0</stp>
        <stp>0</stp>
        <stp>0</stp>
        <tr r="F99" s="4"/>
      </tp>
      <tp>
        <v>29.76</v>
        <stp/>
        <stp>136</stp>
        <stp>MSFT</stp>
        <stp>PRICEM_X</stp>
        <stp>83</stp>
        <stp>0</stp>
        <stp>0</stp>
        <stp>0</stp>
        <stp>0</stp>
        <tr r="F98" s="4"/>
      </tp>
      <tp>
        <v>28.54</v>
        <stp/>
        <stp>136</stp>
        <stp>MSFT</stp>
        <stp>PRICEM_X</stp>
        <stp>82</stp>
        <stp>0</stp>
        <stp>0</stp>
        <stp>0</stp>
        <stp>0</stp>
        <tr r="F97" s="4"/>
      </tp>
      <tp>
        <v>26.614999999999998</v>
        <stp/>
        <stp>136</stp>
        <stp>MSFT</stp>
        <stp>PRICEM_X</stp>
        <stp>81</stp>
        <stp>0</stp>
        <stp>0</stp>
        <stp>0</stp>
        <stp>0</stp>
        <tr r="F96" s="4"/>
      </tp>
      <tp>
        <v>26.71</v>
        <stp/>
        <stp>136</stp>
        <stp>MSFT</stp>
        <stp>PRICEM_X</stp>
        <stp>80</stp>
        <stp>0</stp>
        <stp>0</stp>
        <stp>0</stp>
        <stp>0</stp>
        <tr r="F95" s="4"/>
      </tp>
      <tp>
        <v>32.255000000000003</v>
        <stp/>
        <stp>136</stp>
        <stp>MSFT</stp>
        <stp>PRICEM_X</stp>
        <stp>89</stp>
        <stp>0</stp>
        <stp>0</stp>
        <stp>0</stp>
        <stp>0</stp>
        <tr r="F104" s="4"/>
      </tp>
      <tp>
        <v>32.015000000000001</v>
        <stp/>
        <stp>136</stp>
        <stp>MSFT</stp>
        <stp>PRICEM_X</stp>
        <stp>88</stp>
        <stp>0</stp>
        <stp>0</stp>
        <stp>0</stp>
        <stp>0</stp>
        <tr r="F103" s="4"/>
      </tp>
      <tp>
        <v>47.81</v>
        <stp/>
        <stp>136</stp>
        <stp>MSFT</stp>
        <stp>PRICEM_X</stp>
        <stp>57</stp>
        <stp>0</stp>
        <stp>0</stp>
        <stp>0</stp>
        <stp>0</stp>
        <tr r="F72" s="4"/>
      </tp>
      <tp>
        <v>46.45</v>
        <stp/>
        <stp>136</stp>
        <stp>MSFT</stp>
        <stp>PRICEM_X</stp>
        <stp>56</stp>
        <stp>0</stp>
        <stp>0</stp>
        <stp>0</stp>
        <stp>0</stp>
        <tr r="F71" s="4"/>
      </tp>
      <tp>
        <v>40.4</v>
        <stp/>
        <stp>136</stp>
        <stp>MSFT</stp>
        <stp>PRICEM_X</stp>
        <stp>55</stp>
        <stp>0</stp>
        <stp>0</stp>
        <stp>0</stp>
        <stp>0</stp>
        <tr r="F70" s="4"/>
      </tp>
      <tp>
        <v>43.85</v>
        <stp/>
        <stp>136</stp>
        <stp>MSFT</stp>
        <stp>PRICEM_X</stp>
        <stp>54</stp>
        <stp>0</stp>
        <stp>0</stp>
        <stp>0</stp>
        <stp>0</stp>
        <tr r="F69" s="4"/>
      </tp>
      <tp>
        <v>40.655000000000001</v>
        <stp/>
        <stp>136</stp>
        <stp>MSFT</stp>
        <stp>PRICEM_X</stp>
        <stp>53</stp>
        <stp>0</stp>
        <stp>0</stp>
        <stp>0</stp>
        <stp>0</stp>
        <tr r="F68" s="4"/>
      </tp>
      <tp>
        <v>48.64</v>
        <stp/>
        <stp>136</stp>
        <stp>MSFT</stp>
        <stp>PRICEM_X</stp>
        <stp>52</stp>
        <stp>0</stp>
        <stp>0</stp>
        <stp>0</stp>
        <stp>0</stp>
        <tr r="F67" s="4"/>
      </tp>
      <tp>
        <v>46.86</v>
        <stp/>
        <stp>136</stp>
        <stp>MSFT</stp>
        <stp>PRICEM_X</stp>
        <stp>51</stp>
        <stp>0</stp>
        <stp>0</stp>
        <stp>0</stp>
        <stp>0</stp>
        <tr r="F66" s="4"/>
      </tp>
      <tp>
        <v>44.15</v>
        <stp/>
        <stp>136</stp>
        <stp>MSFT</stp>
        <stp>PRICEM_X</stp>
        <stp>50</stp>
        <stp>0</stp>
        <stp>0</stp>
        <stp>0</stp>
        <stp>0</stp>
        <tr r="F65" s="4"/>
      </tp>
      <tp>
        <v>46.36</v>
        <stp/>
        <stp>136</stp>
        <stp>MSFT</stp>
        <stp>PRICEM_X</stp>
        <stp>59</stp>
        <stp>0</stp>
        <stp>0</stp>
        <stp>0</stp>
        <stp>0</stp>
        <tr r="F74" s="4"/>
      </tp>
      <tp>
        <v>46.95</v>
        <stp/>
        <stp>136</stp>
        <stp>MSFT</stp>
        <stp>PRICEM_X</stp>
        <stp>58</stp>
        <stp>0</stp>
        <stp>0</stp>
        <stp>0</stp>
        <stp>0</stp>
        <tr r="F73" s="4"/>
      </tp>
      <tp>
        <v>44.26</v>
        <stp/>
        <stp>136</stp>
        <stp>MSFT</stp>
        <stp>PRICEM_X</stp>
        <stp>47</stp>
        <stp>0</stp>
        <stp>0</stp>
        <stp>0</stp>
        <stp>0</stp>
        <tr r="F62" s="4"/>
      </tp>
      <tp>
        <v>52.64</v>
        <stp/>
        <stp>136</stp>
        <stp>MSFT</stp>
        <stp>PRICEM_X</stp>
        <stp>46</stp>
        <stp>0</stp>
        <stp>0</stp>
        <stp>0</stp>
        <stp>0</stp>
        <tr r="F61" s="4"/>
      </tp>
      <tp>
        <v>54.35</v>
        <stp/>
        <stp>136</stp>
        <stp>MSFT</stp>
        <stp>PRICEM_X</stp>
        <stp>45</stp>
        <stp>0</stp>
        <stp>0</stp>
        <stp>0</stp>
        <stp>0</stp>
        <tr r="F60" s="4"/>
      </tp>
      <tp>
        <v>55.48</v>
        <stp/>
        <stp>136</stp>
        <stp>MSFT</stp>
        <stp>PRICEM_X</stp>
        <stp>44</stp>
        <stp>0</stp>
        <stp>0</stp>
        <stp>0</stp>
        <stp>0</stp>
        <tr r="F59" s="4"/>
      </tp>
      <tp>
        <v>55.09</v>
        <stp/>
        <stp>136</stp>
        <stp>MSFT</stp>
        <stp>PRICEM_X</stp>
        <stp>43</stp>
        <stp>0</stp>
        <stp>0</stp>
        <stp>0</stp>
        <stp>0</stp>
        <tr r="F58" s="4"/>
      </tp>
      <tp>
        <v>50.88</v>
        <stp/>
        <stp>136</stp>
        <stp>MSFT</stp>
        <stp>PRICEM_X</stp>
        <stp>42</stp>
        <stp>0</stp>
        <stp>0</stp>
        <stp>0</stp>
        <stp>0</stp>
        <tr r="F57" s="4"/>
      </tp>
      <tp>
        <v>55.23</v>
        <stp/>
        <stp>136</stp>
        <stp>MSFT</stp>
        <stp>PRICEM_X</stp>
        <stp>41</stp>
        <stp>0</stp>
        <stp>0</stp>
        <stp>0</stp>
        <stp>0</stp>
        <tr r="F56" s="4"/>
      </tp>
      <tp>
        <v>49.87</v>
        <stp/>
        <stp>136</stp>
        <stp>MSFT</stp>
        <stp>PRICEM_X</stp>
        <stp>40</stp>
        <stp>0</stp>
        <stp>0</stp>
        <stp>0</stp>
        <stp>0</stp>
        <tr r="F55" s="4"/>
      </tp>
      <tp>
        <v>46.7</v>
        <stp/>
        <stp>136</stp>
        <stp>MSFT</stp>
        <stp>PRICEM_X</stp>
        <stp>49</stp>
        <stp>0</stp>
        <stp>0</stp>
        <stp>0</stp>
        <stp>0</stp>
        <tr r="F64" s="4"/>
      </tp>
      <tp>
        <v>43.52</v>
        <stp/>
        <stp>136</stp>
        <stp>MSFT</stp>
        <stp>PRICEM_X</stp>
        <stp>48</stp>
        <stp>0</stp>
        <stp>0</stp>
        <stp>0</stp>
        <stp>0</stp>
        <tr r="F63" s="4"/>
      </tp>
      <tp>
        <v>28.605</v>
        <stp/>
        <stp>136</stp>
        <stp>MSFT</stp>
        <stp>PRICEM_X</stp>
        <stp>77</stp>
        <stp>0</stp>
        <stp>0</stp>
        <stp>0</stp>
        <stp>0</stp>
        <tr r="F92" s="4"/>
      </tp>
      <tp>
        <v>33.1</v>
        <stp/>
        <stp>136</stp>
        <stp>MSFT</stp>
        <stp>PRICEM_X</stp>
        <stp>76</stp>
        <stp>0</stp>
        <stp>0</stp>
        <stp>0</stp>
        <stp>0</stp>
        <tr r="F91" s="4"/>
      </tp>
      <tp>
        <v>34.9</v>
        <stp/>
        <stp>136</stp>
        <stp>MSFT</stp>
        <stp>PRICEM_X</stp>
        <stp>75</stp>
        <stp>0</stp>
        <stp>0</stp>
        <stp>0</stp>
        <stp>0</stp>
        <tr r="F90" s="4"/>
      </tp>
      <tp>
        <v>34.545000000000002</v>
        <stp/>
        <stp>136</stp>
        <stp>MSFT</stp>
        <stp>PRICEM_X</stp>
        <stp>74</stp>
        <stp>0</stp>
        <stp>0</stp>
        <stp>0</stp>
        <stp>0</stp>
        <tr r="F89" s="4"/>
      </tp>
      <tp>
        <v>31.84</v>
        <stp/>
        <stp>136</stp>
        <stp>MSFT</stp>
        <stp>PRICEM_X</stp>
        <stp>73</stp>
        <stp>0</stp>
        <stp>0</stp>
        <stp>0</stp>
        <stp>0</stp>
        <tr r="F88" s="4"/>
      </tp>
      <tp>
        <v>33.4</v>
        <stp/>
        <stp>136</stp>
        <stp>MSFT</stp>
        <stp>PRICEM_X</stp>
        <stp>72</stp>
        <stp>0</stp>
        <stp>0</stp>
        <stp>0</stp>
        <stp>0</stp>
        <tr r="F87" s="4"/>
      </tp>
      <tp>
        <v>33.28</v>
        <stp/>
        <stp>136</stp>
        <stp>MSFT</stp>
        <stp>PRICEM_X</stp>
        <stp>71</stp>
        <stp>0</stp>
        <stp>0</stp>
        <stp>0</stp>
        <stp>0</stp>
        <tr r="F86" s="4"/>
      </tp>
      <tp>
        <v>35.405000000000001</v>
        <stp/>
        <stp>136</stp>
        <stp>MSFT</stp>
        <stp>PRICEM_X</stp>
        <stp>70</stp>
        <stp>0</stp>
        <stp>0</stp>
        <stp>0</stp>
        <stp>0</stp>
        <tr r="F85" s="4"/>
      </tp>
      <tp>
        <v>27.45</v>
        <stp/>
        <stp>136</stp>
        <stp>MSFT</stp>
        <stp>PRICEM_X</stp>
        <stp>79</stp>
        <stp>0</stp>
        <stp>0</stp>
        <stp>0</stp>
        <stp>0</stp>
        <tr r="F94" s="4"/>
      </tp>
      <tp>
        <v>27.8</v>
        <stp/>
        <stp>136</stp>
        <stp>MSFT</stp>
        <stp>PRICEM_X</stp>
        <stp>78</stp>
        <stp>0</stp>
        <stp>0</stp>
        <stp>0</stp>
        <stp>0</stp>
        <tr r="F93" s="4"/>
      </tp>
      <tp>
        <v>37.840000000000003</v>
        <stp/>
        <stp>136</stp>
        <stp>MSFT</stp>
        <stp>PRICEM_X</stp>
        <stp>67</stp>
        <stp>0</stp>
        <stp>0</stp>
        <stp>0</stp>
        <stp>0</stp>
        <tr r="F82" s="4"/>
      </tp>
      <tp>
        <v>38.31</v>
        <stp/>
        <stp>136</stp>
        <stp>MSFT</stp>
        <stp>PRICEM_X</stp>
        <stp>66</stp>
        <stp>0</stp>
        <stp>0</stp>
        <stp>0</stp>
        <stp>0</stp>
        <tr r="F81" s="4"/>
      </tp>
      <tp>
        <v>40.99</v>
        <stp/>
        <stp>136</stp>
        <stp>MSFT</stp>
        <stp>PRICEM_X</stp>
        <stp>65</stp>
        <stp>0</stp>
        <stp>0</stp>
        <stp>0</stp>
        <stp>0</stp>
        <tr r="F80" s="4"/>
      </tp>
      <tp>
        <v>40.4</v>
        <stp/>
        <stp>136</stp>
        <stp>MSFT</stp>
        <stp>PRICEM_X</stp>
        <stp>64</stp>
        <stp>0</stp>
        <stp>0</stp>
        <stp>0</stp>
        <stp>0</stp>
        <tr r="F79" s="4"/>
      </tp>
      <tp>
        <v>40.94</v>
        <stp/>
        <stp>136</stp>
        <stp>MSFT</stp>
        <stp>PRICEM_X</stp>
        <stp>63</stp>
        <stp>0</stp>
        <stp>0</stp>
        <stp>0</stp>
        <stp>0</stp>
        <tr r="F78" s="4"/>
      </tp>
      <tp>
        <v>41.7</v>
        <stp/>
        <stp>136</stp>
        <stp>MSFT</stp>
        <stp>PRICEM_X</stp>
        <stp>62</stp>
        <stp>0</stp>
        <stp>0</stp>
        <stp>0</stp>
        <stp>0</stp>
        <tr r="F77" s="4"/>
      </tp>
      <tp>
        <v>43.16</v>
        <stp/>
        <stp>136</stp>
        <stp>MSFT</stp>
        <stp>PRICEM_X</stp>
        <stp>61</stp>
        <stp>0</stp>
        <stp>0</stp>
        <stp>0</stp>
        <stp>0</stp>
        <tr r="F76" s="4"/>
      </tp>
      <tp>
        <v>45.43</v>
        <stp/>
        <stp>136</stp>
        <stp>MSFT</stp>
        <stp>PRICEM_X</stp>
        <stp>60</stp>
        <stp>0</stp>
        <stp>0</stp>
        <stp>0</stp>
        <stp>0</stp>
        <tr r="F75" s="4"/>
      </tp>
      <tp>
        <v>38.130000000000003</v>
        <stp/>
        <stp>136</stp>
        <stp>MSFT</stp>
        <stp>PRICEM_X</stp>
        <stp>69</stp>
        <stp>0</stp>
        <stp>0</stp>
        <stp>0</stp>
        <stp>0</stp>
        <tr r="F84" s="4"/>
      </tp>
      <tp>
        <v>37.409999999999997</v>
        <stp/>
        <stp>136</stp>
        <stp>MSFT</stp>
        <stp>PRICEM_X</stp>
        <stp>68</stp>
        <stp>0</stp>
        <stp>0</stp>
        <stp>0</stp>
        <stp>0</stp>
        <tr r="F83" s="4"/>
      </tp>
      <tp>
        <v>91.27</v>
        <stp/>
        <stp>136</stp>
        <stp>MSFT</stp>
        <stp>PRICEM_X</stp>
        <stp>17</stp>
        <stp>0</stp>
        <stp>0</stp>
        <stp>0</stp>
        <stp>0</stp>
        <tr r="F32" s="4"/>
      </tp>
      <tp>
        <v>93.52</v>
        <stp/>
        <stp>136</stp>
        <stp>MSFT</stp>
        <stp>PRICEM_X</stp>
        <stp>16</stp>
        <stp>0</stp>
        <stp>0</stp>
        <stp>0</stp>
        <stp>0</stp>
        <tr r="F31" s="4"/>
      </tp>
      <tp>
        <v>98.84</v>
        <stp/>
        <stp>136</stp>
        <stp>MSFT</stp>
        <stp>PRICEM_X</stp>
        <stp>15</stp>
        <stp>0</stp>
        <stp>0</stp>
        <stp>0</stp>
        <stp>0</stp>
        <tr r="F30" s="4"/>
      </tp>
      <tp>
        <v>98.61</v>
        <stp/>
        <stp>136</stp>
        <stp>MSFT</stp>
        <stp>PRICEM_X</stp>
        <stp>14</stp>
        <stp>0</stp>
        <stp>0</stp>
        <stp>0</stp>
        <stp>0</stp>
        <tr r="F29" s="4"/>
      </tp>
      <tp>
        <v>106.08</v>
        <stp/>
        <stp>136</stp>
        <stp>MSFT</stp>
        <stp>PRICEM_X</stp>
        <stp>13</stp>
        <stp>0</stp>
        <stp>0</stp>
        <stp>0</stp>
        <stp>0</stp>
        <tr r="F28" s="4"/>
      </tp>
      <tp>
        <v>112.33</v>
        <stp/>
        <stp>136</stp>
        <stp>MSFT</stp>
        <stp>PRICEM_X</stp>
        <stp>12</stp>
        <stp>0</stp>
        <stp>0</stp>
        <stp>0</stp>
        <stp>0</stp>
        <tr r="F27" s="4"/>
      </tp>
      <tp>
        <v>114.37</v>
        <stp/>
        <stp>136</stp>
        <stp>MSFT</stp>
        <stp>PRICEM_X</stp>
        <stp>11</stp>
        <stp>0</stp>
        <stp>0</stp>
        <stp>0</stp>
        <stp>0</stp>
        <tr r="F26" s="4"/>
      </tp>
      <tp>
        <v>106.81</v>
        <stp/>
        <stp>136</stp>
        <stp>MSFT</stp>
        <stp>PRICEM_X</stp>
        <stp>10</stp>
        <stp>0</stp>
        <stp>0</stp>
        <stp>0</stp>
        <stp>0</stp>
        <tr r="F25" s="4"/>
      </tp>
      <tp>
        <v>95.01</v>
        <stp/>
        <stp>136</stp>
        <stp>MSFT</stp>
        <stp>PRICEM_X</stp>
        <stp>19</stp>
        <stp>0</stp>
        <stp>0</stp>
        <stp>0</stp>
        <stp>0</stp>
        <tr r="F34" s="4"/>
      </tp>
      <tp>
        <v>93.77</v>
        <stp/>
        <stp>136</stp>
        <stp>MSFT</stp>
        <stp>PRICEM_X</stp>
        <stp>18</stp>
        <stp>0</stp>
        <stp>0</stp>
        <stp>0</stp>
        <stp>0</stp>
        <tr r="F33" s="4"/>
      </tp>
      <tp>
        <v>56.68</v>
        <stp/>
        <stp>136</stp>
        <stp>MSFT</stp>
        <stp>PRICEM_X</stp>
        <stp>37</stp>
        <stp>0</stp>
        <stp>0</stp>
        <stp>0</stp>
        <stp>0</stp>
        <tr r="F52" s="4"/>
      </tp>
      <tp>
        <v>57.46</v>
        <stp/>
        <stp>136</stp>
        <stp>MSFT</stp>
        <stp>PRICEM_X</stp>
        <stp>36</stp>
        <stp>0</stp>
        <stp>0</stp>
        <stp>0</stp>
        <stp>0</stp>
        <tr r="F51" s="4"/>
      </tp>
      <tp>
        <v>57.6</v>
        <stp/>
        <stp>136</stp>
        <stp>MSFT</stp>
        <stp>PRICEM_X</stp>
        <stp>35</stp>
        <stp>0</stp>
        <stp>0</stp>
        <stp>0</stp>
        <stp>0</stp>
        <tr r="F50" s="4"/>
      </tp>
      <tp>
        <v>59.92</v>
        <stp/>
        <stp>136</stp>
        <stp>MSFT</stp>
        <stp>PRICEM_X</stp>
        <stp>34</stp>
        <stp>0</stp>
        <stp>0</stp>
        <stp>0</stp>
        <stp>0</stp>
        <tr r="F49" s="4"/>
      </tp>
      <tp>
        <v>60.26</v>
        <stp/>
        <stp>136</stp>
        <stp>MSFT</stp>
        <stp>PRICEM_X</stp>
        <stp>33</stp>
        <stp>0</stp>
        <stp>0</stp>
        <stp>0</stp>
        <stp>0</stp>
        <tr r="F48" s="4"/>
      </tp>
      <tp>
        <v>62.14</v>
        <stp/>
        <stp>136</stp>
        <stp>MSFT</stp>
        <stp>PRICEM_X</stp>
        <stp>32</stp>
        <stp>0</stp>
        <stp>0</stp>
        <stp>0</stp>
        <stp>0</stp>
        <tr r="F47" s="4"/>
      </tp>
      <tp>
        <v>64.650000000000006</v>
        <stp/>
        <stp>136</stp>
        <stp>MSFT</stp>
        <stp>PRICEM_X</stp>
        <stp>31</stp>
        <stp>0</stp>
        <stp>0</stp>
        <stp>0</stp>
        <stp>0</stp>
        <tr r="F46" s="4"/>
      </tp>
      <tp>
        <v>63.98</v>
        <stp/>
        <stp>136</stp>
        <stp>MSFT</stp>
        <stp>PRICEM_X</stp>
        <stp>30</stp>
        <stp>0</stp>
        <stp>0</stp>
        <stp>0</stp>
        <stp>0</stp>
        <tr r="F45" s="4"/>
      </tp>
      <tp>
        <v>53</v>
        <stp/>
        <stp>136</stp>
        <stp>MSFT</stp>
        <stp>PRICEM_X</stp>
        <stp>39</stp>
        <stp>0</stp>
        <stp>0</stp>
        <stp>0</stp>
        <stp>0</stp>
        <tr r="F54" s="4"/>
      </tp>
      <tp>
        <v>51.17</v>
        <stp/>
        <stp>136</stp>
        <stp>MSFT</stp>
        <stp>PRICEM_X</stp>
        <stp>38</stp>
        <stp>0</stp>
        <stp>0</stp>
        <stp>0</stp>
        <stp>0</stp>
        <tr r="F53" s="4"/>
      </tp>
      <tp>
        <v>69.84</v>
        <stp/>
        <stp>136</stp>
        <stp>MSFT</stp>
        <stp>PRICEM_X</stp>
        <stp>27</stp>
        <stp>0</stp>
        <stp>0</stp>
        <stp>0</stp>
        <stp>0</stp>
        <tr r="F42" s="4"/>
      </tp>
      <tp>
        <v>68.930000000000007</v>
        <stp/>
        <stp>136</stp>
        <stp>MSFT</stp>
        <stp>PRICEM_X</stp>
        <stp>26</stp>
        <stp>0</stp>
        <stp>0</stp>
        <stp>0</stp>
        <stp>0</stp>
        <tr r="F41" s="4"/>
      </tp>
      <tp>
        <v>72.7</v>
        <stp/>
        <stp>136</stp>
        <stp>MSFT</stp>
        <stp>PRICEM_X</stp>
        <stp>25</stp>
        <stp>0</stp>
        <stp>0</stp>
        <stp>0</stp>
        <stp>0</stp>
        <tr r="F40" s="4"/>
      </tp>
      <tp>
        <v>74.77</v>
        <stp/>
        <stp>136</stp>
        <stp>MSFT</stp>
        <stp>PRICEM_X</stp>
        <stp>24</stp>
        <stp>0</stp>
        <stp>0</stp>
        <stp>0</stp>
        <stp>0</stp>
        <tr r="F39" s="4"/>
      </tp>
      <tp>
        <v>74.489999999999995</v>
        <stp/>
        <stp>136</stp>
        <stp>MSFT</stp>
        <stp>PRICEM_X</stp>
        <stp>23</stp>
        <stp>0</stp>
        <stp>0</stp>
        <stp>0</stp>
        <stp>0</stp>
        <tr r="F38" s="4"/>
      </tp>
      <tp>
        <v>83.18</v>
        <stp/>
        <stp>136</stp>
        <stp>MSFT</stp>
        <stp>PRICEM_X</stp>
        <stp>22</stp>
        <stp>0</stp>
        <stp>0</stp>
        <stp>0</stp>
        <stp>0</stp>
        <tr r="F37" s="4"/>
      </tp>
      <tp>
        <v>84.17</v>
        <stp/>
        <stp>136</stp>
        <stp>MSFT</stp>
        <stp>PRICEM_X</stp>
        <stp>21</stp>
        <stp>0</stp>
        <stp>0</stp>
        <stp>0</stp>
        <stp>0</stp>
        <tr r="F36" s="4"/>
      </tp>
      <tp>
        <v>85.54</v>
        <stp/>
        <stp>136</stp>
        <stp>MSFT</stp>
        <stp>PRICEM_X</stp>
        <stp>20</stp>
        <stp>0</stp>
        <stp>0</stp>
        <stp>0</stp>
        <stp>0</stp>
        <tr r="F35" s="4"/>
      </tp>
      <tp>
        <v>65.86</v>
        <stp/>
        <stp>136</stp>
        <stp>MSFT</stp>
        <stp>PRICEM_X</stp>
        <stp>29</stp>
        <stp>0</stp>
        <stp>0</stp>
        <stp>0</stp>
        <stp>0</stp>
        <tr r="F44" s="4"/>
      </tp>
      <tp>
        <v>68.459999999999994</v>
        <stp/>
        <stp>136</stp>
        <stp>MSFT</stp>
        <stp>PRICEM_X</stp>
        <stp>28</stp>
        <stp>0</stp>
        <stp>0</stp>
        <stp>0</stp>
        <stp>0</stp>
        <tr r="F43" s="4"/>
      </tp>
      <tp>
        <v>120324</v>
        <stp/>
        <stp>136</stp>
        <stp>MSFT</stp>
        <stp>SHORTTERMINVESTMENTSQ_X</stp>
        <stp>1</stp>
        <stp>0</stp>
        <stp>0</stp>
        <stp>0</stp>
        <stp>0</stp>
        <tr r="C58" s="1"/>
      </tp>
      <tp>
        <v>120634</v>
        <stp/>
        <stp>136</stp>
        <stp>MSFT</stp>
        <stp>SHORTTERMINVESTMENTSQ_X</stp>
        <stp>3</stp>
        <stp>0</stp>
        <stp>0</stp>
        <stp>0</stp>
        <stp>0</stp>
        <tr r="E58" s="1"/>
      </tp>
      <tp>
        <v>121013</v>
        <stp/>
        <stp>136</stp>
        <stp>MSFT</stp>
        <stp>SHORTTERMINVESTMENTSQ_X</stp>
        <stp>2</stp>
        <stp>0</stp>
        <stp>0</stp>
        <stp>0</stp>
        <stp>0</stp>
        <tr r="D58" s="1"/>
      </tp>
      <tp>
        <v>123013</v>
        <stp/>
        <stp>136</stp>
        <stp>MSFT</stp>
        <stp>SHORTTERMINVESTMENTSQ_X</stp>
        <stp>5</stp>
        <stp>0</stp>
        <stp>0</stp>
        <stp>0</stp>
        <stp>0</stp>
        <tr r="G58" s="1"/>
      </tp>
      <tp>
        <v>121704</v>
        <stp/>
        <stp>136</stp>
        <stp>MSFT</stp>
        <stp>SHORTTERMINVESTMENTSQ_X</stp>
        <stp>4</stp>
        <stp>0</stp>
        <stp>0</stp>
        <stp>0</stp>
        <stp>0</stp>
        <tr r="F58" s="1"/>
      </tp>
      <tp>
        <v>131483</v>
        <stp/>
        <stp>136</stp>
        <stp>MSFT</stp>
        <stp>SHORTTERMINVESTMENTSQ_X</stp>
        <stp>7</stp>
        <stp>0</stp>
        <stp>0</stp>
        <stp>0</stp>
        <stp>0</stp>
        <tr r="I58" s="1"/>
      </tp>
      <tp>
        <v>129892</v>
        <stp/>
        <stp>136</stp>
        <stp>MSFT</stp>
        <stp>SHORTTERMINVESTMENTSQ_X</stp>
        <stp>6</stp>
        <stp>0</stp>
        <stp>0</stp>
        <stp>0</stp>
        <stp>0</stp>
        <tr r="H58" s="1"/>
      </tp>
      <tp>
        <v>125218</v>
        <stp/>
        <stp>136</stp>
        <stp>MSFT</stp>
        <stp>SHORTTERMINVESTMENTSQ_X</stp>
        <stp>8</stp>
        <stp>0</stp>
        <stp>0</stp>
        <stp>0</stp>
        <stp>0</stp>
        <tr r="J58" s="1"/>
      </tp>
      <tp>
        <v>0.8</v>
        <stp/>
        <stp>136</stp>
        <stp>BOOM</stp>
        <stp>INTERESTEXPENSENONOPQ_X</stp>
        <stp>8</stp>
        <stp>0</stp>
        <stp>0</stp>
        <stp>0</stp>
        <stp>0</stp>
        <tr r="J17" s="12"/>
        <tr r="J17" s="11"/>
      </tp>
      <tp>
        <v>0.4</v>
        <stp/>
        <stp>136</stp>
        <stp>BOOM</stp>
        <stp>INTERESTEXPENSENONOPQ_X</stp>
        <stp>1</stp>
        <stp>0</stp>
        <stp>0</stp>
        <stp>0</stp>
        <stp>0</stp>
        <tr r="C17" s="11"/>
        <tr r="C17" s="12"/>
      </tp>
      <tp>
        <v>0.5</v>
        <stp/>
        <stp>136</stp>
        <stp>BOOM</stp>
        <stp>INTERESTEXPENSENONOPQ_X</stp>
        <stp>2</stp>
        <stp>0</stp>
        <stp>0</stp>
        <stp>0</stp>
        <stp>0</stp>
        <tr r="D17" s="11"/>
        <tr r="D17" s="12"/>
      </tp>
      <tp>
        <v>0.5</v>
        <stp/>
        <stp>136</stp>
        <stp>BOOM</stp>
        <stp>INTERESTEXPENSENONOPQ_X</stp>
        <stp>3</stp>
        <stp>0</stp>
        <stp>0</stp>
        <stp>0</stp>
        <stp>0</stp>
        <tr r="E17" s="11"/>
        <tr r="E17" s="12"/>
      </tp>
      <tp>
        <v>0.6</v>
        <stp/>
        <stp>136</stp>
        <stp>BOOM</stp>
        <stp>INTERESTEXPENSENONOPQ_X</stp>
        <stp>4</stp>
        <stp>0</stp>
        <stp>0</stp>
        <stp>0</stp>
        <stp>0</stp>
        <tr r="F17" s="12"/>
        <tr r="F17" s="11"/>
      </tp>
      <tp>
        <v>0.5</v>
        <stp/>
        <stp>136</stp>
        <stp>BOOM</stp>
        <stp>INTERESTEXPENSENONOPQ_X</stp>
        <stp>5</stp>
        <stp>0</stp>
        <stp>0</stp>
        <stp>0</stp>
        <stp>0</stp>
        <tr r="G17" s="11"/>
        <tr r="G17" s="12"/>
      </tp>
      <tp>
        <v>0.4</v>
        <stp/>
        <stp>136</stp>
        <stp>BOOM</stp>
        <stp>INTERESTEXPENSENONOPQ_X</stp>
        <stp>6</stp>
        <stp>0</stp>
        <stp>0</stp>
        <stp>0</stp>
        <stp>0</stp>
        <tr r="H17" s="12"/>
        <tr r="H17" s="11"/>
      </tp>
      <tp>
        <v>0.4</v>
        <stp/>
        <stp>136</stp>
        <stp>BOOM</stp>
        <stp>INTERESTEXPENSENONOPQ_X</stp>
        <stp>7</stp>
        <stp>0</stp>
        <stp>0</stp>
        <stp>0</stp>
        <stp>0</stp>
        <tr r="I17" s="11"/>
        <tr r="I17" s="12"/>
      </tp>
      <tp>
        <v>0</v>
        <stp/>
        <stp>136</stp>
        <stp>BEAT</stp>
        <stp>SHORTTERMINVESTMENTSQ_X</stp>
        <stp>4</stp>
        <stp>0</stp>
        <stp>0</stp>
        <stp>0</stp>
        <stp>0</stp>
        <tr r="I28" s="13"/>
      </tp>
      <tp>
        <v>0</v>
        <stp/>
        <stp>136</stp>
        <stp>BEAT</stp>
        <stp>SHORTTERMINVESTMENTSQ_X</stp>
        <stp>3</stp>
        <stp>0</stp>
        <stp>0</stp>
        <stp>0</stp>
        <stp>0</stp>
        <tr r="H28" s="13"/>
      </tp>
      <tp>
        <v>0</v>
        <stp/>
        <stp>136</stp>
        <stp>BEAT</stp>
        <stp>SHORTTERMINVESTMENTSQ_X</stp>
        <stp>2</stp>
        <stp>0</stp>
        <stp>0</stp>
        <stp>0</stp>
        <stp>0</stp>
        <tr r="G28" s="13"/>
      </tp>
      <tp>
        <v>0</v>
        <stp/>
        <stp>136</stp>
        <stp>BEAT</stp>
        <stp>SHORTTERMINVESTMENTSQ_X</stp>
        <stp>1</stp>
        <stp>0</stp>
        <stp>0</stp>
        <stp>0</stp>
        <stp>0</stp>
        <tr r="F28" s="13"/>
      </tp>
      <tp t="s">
        <v>Total Liabilities</v>
        <stp/>
        <stp>137</stp>
        <stp/>
        <stp>TOTALLIABILITIESQ_X</stp>
        <stp>0</stp>
        <stp>0</stp>
        <stp>0</stp>
        <stp>0</stp>
        <stp>0</stp>
        <tr r="D53" s="13"/>
        <tr r="B76" s="11"/>
        <tr r="B78" s="1"/>
        <tr r="B76" s="12"/>
      </tp>
      <tp t="s">
        <v>NA</v>
        <stp/>
        <stp>136</stp>
        <stp>BOOM</stp>
        <stp>CASHFROMOPERATIONS12M</stp>
        <stp>0</stp>
        <stp>0</stp>
        <stp>0</stp>
        <stp>0</stp>
        <stp>0</stp>
        <tr r="L37" s="11"/>
        <tr r="L37" s="12"/>
      </tp>
      <tp>
        <v>6.5</v>
        <stp/>
        <stp>136</stp>
        <stp>BEAT</stp>
        <stp>OTHERCURRENTASSETSQ_X</stp>
        <stp>1</stp>
        <stp>0</stp>
        <stp>0</stp>
        <stp>0</stp>
        <stp>0</stp>
        <tr r="F31" s="13"/>
      </tp>
      <tp>
        <v>5.8</v>
        <stp/>
        <stp>136</stp>
        <stp>BEAT</stp>
        <stp>OTHERCURRENTASSETSQ_X</stp>
        <stp>2</stp>
        <stp>0</stp>
        <stp>0</stp>
        <stp>0</stp>
        <stp>0</stp>
        <tr r="G31" s="13"/>
      </tp>
      <tp>
        <v>11.1</v>
        <stp/>
        <stp>136</stp>
        <stp>BEAT</stp>
        <stp>OTHERCURRENTASSETSQ_X</stp>
        <stp>3</stp>
        <stp>0</stp>
        <stp>0</stp>
        <stp>0</stp>
        <stp>0</stp>
        <tr r="H31" s="13"/>
      </tp>
      <tp>
        <v>8.1</v>
        <stp/>
        <stp>136</stp>
        <stp>BEAT</stp>
        <stp>OTHERCURRENTASSETSQ_X</stp>
        <stp>4</stp>
        <stp>0</stp>
        <stp>0</stp>
        <stp>0</stp>
        <stp>0</stp>
        <tr r="I31" s="13"/>
      </tp>
      <tp>
        <v>38.4</v>
        <stp/>
        <stp>136</stp>
        <stp>BEAT</stp>
        <stp>LTDEBTTOTALCAPITALY_X</stp>
        <stp>1</stp>
        <stp>0</stp>
        <stp>0</stp>
        <stp>0</stp>
        <stp>0</stp>
        <tr r="F56" s="13"/>
      </tp>
      <tp>
        <v>34.799999999999997</v>
        <stp/>
        <stp>136</stp>
        <stp>MSFT</stp>
        <stp>INDUSTRYPEFORWARDEPSY1</stp>
        <stp>0</stp>
        <stp>0</stp>
        <stp>0</stp>
        <stp>0</stp>
        <stp>0</stp>
        <tr r="P14" s="6"/>
      </tp>
      <tp>
        <v>75</v>
        <stp/>
        <stp>136</stp>
        <stp>MSFT</stp>
        <stp>PCNTRANKCURRENTRATIOQ1</stp>
        <stp>0</stp>
        <stp>0</stp>
        <stp>0</stp>
        <stp>0</stp>
        <stp>0</stp>
        <tr r="C96" s="7"/>
      </tp>
      <tp>
        <v>38.6</v>
        <stp/>
        <stp>136</stp>
        <stp>MSFT</stp>
        <stp>INDUSTRYPRICEPERFCFPS1YEARAGO</stp>
        <stp>0</stp>
        <stp>0</stp>
        <stp>0</stp>
        <stp>0</stp>
        <stp>0</stp>
        <tr r="D18" s="6"/>
      </tp>
      <tp t="s">
        <v>https://www.apple.com/</v>
        <stp/>
        <stp>136</stp>
        <stp>AAPL</stp>
        <stp>WEBSITE</stp>
        <stp>0</stp>
        <stp>0</stp>
        <stp>0</stp>
        <stp>0</stp>
        <stp>0</stp>
        <tr r="C11" s="5"/>
      </tp>
      <tp>
        <v>2.6</v>
        <stp/>
        <stp>136</stp>
        <stp>MSFT</stp>
        <stp>INDUSTRYPETOEPSGROWTH5Y</stp>
        <stp>0</stp>
        <stp>0</stp>
        <stp>0</stp>
        <stp>0</stp>
        <stp>0</stp>
        <tr r="D39" s="6"/>
      </tp>
      <tp>
        <v>6</v>
        <stp/>
        <stp>136</stp>
        <stp>MSFT</stp>
        <stp>SECTORRETURNONEQUITY12M</stp>
        <stp>0</stp>
        <stp>0</stp>
        <stp>0</stp>
        <stp>0</stp>
        <stp>0</stp>
        <tr r="C65" s="7"/>
      </tp>
      <tp>
        <v>8.7200000000000006</v>
        <stp/>
        <stp>136</stp>
        <stp>MSFT</stp>
        <stp>PRICEPERSALES</stp>
        <stp>0</stp>
        <stp>0</stp>
        <stp>0</stp>
        <stp>0</stp>
        <stp>0</stp>
        <tr r="C8" s="6"/>
      </tp>
      <tp>
        <v>1.5</v>
        <stp/>
        <stp>136</stp>
        <stp>MSFT</stp>
        <stp>SECTORPETOEPSGROWTH5Y</stp>
        <stp>0</stp>
        <stp>0</stp>
        <stp>0</stp>
        <stp>0</stp>
        <stp>0</stp>
        <tr r="E39" s="6"/>
      </tp>
      <tp t="s">
        <v>Flash - Cash</v>
        <stp/>
        <stp>137</stp>
        <stp/>
        <stp>FLASHCASH</stp>
        <stp>0</stp>
        <stp>0</stp>
        <stp>0</stp>
        <stp>0</stp>
        <stp>0</stp>
        <tr r="B83" s="5"/>
      </tp>
      <tp>
        <v>43646</v>
        <stp/>
        <stp>136</stp>
        <stp>MSFT</stp>
        <stp>DATECURRENTFISCALYEAR</stp>
        <stp>0</stp>
        <stp>0</stp>
        <stp>0</stp>
        <stp>0</stp>
        <stp>0</stp>
        <tr r="F5" s="8"/>
        <tr r="E5" s="8"/>
        <tr r="G5" s="8"/>
      </tp>
      <tp t="s">
        <v>Flash - Equity (Common)</v>
        <stp/>
        <stp>137</stp>
        <stp/>
        <stp>FLASHEQUITYCOMMON</stp>
        <stp>0</stp>
        <stp>0</stp>
        <stp>0</stp>
        <stp>0</stp>
        <stp>0</stp>
        <tr r="B85" s="5"/>
      </tp>
      <tp t="s">
        <v>Working Capital</v>
        <stp/>
        <stp>137</stp>
        <stp/>
        <stp>WORKINGCAPITALQ_X</stp>
        <stp>0</stp>
        <stp>0</stp>
        <stp>0</stp>
        <stp>0</stp>
        <stp>0</stp>
        <tr r="D37" s="13"/>
      </tp>
      <tp>
        <v>40.4</v>
        <stp/>
        <stp>136</stp>
        <stp>MSFT</stp>
        <stp>INDUSTRYPEFORWARDEPSY0</stp>
        <stp>0</stp>
        <stp>0</stp>
        <stp>0</stp>
        <stp>0</stp>
        <stp>0</stp>
        <tr r="O14" s="6"/>
      </tp>
      <tp>
        <v>0</v>
        <stp/>
        <stp>136</stp>
        <stp>MSFT</stp>
        <stp>EPSGROWTHESTREVISIONSUP</stp>
        <stp>0</stp>
        <stp>0</stp>
        <stp>0</stp>
        <stp>0</stp>
        <stp>0</stp>
        <tr r="H17" s="8"/>
      </tp>
      <tp t="s">
        <v>#ERROR</v>
        <stp/>
        <stp>136</stp>
        <stp>BOOM</stp>
        <stp>FLOATQ_X</stp>
        <stp>6</stp>
        <stp>0</stp>
        <stp>0</stp>
        <stp>0</stp>
        <stp>0</stp>
        <tr r="H86" s="12"/>
      </tp>
      <tp t="s">
        <v>#ERROR</v>
        <stp/>
        <stp>136</stp>
        <stp>BOOM</stp>
        <stp>FLOATQ_X</stp>
        <stp>7</stp>
        <stp>0</stp>
        <stp>0</stp>
        <stp>0</stp>
        <stp>0</stp>
        <tr r="I86" s="12"/>
      </tp>
      <tp t="s">
        <v>#ERROR</v>
        <stp/>
        <stp>136</stp>
        <stp>BOOM</stp>
        <stp>FLOATQ_X</stp>
        <stp>4</stp>
        <stp>0</stp>
        <stp>0</stp>
        <stp>0</stp>
        <stp>0</stp>
        <tr r="F86" s="12"/>
      </tp>
      <tp t="s">
        <v>#ERROR</v>
        <stp/>
        <stp>136</stp>
        <stp>BOOM</stp>
        <stp>FLOATQ_X</stp>
        <stp>5</stp>
        <stp>0</stp>
        <stp>0</stp>
        <stp>0</stp>
        <stp>0</stp>
        <tr r="G86" s="12"/>
      </tp>
      <tp t="s">
        <v>#ERROR</v>
        <stp/>
        <stp>136</stp>
        <stp>BOOM</stp>
        <stp>FLOATQ_X</stp>
        <stp>2</stp>
        <stp>0</stp>
        <stp>0</stp>
        <stp>0</stp>
        <stp>0</stp>
        <tr r="D86" s="12"/>
      </tp>
      <tp t="s">
        <v>#ERROR</v>
        <stp/>
        <stp>136</stp>
        <stp>BOOM</stp>
        <stp>FLOATQ_X</stp>
        <stp>3</stp>
        <stp>0</stp>
        <stp>0</stp>
        <stp>0</stp>
        <stp>0</stp>
        <tr r="E86" s="12"/>
      </tp>
      <tp t="s">
        <v>#ERROR</v>
        <stp/>
        <stp>136</stp>
        <stp>BOOM</stp>
        <stp>FLOATQ_X</stp>
        <stp>1</stp>
        <stp>0</stp>
        <stp>0</stp>
        <stp>0</stp>
        <stp>0</stp>
        <tr r="C86" s="12"/>
      </tp>
      <tp t="s">
        <v>#ERROR</v>
        <stp/>
        <stp>136</stp>
        <stp>BOOM</stp>
        <stp>FLOATQ_X</stp>
        <stp>8</stp>
        <stp>0</stp>
        <stp>0</stp>
        <stp>0</stp>
        <stp>0</stp>
        <tr r="J86" s="12"/>
      </tp>
      <tp>
        <v>1.9</v>
        <stp/>
        <stp>136</stp>
        <stp>MSFT</stp>
        <stp>INVE$TWAREESTYIELD</stp>
        <stp>0</stp>
        <stp>0</stp>
        <stp>0</stp>
        <stp>0</stp>
        <stp>0</stp>
        <tr r="C28" s="9"/>
      </tp>
      <tp>
        <v>0.8</v>
        <stp/>
        <stp>136</stp>
        <stp>MSFT</stp>
        <stp>INDUSTRYOPERATINGMARGINY_X</stp>
        <stp>7</stp>
        <stp>0</stp>
        <stp>0</stp>
        <stp>0</stp>
        <stp>0</stp>
        <tr r="J34" s="7"/>
      </tp>
      <tp>
        <v>-1.1000000000000001</v>
        <stp/>
        <stp>136</stp>
        <stp>MSFT</stp>
        <stp>INDUSTRYOPERATINGMARGINY_X</stp>
        <stp>6</stp>
        <stp>0</stp>
        <stp>0</stp>
        <stp>0</stp>
        <stp>0</stp>
        <tr r="I34" s="7"/>
      </tp>
      <tp>
        <v>-12.4</v>
        <stp/>
        <stp>136</stp>
        <stp>MSFT</stp>
        <stp>INDUSTRYOPERATINGMARGINY_X</stp>
        <stp>5</stp>
        <stp>0</stp>
        <stp>0</stp>
        <stp>0</stp>
        <stp>0</stp>
        <tr r="H34" s="7"/>
      </tp>
      <tp>
        <v>-14.7</v>
        <stp/>
        <stp>136</stp>
        <stp>MSFT</stp>
        <stp>INDUSTRYOPERATINGMARGINY_X</stp>
        <stp>4</stp>
        <stp>0</stp>
        <stp>0</stp>
        <stp>0</stp>
        <stp>0</stp>
        <tr r="G34" s="7"/>
      </tp>
      <tp>
        <v>-13</v>
        <stp/>
        <stp>136</stp>
        <stp>MSFT</stp>
        <stp>INDUSTRYOPERATINGMARGINY_X</stp>
        <stp>3</stp>
        <stp>0</stp>
        <stp>0</stp>
        <stp>0</stp>
        <stp>0</stp>
        <tr r="F34" s="7"/>
      </tp>
      <tp>
        <v>-9.1</v>
        <stp/>
        <stp>136</stp>
        <stp>MSFT</stp>
        <stp>INDUSTRYOPERATINGMARGINY_X</stp>
        <stp>2</stp>
        <stp>0</stp>
        <stp>0</stp>
        <stp>0</stp>
        <stp>0</stp>
        <tr r="E34" s="7"/>
      </tp>
      <tp>
        <v>-6.1</v>
        <stp/>
        <stp>136</stp>
        <stp>MSFT</stp>
        <stp>INDUSTRYOPERATINGMARGINY_X</stp>
        <stp>1</stp>
        <stp>0</stp>
        <stp>0</stp>
        <stp>0</stp>
        <stp>0</stp>
        <tr r="D34" s="7"/>
      </tp>
      <tp>
        <v>0.7</v>
        <stp/>
        <stp>136</stp>
        <stp>MSFT</stp>
        <stp>INDUSTRYASSETTURNOVERY_X</stp>
        <stp>1</stp>
        <stp>0</stp>
        <stp>0</stp>
        <stp>0</stp>
        <stp>0</stp>
        <tr r="D54" s="7"/>
      </tp>
      <tp>
        <v>0.7</v>
        <stp/>
        <stp>136</stp>
        <stp>MSFT</stp>
        <stp>INDUSTRYASSETTURNOVERY_X</stp>
        <stp>3</stp>
        <stp>0</stp>
        <stp>0</stp>
        <stp>0</stp>
        <stp>0</stp>
        <tr r="F54" s="7"/>
      </tp>
      <tp>
        <v>0.7</v>
        <stp/>
        <stp>136</stp>
        <stp>MSFT</stp>
        <stp>INDUSTRYASSETTURNOVERY_X</stp>
        <stp>2</stp>
        <stp>0</stp>
        <stp>0</stp>
        <stp>0</stp>
        <stp>0</stp>
        <tr r="E54" s="7"/>
      </tp>
      <tp>
        <v>0.7</v>
        <stp/>
        <stp>136</stp>
        <stp>MSFT</stp>
        <stp>INDUSTRYASSETTURNOVERY_X</stp>
        <stp>5</stp>
        <stp>0</stp>
        <stp>0</stp>
        <stp>0</stp>
        <stp>0</stp>
        <tr r="H54" s="7"/>
      </tp>
      <tp>
        <v>0.6</v>
        <stp/>
        <stp>136</stp>
        <stp>MSFT</stp>
        <stp>INDUSTRYASSETTURNOVERY_X</stp>
        <stp>4</stp>
        <stp>0</stp>
        <stp>0</stp>
        <stp>0</stp>
        <stp>0</stp>
        <tr r="G54" s="7"/>
      </tp>
      <tp>
        <v>0.7</v>
        <stp/>
        <stp>136</stp>
        <stp>MSFT</stp>
        <stp>INDUSTRYASSETTURNOVERY_X</stp>
        <stp>7</stp>
        <stp>0</stp>
        <stp>0</stp>
        <stp>0</stp>
        <stp>0</stp>
        <tr r="J54" s="7"/>
      </tp>
      <tp>
        <v>0.7</v>
        <stp/>
        <stp>136</stp>
        <stp>MSFT</stp>
        <stp>INDUSTRYASSETTURNOVERY_X</stp>
        <stp>6</stp>
        <stp>0</stp>
        <stp>0</stp>
        <stp>0</stp>
        <stp>0</stp>
        <tr r="I54" s="7"/>
      </tp>
      <tp>
        <v>2346</v>
        <stp/>
        <stp>136</stp>
        <stp>MSFT</stp>
        <stp>UNUSUALINCOMEQ_X</stp>
        <stp>8</stp>
        <stp>0</stp>
        <stp>0</stp>
        <stp>0</stp>
        <stp>0</stp>
        <tr r="J14" s="1"/>
      </tp>
      <tp>
        <v>6</v>
        <stp/>
        <stp>136</stp>
        <stp>MSFT</stp>
        <stp>UNUSUALINCOMEQ_X</stp>
        <stp>7</stp>
        <stp>0</stp>
        <stp>0</stp>
        <stp>0</stp>
        <stp>0</stp>
        <tr r="I14" s="1"/>
      </tp>
      <tp>
        <v>24</v>
        <stp/>
        <stp>136</stp>
        <stp>MSFT</stp>
        <stp>UNUSUALINCOMEQ_X</stp>
        <stp>6</stp>
        <stp>0</stp>
        <stp>0</stp>
        <stp>0</stp>
        <stp>0</stp>
        <tr r="H14" s="1"/>
      </tp>
      <tp>
        <v>17</v>
        <stp/>
        <stp>136</stp>
        <stp>MSFT</stp>
        <stp>UNUSUALINCOMEQ_X</stp>
        <stp>5</stp>
        <stp>0</stp>
        <stp>0</stp>
        <stp>0</stp>
        <stp>0</stp>
        <tr r="G14" s="1"/>
      </tp>
      <tp>
        <v>0</v>
        <stp/>
        <stp>136</stp>
        <stp>MSFT</stp>
        <stp>UNUSUALINCOMEQ_X</stp>
        <stp>4</stp>
        <stp>0</stp>
        <stp>0</stp>
        <stp>0</stp>
        <stp>0</stp>
        <tr r="F14" s="1"/>
      </tp>
      <tp>
        <v>0</v>
        <stp/>
        <stp>136</stp>
        <stp>MSFT</stp>
        <stp>UNUSUALINCOMEQ_X</stp>
        <stp>3</stp>
        <stp>0</stp>
        <stp>0</stp>
        <stp>0</stp>
        <stp>0</stp>
        <tr r="E14" s="1"/>
      </tp>
      <tp>
        <v>7</v>
        <stp/>
        <stp>136</stp>
        <stp>MSFT</stp>
        <stp>UNUSUALINCOMEQ_X</stp>
        <stp>2</stp>
        <stp>0</stp>
        <stp>0</stp>
        <stp>0</stp>
        <stp>0</stp>
        <tr r="D14" s="1"/>
      </tp>
      <tp>
        <v>0</v>
        <stp/>
        <stp>136</stp>
        <stp>MSFT</stp>
        <stp>UNUSUALINCOMEQ_X</stp>
        <stp>1</stp>
        <stp>0</stp>
        <stp>0</stp>
        <stp>0</stp>
        <stp>0</stp>
        <tr r="C14" s="1"/>
      </tp>
      <tp t="s">
        <v>Sector EPS Dil Cont-Growth</v>
        <stp/>
        <stp>137</stp>
        <stp/>
        <stp>SECTOREPSDILGROWTH1Y</stp>
        <stp>1</stp>
        <stp>0</stp>
        <stp>0</stp>
        <stp>0</stp>
        <stp>0</stp>
        <tr r="B41" s="3"/>
      </tp>
      <tp>
        <v>3.75</v>
        <stp/>
        <stp>136</stp>
        <stp>MSFT</stp>
        <stp>PRICEPERBOOKAVEY_X</stp>
        <stp>7</stp>
        <stp>0</stp>
        <stp>0</stp>
        <stp>0</stp>
        <stp>0</stp>
        <tr r="N7" s="6"/>
      </tp>
      <tp>
        <v>3.46</v>
        <stp/>
        <stp>136</stp>
        <stp>MSFT</stp>
        <stp>PRICEPERBOOKAVEY_X</stp>
        <stp>6</stp>
        <stp>0</stp>
        <stp>0</stp>
        <stp>0</stp>
        <stp>0</stp>
        <tr r="M7" s="6"/>
      </tp>
      <tp>
        <v>3.91</v>
        <stp/>
        <stp>136</stp>
        <stp>MSFT</stp>
        <stp>PRICEPERBOOKAVEY_X</stp>
        <stp>5</stp>
        <stp>0</stp>
        <stp>0</stp>
        <stp>0</stp>
        <stp>0</stp>
        <tr r="L7" s="6"/>
      </tp>
      <tp>
        <v>4.93</v>
        <stp/>
        <stp>136</stp>
        <stp>MSFT</stp>
        <stp>PRICEPERBOOKAVEY_X</stp>
        <stp>4</stp>
        <stp>0</stp>
        <stp>0</stp>
        <stp>0</stp>
        <stp>0</stp>
        <tr r="K7" s="6"/>
      </tp>
      <tp>
        <v>6.17</v>
        <stp/>
        <stp>136</stp>
        <stp>MSFT</stp>
        <stp>PRICEPERBOOKAVEY_X</stp>
        <stp>3</stp>
        <stp>0</stp>
        <stp>0</stp>
        <stp>0</stp>
        <stp>0</stp>
        <tr r="J7" s="6"/>
      </tp>
      <tp>
        <v>6.6</v>
        <stp/>
        <stp>136</stp>
        <stp>MSFT</stp>
        <stp>PRICEPERBOOKAVEY_X</stp>
        <stp>2</stp>
        <stp>0</stp>
        <stp>0</stp>
        <stp>0</stp>
        <stp>0</stp>
        <tr r="I7" s="6"/>
      </tp>
      <tp>
        <v>9.31</v>
        <stp/>
        <stp>136</stp>
        <stp>MSFT</stp>
        <stp>PRICEPERBOOKAVEY_X</stp>
        <stp>1</stp>
        <stp>0</stp>
        <stp>0</stp>
        <stp>0</stp>
        <stp>0</stp>
        <tr r="H7" s="6"/>
      </tp>
      <tp>
        <v>33.299999999999997</v>
        <stp/>
        <stp>136</stp>
        <stp>MSFT</stp>
        <stp>INDUSTRYPRICEPERFCFPSAVE3Y</stp>
        <stp>0</stp>
        <stp>0</stp>
        <stp>0</stp>
        <stp>0</stp>
        <stp>0</stp>
        <tr r="E18" s="6"/>
      </tp>
      <tp>
        <v>29</v>
        <stp/>
        <stp>136</stp>
        <stp>MSFT</stp>
        <stp>INDUSTRYPRICEPERFCFPSAVE5Y</stp>
        <stp>0</stp>
        <stp>0</stp>
        <stp>0</stp>
        <stp>0</stp>
        <stp>0</stp>
        <tr r="F18" s="6"/>
      </tp>
      <tp>
        <v>25.9</v>
        <stp/>
        <stp>136</stp>
        <stp>MSFT</stp>
        <stp>INDUSTRYPRICEPERFCFPSAVE7Y</stp>
        <stp>0</stp>
        <stp>0</stp>
        <stp>0</stp>
        <stp>0</stp>
        <stp>0</stp>
        <tr r="G18" s="6"/>
      </tp>
      <tp>
        <v>26.89</v>
        <stp/>
        <stp>136</stp>
        <stp>MSFT</stp>
        <stp>PELOWY_X</stp>
        <stp>4</stp>
        <stp>0</stp>
        <stp>0</stp>
        <stp>0</stp>
        <stp>0</stp>
        <tr r="F54" s="6"/>
      </tp>
      <tp>
        <v>13.18</v>
        <stp/>
        <stp>136</stp>
        <stp>MSFT</stp>
        <stp>PELOWY_X</stp>
        <stp>5</stp>
        <stp>0</stp>
        <stp>0</stp>
        <stp>0</stp>
        <stp>0</stp>
        <tr r="G54" s="6"/>
      </tp>
      <tp>
        <v>19.04</v>
        <stp/>
        <stp>136</stp>
        <stp>MSFT</stp>
        <stp>PELOWY_X</stp>
        <stp>2</stp>
        <stp>0</stp>
        <stp>0</stp>
        <stp>0</stp>
        <stp>0</stp>
        <tr r="D54" s="6"/>
      </tp>
      <tp>
        <v>18.739999999999998</v>
        <stp/>
        <stp>136</stp>
        <stp>MSFT</stp>
        <stp>PELOWY_X</stp>
        <stp>3</stp>
        <stp>0</stp>
        <stp>0</stp>
        <stp>0</stp>
        <stp>0</stp>
        <tr r="E54" s="6"/>
      </tp>
      <tp>
        <v>21.58</v>
        <stp/>
        <stp>136</stp>
        <stp>MSFT</stp>
        <stp>PELOWY_X</stp>
        <stp>1</stp>
        <stp>0</stp>
        <stp>0</stp>
        <stp>0</stp>
        <stp>0</stp>
        <tr r="C54" s="6"/>
      </tp>
      <tp t="s">
        <v>Capital Expenditures</v>
        <stp/>
        <stp>137</stp>
        <stp/>
        <stp>CAPITALEXPENDITURESQ_X</stp>
        <stp>0</stp>
        <stp>0</stp>
        <stp>0</stp>
        <stp>0</stp>
        <stp>0</stp>
        <tr r="D19" s="13"/>
        <tr r="B44" s="11"/>
        <tr r="B44" s="12"/>
        <tr r="B46" s="1"/>
      </tp>
      <tp>
        <v>13.7</v>
        <stp/>
        <stp>136</stp>
        <stp>BOOM</stp>
        <stp>OTHERCURRENTLIABILITIESQ_X</stp>
        <stp>8</stp>
        <stp>0</stp>
        <stp>0</stp>
        <stp>0</stp>
        <stp>0</stp>
        <tr r="J71" s="11"/>
        <tr r="J71" s="12"/>
      </tp>
      <tp>
        <v>17.2</v>
        <stp/>
        <stp>136</stp>
        <stp>BOOM</stp>
        <stp>OTHERCURRENTLIABILITIESQ_X</stp>
        <stp>7</stp>
        <stp>0</stp>
        <stp>0</stp>
        <stp>0</stp>
        <stp>0</stp>
        <tr r="I71" s="12"/>
        <tr r="I71" s="11"/>
      </tp>
      <tp>
        <v>25.8</v>
        <stp/>
        <stp>136</stp>
        <stp>BOOM</stp>
        <stp>OTHERCURRENTLIABILITIESQ_X</stp>
        <stp>6</stp>
        <stp>0</stp>
        <stp>0</stp>
        <stp>0</stp>
        <stp>0</stp>
        <tr r="H71" s="11"/>
        <tr r="H71" s="12"/>
      </tp>
      <tp>
        <v>31.5</v>
        <stp/>
        <stp>136</stp>
        <stp>BOOM</stp>
        <stp>OTHERCURRENTLIABILITIESQ_X</stp>
        <stp>5</stp>
        <stp>0</stp>
        <stp>0</stp>
        <stp>0</stp>
        <stp>0</stp>
        <tr r="G71" s="11"/>
        <tr r="G71" s="12"/>
      </tp>
      <tp>
        <v>30.6</v>
        <stp/>
        <stp>136</stp>
        <stp>BOOM</stp>
        <stp>OTHERCURRENTLIABILITIESQ_X</stp>
        <stp>4</stp>
        <stp>0</stp>
        <stp>0</stp>
        <stp>0</stp>
        <stp>0</stp>
        <tr r="F71" s="12"/>
        <tr r="F71" s="11"/>
      </tp>
      <tp>
        <v>40.1</v>
        <stp/>
        <stp>136</stp>
        <stp>BOOM</stp>
        <stp>OTHERCURRENTLIABILITIESQ_X</stp>
        <stp>3</stp>
        <stp>0</stp>
        <stp>0</stp>
        <stp>0</stp>
        <stp>0</stp>
        <tr r="E71" s="11"/>
        <tr r="E71" s="12"/>
      </tp>
      <tp>
        <v>37.200000000000003</v>
        <stp/>
        <stp>136</stp>
        <stp>BOOM</stp>
        <stp>OTHERCURRENTLIABILITIESQ_X</stp>
        <stp>2</stp>
        <stp>0</stp>
        <stp>0</stp>
        <stp>0</stp>
        <stp>0</stp>
        <tr r="D71" s="12"/>
        <tr r="D71" s="11"/>
      </tp>
      <tp>
        <v>34.1</v>
        <stp/>
        <stp>136</stp>
        <stp>BOOM</stp>
        <stp>OTHERCURRENTLIABILITIESQ_X</stp>
        <stp>1</stp>
        <stp>0</stp>
        <stp>0</stp>
        <stp>0</stp>
        <stp>0</stp>
        <tr r="C71" s="11"/>
        <tr r="C71" s="12"/>
      </tp>
      <tp t="s">
        <v>Payout Ratio</v>
        <stp/>
        <stp>137</stp>
        <stp/>
        <stp>PAYOUTRATIOY_X</stp>
        <stp>0</stp>
        <stp>0</stp>
        <stp>0</stp>
        <stp>0</stp>
        <stp>0</stp>
        <tr r="B16" s="7"/>
      </tp>
      <tp>
        <v>17.100000000000001</v>
        <stp/>
        <stp>136</stp>
        <stp>MSFT</stp>
        <stp>EPSGROWTHESTHIGH</stp>
        <stp>0</stp>
        <stp>0</stp>
        <stp>0</stp>
        <stp>0</stp>
        <stp>0</stp>
        <tr r="H7" s="8"/>
      </tp>
      <tp t="s">
        <v>Book Value/Share</v>
        <stp/>
        <stp>137</stp>
        <stp/>
        <stp>BOOKVALUEPERSHAREQ_X</stp>
        <stp>0</stp>
        <stp>0</stp>
        <stp>0</stp>
        <stp>0</stp>
        <stp>0</stp>
        <tr r="B84" s="1"/>
        <tr r="B82" s="11"/>
        <tr r="B82" s="12"/>
      </tp>
      <tp>
        <v>1622.9</v>
        <stp/>
        <stp>136</stp>
        <stp>BEAT</stp>
        <stp>MARKETCAPQ1</stp>
        <stp>0</stp>
        <stp>0</stp>
        <stp>0</stp>
        <stp>0</stp>
        <stp>0</stp>
        <tr r="E9" s="13"/>
      </tp>
      <tp>
        <v>3.4</v>
        <stp/>
        <stp>136</stp>
        <stp>MSFT</stp>
        <stp>SECTORPRICEPERBOOK1YEARAGO</stp>
        <stp>0</stp>
        <stp>0</stp>
        <stp>0</stp>
        <stp>0</stp>
        <stp>0</stp>
        <tr r="D23" s="6"/>
      </tp>
      <tp>
        <v>-9.4</v>
        <stp/>
        <stp>136</stp>
        <stp>BOOM</stp>
        <stp>DIVIDENDGROWTH7Y</stp>
        <stp>0</stp>
        <stp>0</stp>
        <stp>0</stp>
        <stp>0</stp>
        <stp>0</stp>
        <tr r="F17" s="3"/>
      </tp>
      <tp>
        <v>-12.9</v>
        <stp/>
        <stp>136</stp>
        <stp>BOOM</stp>
        <stp>DIVIDENDGROWTH5Y</stp>
        <stp>0</stp>
        <stp>0</stp>
        <stp>0</stp>
        <stp>0</stp>
        <stp>0</stp>
        <tr r="E17" s="3"/>
      </tp>
      <tp>
        <v>-20.6</v>
        <stp/>
        <stp>136</stp>
        <stp>BOOM</stp>
        <stp>DIVIDENDGROWTH3Y</stp>
        <stp>0</stp>
        <stp>0</stp>
        <stp>0</stp>
        <stp>0</stp>
        <stp>0</stp>
        <tr r="D17" s="3"/>
      </tp>
      <tp>
        <v>0</v>
        <stp/>
        <stp>136</stp>
        <stp>BOOM</stp>
        <stp>DIVIDENDGROWTH1Y</stp>
        <stp>0</stp>
        <stp>0</stp>
        <stp>0</stp>
        <stp>0</stp>
        <stp>0</stp>
        <tr r="C17" s="3"/>
      </tp>
      <tp>
        <v>8.1</v>
        <stp/>
        <stp>136</stp>
        <stp>BOOM</stp>
        <stp>SECTOREPSGROWTH12M</stp>
        <stp>0</stp>
        <stp>0</stp>
        <stp>0</stp>
        <stp>0</stp>
        <stp>0</stp>
        <tr r="G39" s="3"/>
      </tp>
      <tp t="s">
        <v>NA</v>
        <stp/>
        <stp>136</stp>
        <stp>BOOM</stp>
        <stp>TOTALOPERATINGEXPENSE12M</stp>
        <stp>0</stp>
        <stp>0</stp>
        <stp>0</stp>
        <stp>0</stp>
        <stp>0</stp>
        <tr r="L13" s="12"/>
        <tr r="L13" s="11"/>
      </tp>
      <tp t="s">
        <v>Sector Receivables turnover</v>
        <stp/>
        <stp>137</stp>
        <stp/>
        <stp>SECTORRECEIVABLESTURNOVERY_X</stp>
        <stp>0</stp>
        <stp>0</stp>
        <stp>0</stp>
        <stp>0</stp>
        <stp>0</stp>
        <tr r="B79" s="7"/>
      </tp>
      <tp t="s">
        <v>% Rank-Price/Book</v>
        <stp/>
        <stp>137</stp>
        <stp/>
        <stp>PCNTRANKPRICEPERBOOK</stp>
        <stp>0</stp>
        <stp>0</stp>
        <stp>0</stp>
        <stp>0</stp>
        <stp>0</stp>
        <tr r="B31" s="6"/>
      </tp>
      <tp>
        <v>9.8000000000000007</v>
        <stp/>
        <stp>136</stp>
        <stp>AAPL</stp>
        <stp>INDUSTRYINSTITUTIONALOWNERSHIPPCNT</stp>
        <stp>0</stp>
        <stp>0</stp>
        <stp>0</stp>
        <stp>0</stp>
        <stp>0</stp>
        <tr r="D28" s="5"/>
      </tp>
      <tp>
        <v>1.0900000000000001</v>
        <stp/>
        <stp>136</stp>
        <stp>AAPL</stp>
        <stp>SECTORBETA</stp>
        <stp>0</stp>
        <stp>0</stp>
        <stp>0</stp>
        <stp>0</stp>
        <stp>0</stp>
        <tr r="E38" s="5"/>
      </tp>
      <tp t="s">
        <v>NA</v>
        <stp/>
        <stp>136</stp>
        <stp>AAPL</stp>
        <stp>NETCASHPERSHAREQ1</stp>
        <stp>0</stp>
        <stp>0</stp>
        <stp>0</stp>
        <stp>0</stp>
        <stp>0</stp>
        <tr r="C51" s="5"/>
      </tp>
      <tp>
        <v>4</v>
        <stp/>
        <stp>136</stp>
        <stp>MSFT</stp>
        <stp>INDUSTRYPRICEPERSALESAVE5Y</stp>
        <stp>0</stp>
        <stp>0</stp>
        <stp>0</stp>
        <stp>0</stp>
        <stp>0</stp>
        <tr r="F16" s="6"/>
      </tp>
      <tp>
        <v>3.68</v>
        <stp/>
        <stp>136</stp>
        <stp>MSFT</stp>
        <stp>INDUSTRYPRICEPERSALESAVE7Y</stp>
        <stp>0</stp>
        <stp>0</stp>
        <stp>0</stp>
        <stp>0</stp>
        <stp>0</stp>
        <tr r="G16" s="6"/>
      </tp>
      <tp>
        <v>3.95</v>
        <stp/>
        <stp>136</stp>
        <stp>MSFT</stp>
        <stp>INDUSTRYPRICEPERSALESAVE3Y</stp>
        <stp>0</stp>
        <stp>0</stp>
        <stp>0</stp>
        <stp>0</stp>
        <stp>0</stp>
        <tr r="E16" s="6"/>
      </tp>
      <tp t="s">
        <v>Sector Cash Flow-Growth</v>
        <stp/>
        <stp>137</stp>
        <stp/>
        <stp>SECTORCASHFLOWGROWTH1Y</stp>
        <stp>1</stp>
        <stp>0</stp>
        <stp>0</stp>
        <stp>0</stp>
        <stp>0</stp>
        <tr r="B43" s="3"/>
      </tp>
      <tp t="s">
        <v>% Rank-Payout Ratiod</v>
        <stp/>
        <stp>137</stp>
        <stp/>
        <stp>PCNTRANKPAYOUTRATIOY_X</stp>
        <stp>0</stp>
        <stp>0</stp>
        <stp>0</stp>
        <stp>0</stp>
        <stp>0</stp>
        <tr r="B97" s="7"/>
      </tp>
      <tp t="s">
        <v>Net Margin</v>
        <stp/>
        <stp>137</stp>
        <stp/>
        <stp>NETMARGINY_X</stp>
        <stp>0</stp>
        <stp>0</stp>
        <stp>0</stp>
        <stp>0</stp>
        <stp>0</stp>
        <tr r="B9" s="7"/>
      </tp>
      <tp t="s">
        <v>Net Income</v>
        <stp/>
        <stp>137</stp>
        <stp/>
        <stp>NETINCOMEQ_X</stp>
        <stp>0</stp>
        <stp>0</stp>
        <stp>0</stp>
        <stp>0</stp>
        <stp>0</stp>
        <tr r="D15" s="13"/>
        <tr r="B27" s="11"/>
        <tr r="B27" s="12"/>
        <tr r="B29" s="1"/>
      </tp>
      <tp>
        <v>72.92</v>
        <stp/>
        <stp>136</stp>
        <stp>MSFT</stp>
        <stp>PRICELOWM_X</stp>
        <stp>23</stp>
        <stp>0</stp>
        <stp>0</stp>
        <stp>0</stp>
        <stp>0</stp>
        <tr r="E38" s="4"/>
      </tp>
      <tp>
        <v>73.709999999999994</v>
        <stp/>
        <stp>136</stp>
        <stp>MSFT</stp>
        <stp>PRICELOWM_X</stp>
        <stp>22</stp>
        <stp>0</stp>
        <stp>0</stp>
        <stp>0</stp>
        <stp>0</stp>
        <tr r="E37" s="4"/>
      </tp>
      <tp>
        <v>82.24</v>
        <stp/>
        <stp>136</stp>
        <stp>MSFT</stp>
        <stp>PRICELOWM_X</stp>
        <stp>21</stp>
        <stp>0</stp>
        <stp>0</stp>
        <stp>0</stp>
        <stp>0</stp>
        <tr r="E36" s="4"/>
      </tp>
      <tp>
        <v>80.7</v>
        <stp/>
        <stp>136</stp>
        <stp>MSFT</stp>
        <stp>PRICELOWM_X</stp>
        <stp>20</stp>
        <stp>0</stp>
        <stp>0</stp>
        <stp>0</stp>
        <stp>0</stp>
        <tr r="E35" s="4"/>
      </tp>
      <tp>
        <v>67.14</v>
        <stp/>
        <stp>136</stp>
        <stp>MSFT</stp>
        <stp>PRICELOWM_X</stp>
        <stp>27</stp>
        <stp>0</stp>
        <stp>0</stp>
        <stp>0</stp>
        <stp>0</stp>
        <tr r="E42" s="4"/>
      </tp>
      <tp>
        <v>68.09</v>
        <stp/>
        <stp>136</stp>
        <stp>MSFT</stp>
        <stp>PRICELOWM_X</stp>
        <stp>26</stp>
        <stp>0</stp>
        <stp>0</stp>
        <stp>0</stp>
        <stp>0</stp>
        <tr r="E41" s="4"/>
      </tp>
      <tp>
        <v>68.02</v>
        <stp/>
        <stp>136</stp>
        <stp>MSFT</stp>
        <stp>PRICELOWM_X</stp>
        <stp>25</stp>
        <stp>0</stp>
        <stp>0</stp>
        <stp>0</stp>
        <stp>0</stp>
        <tr r="E40" s="4"/>
      </tp>
      <tp>
        <v>71.28</v>
        <stp/>
        <stp>136</stp>
        <stp>MSFT</stp>
        <stp>PRICELOWM_X</stp>
        <stp>24</stp>
        <stp>0</stp>
        <stp>0</stp>
        <stp>0</stp>
        <stp>0</stp>
        <tr r="E39" s="4"/>
      </tp>
      <tp>
        <v>63.62</v>
        <stp/>
        <stp>136</stp>
        <stp>MSFT</stp>
        <stp>PRICELOWM_X</stp>
        <stp>29</stp>
        <stp>0</stp>
        <stp>0</stp>
        <stp>0</stp>
        <stp>0</stp>
        <tr r="E44" s="4"/>
      </tp>
      <tp>
        <v>64.849999999999994</v>
        <stp/>
        <stp>136</stp>
        <stp>MSFT</stp>
        <stp>PRICELOWM_X</stp>
        <stp>28</stp>
        <stp>0</stp>
        <stp>0</stp>
        <stp>0</stp>
        <stp>0</stp>
        <tr r="E43" s="4"/>
      </tp>
      <tp>
        <v>57.28</v>
        <stp/>
        <stp>136</stp>
        <stp>MSFT</stp>
        <stp>PRICELOWM_X</stp>
        <stp>33</stp>
        <stp>0</stp>
        <stp>0</stp>
        <stp>0</stp>
        <stp>0</stp>
        <tr r="E48" s="4"/>
      </tp>
      <tp>
        <v>58.8</v>
        <stp/>
        <stp>136</stp>
        <stp>MSFT</stp>
        <stp>PRICELOWM_X</stp>
        <stp>32</stp>
        <stp>0</stp>
        <stp>0</stp>
        <stp>0</stp>
        <stp>0</stp>
        <tr r="E47" s="4"/>
      </tp>
      <tp>
        <v>61.95</v>
        <stp/>
        <stp>136</stp>
        <stp>MSFT</stp>
        <stp>PRICELOWM_X</stp>
        <stp>31</stp>
        <stp>0</stp>
        <stp>0</stp>
        <stp>0</stp>
        <stp>0</stp>
        <tr r="E46" s="4"/>
      </tp>
      <tp>
        <v>62.75</v>
        <stp/>
        <stp>136</stp>
        <stp>MSFT</stp>
        <stp>PRICELOWM_X</stp>
        <stp>30</stp>
        <stp>0</stp>
        <stp>0</stp>
        <stp>0</stp>
        <stp>0</stp>
        <tr r="E45" s="4"/>
      </tp>
      <tp>
        <v>50.39</v>
        <stp/>
        <stp>136</stp>
        <stp>MSFT</stp>
        <stp>PRICELOWM_X</stp>
        <stp>37</stp>
        <stp>0</stp>
        <stp>0</stp>
        <stp>0</stp>
        <stp>0</stp>
        <tr r="E52" s="4"/>
      </tp>
      <tp>
        <v>56.14</v>
        <stp/>
        <stp>136</stp>
        <stp>MSFT</stp>
        <stp>PRICELOWM_X</stp>
        <stp>36</stp>
        <stp>0</stp>
        <stp>0</stp>
        <stp>0</stp>
        <stp>0</stp>
        <tr r="E51" s="4"/>
      </tp>
      <tp>
        <v>55.61</v>
        <stp/>
        <stp>136</stp>
        <stp>MSFT</stp>
        <stp>PRICELOWM_X</stp>
        <stp>35</stp>
        <stp>0</stp>
        <stp>0</stp>
        <stp>0</stp>
        <stp>0</stp>
        <tr r="E50" s="4"/>
      </tp>
      <tp>
        <v>56.314999999999998</v>
        <stp/>
        <stp>136</stp>
        <stp>MSFT</stp>
        <stp>PRICELOWM_X</stp>
        <stp>34</stp>
        <stp>0</stp>
        <stp>0</stp>
        <stp>0</stp>
        <stp>0</stp>
        <tr r="E49" s="4"/>
      </tp>
      <tp>
        <v>49.46</v>
        <stp/>
        <stp>136</stp>
        <stp>MSFT</stp>
        <stp>PRICELOWM_X</stp>
        <stp>39</stp>
        <stp>0</stp>
        <stp>0</stp>
        <stp>0</stp>
        <stp>0</stp>
        <tr r="E54" s="4"/>
      </tp>
      <tp>
        <v>48.034999999999997</v>
        <stp/>
        <stp>136</stp>
        <stp>MSFT</stp>
        <stp>PRICELOWM_X</stp>
        <stp>38</stp>
        <stp>0</stp>
        <stp>0</stp>
        <stp>0</stp>
        <stp>0</stp>
        <tr r="E53" s="4"/>
      </tp>
      <tp>
        <v>98</v>
        <stp/>
        <stp>136</stp>
        <stp>MSFT</stp>
        <stp>PRICELOWM_X</stp>
        <stp>13</stp>
        <stp>0</stp>
        <stp>0</stp>
        <stp>0</stp>
        <stp>0</stp>
        <tr r="E28" s="4"/>
      </tp>
      <tp>
        <v>104.84</v>
        <stp/>
        <stp>136</stp>
        <stp>MSFT</stp>
        <stp>PRICELOWM_X</stp>
        <stp>12</stp>
        <stp>0</stp>
        <stp>0</stp>
        <stp>0</stp>
        <stp>0</stp>
        <tr r="E27" s="4"/>
      </tp>
      <tp>
        <v>107.23</v>
        <stp/>
        <stp>136</stp>
        <stp>MSFT</stp>
        <stp>PRICELOWM_X</stp>
        <stp>11</stp>
        <stp>0</stp>
        <stp>0</stp>
        <stp>0</stp>
        <stp>0</stp>
        <tr r="E26" s="4"/>
      </tp>
      <tp>
        <v>100.11</v>
        <stp/>
        <stp>136</stp>
        <stp>MSFT</stp>
        <stp>PRICELOWM_X</stp>
        <stp>10</stp>
        <stp>0</stp>
        <stp>0</stp>
        <stp>0</stp>
        <stp>0</stp>
        <tr r="E25" s="4"/>
      </tp>
      <tp>
        <v>87.08</v>
        <stp/>
        <stp>136</stp>
        <stp>MSFT</stp>
        <stp>PRICELOWM_X</stp>
        <stp>17</stp>
        <stp>0</stp>
        <stp>0</stp>
        <stp>0</stp>
        <stp>0</stp>
        <tr r="E32" s="4"/>
      </tp>
      <tp>
        <v>87.51</v>
        <stp/>
        <stp>136</stp>
        <stp>MSFT</stp>
        <stp>PRICELOWM_X</stp>
        <stp>16</stp>
        <stp>0</stp>
        <stp>0</stp>
        <stp>0</stp>
        <stp>0</stp>
        <tr r="E31" s="4"/>
      </tp>
      <tp>
        <v>92.45</v>
        <stp/>
        <stp>136</stp>
        <stp>MSFT</stp>
        <stp>PRICELOWM_X</stp>
        <stp>15</stp>
        <stp>0</stp>
        <stp>0</stp>
        <stp>0</stp>
        <stp>0</stp>
        <tr r="E30" s="4"/>
      </tp>
      <tp>
        <v>97.26</v>
        <stp/>
        <stp>136</stp>
        <stp>MSFT</stp>
        <stp>PRICELOWM_X</stp>
        <stp>14</stp>
        <stp>0</stp>
        <stp>0</stp>
        <stp>0</stp>
        <stp>0</stp>
        <tr r="E29" s="4"/>
      </tp>
      <tp>
        <v>85.5</v>
        <stp/>
        <stp>136</stp>
        <stp>MSFT</stp>
        <stp>PRICELOWM_X</stp>
        <stp>19</stp>
        <stp>0</stp>
        <stp>0</stp>
        <stp>0</stp>
        <stp>0</stp>
        <tr r="E34" s="4"/>
      </tp>
      <tp>
        <v>83.83</v>
        <stp/>
        <stp>136</stp>
        <stp>MSFT</stp>
        <stp>PRICELOWM_X</stp>
        <stp>18</stp>
        <stp>0</stp>
        <stp>0</stp>
        <stp>0</stp>
        <stp>0</stp>
        <tr r="E33" s="4"/>
      </tp>
      <tp>
        <v>38.51</v>
        <stp/>
        <stp>136</stp>
        <stp>MSFT</stp>
        <stp>PRICELOWM_X</stp>
        <stp>63</stp>
        <stp>0</stp>
        <stp>0</stp>
        <stp>0</stp>
        <stp>0</stp>
        <tr r="E78" s="4"/>
      </tp>
      <tp>
        <v>39.86</v>
        <stp/>
        <stp>136</stp>
        <stp>MSFT</stp>
        <stp>PRICELOWM_X</stp>
        <stp>62</stp>
        <stp>0</stp>
        <stp>0</stp>
        <stp>0</stp>
        <stp>0</stp>
        <tr r="E77" s="4"/>
      </tp>
      <tp>
        <v>41.05</v>
        <stp/>
        <stp>136</stp>
        <stp>MSFT</stp>
        <stp>PRICELOWM_X</stp>
        <stp>61</stp>
        <stp>0</stp>
        <stp>0</stp>
        <stp>0</stp>
        <stp>0</stp>
        <tr r="E76" s="4"/>
      </tp>
      <tp>
        <v>42.21</v>
        <stp/>
        <stp>136</stp>
        <stp>MSFT</stp>
        <stp>PRICELOWM_X</stp>
        <stp>60</stp>
        <stp>0</stp>
        <stp>0</stp>
        <stp>0</stp>
        <stp>0</stp>
        <tr r="E75" s="4"/>
      </tp>
      <tp>
        <v>34.630000000000003</v>
        <stp/>
        <stp>136</stp>
        <stp>MSFT</stp>
        <stp>PRICELOWM_X</stp>
        <stp>67</stp>
        <stp>0</stp>
        <stp>0</stp>
        <stp>0</stp>
        <stp>0</stp>
        <tr r="E82" s="4"/>
      </tp>
      <tp>
        <v>35.69</v>
        <stp/>
        <stp>136</stp>
        <stp>MSFT</stp>
        <stp>PRICELOWM_X</stp>
        <stp>66</stp>
        <stp>0</stp>
        <stp>0</stp>
        <stp>0</stp>
        <stp>0</stp>
        <tr r="E81" s="4"/>
      </tp>
      <tp>
        <v>37.494999999999997</v>
        <stp/>
        <stp>136</stp>
        <stp>MSFT</stp>
        <stp>PRICELOWM_X</stp>
        <stp>65</stp>
        <stp>0</stp>
        <stp>0</stp>
        <stp>0</stp>
        <stp>0</stp>
        <tr r="E80" s="4"/>
      </tp>
      <tp>
        <v>38.9</v>
        <stp/>
        <stp>136</stp>
        <stp>MSFT</stp>
        <stp>PRICELOWM_X</stp>
        <stp>64</stp>
        <stp>0</stp>
        <stp>0</stp>
        <stp>0</stp>
        <stp>0</stp>
        <tr r="E79" s="4"/>
      </tp>
      <tp>
        <v>35.39</v>
        <stp/>
        <stp>136</stp>
        <stp>MSFT</stp>
        <stp>PRICELOWM_X</stp>
        <stp>69</stp>
        <stp>0</stp>
        <stp>0</stp>
        <stp>0</stp>
        <stp>0</stp>
        <tr r="E84" s="4"/>
      </tp>
      <tp>
        <v>35.53</v>
        <stp/>
        <stp>136</stp>
        <stp>MSFT</stp>
        <stp>PRICELOWM_X</stp>
        <stp>68</stp>
        <stp>0</stp>
        <stp>0</stp>
        <stp>0</stp>
        <stp>0</stp>
        <tr r="E83" s="4"/>
      </tp>
      <tp>
        <v>31.02</v>
        <stp/>
        <stp>136</stp>
        <stp>MSFT</stp>
        <stp>PRICELOWM_X</stp>
        <stp>73</stp>
        <stp>0</stp>
        <stp>0</stp>
        <stp>0</stp>
        <stp>0</stp>
        <tr r="E88" s="4"/>
      </tp>
      <tp>
        <v>30.84</v>
        <stp/>
        <stp>136</stp>
        <stp>MSFT</stp>
        <stp>PRICELOWM_X</stp>
        <stp>72</stp>
        <stp>0</stp>
        <stp>0</stp>
        <stp>0</stp>
        <stp>0</stp>
        <tr r="E87" s="4"/>
      </tp>
      <tp>
        <v>30.95</v>
        <stp/>
        <stp>136</stp>
        <stp>MSFT</stp>
        <stp>PRICELOWM_X</stp>
        <stp>71</stp>
        <stp>0</stp>
        <stp>0</stp>
        <stp>0</stp>
        <stp>0</stp>
        <tr r="E86" s="4"/>
      </tp>
      <tp>
        <v>32.799999999999997</v>
        <stp/>
        <stp>136</stp>
        <stp>MSFT</stp>
        <stp>PRICELOWM_X</stp>
        <stp>70</stp>
        <stp>0</stp>
        <stp>0</stp>
        <stp>0</stp>
        <stp>0</stp>
        <tr r="E85" s="4"/>
      </tp>
      <tp>
        <v>27.52</v>
        <stp/>
        <stp>136</stp>
        <stp>MSFT</stp>
        <stp>PRICELOWM_X</stp>
        <stp>77</stp>
        <stp>0</stp>
        <stp>0</stp>
        <stp>0</stp>
        <stp>0</stp>
        <tr r="E92" s="4"/>
      </tp>
      <tp>
        <v>28.11</v>
        <stp/>
        <stp>136</stp>
        <stp>MSFT</stp>
        <stp>PRICELOWM_X</stp>
        <stp>76</stp>
        <stp>0</stp>
        <stp>0</stp>
        <stp>0</stp>
        <stp>0</stp>
        <tr r="E91" s="4"/>
      </tp>
      <tp>
        <v>32.32</v>
        <stp/>
        <stp>136</stp>
        <stp>MSFT</stp>
        <stp>PRICELOWM_X</stp>
        <stp>75</stp>
        <stp>0</stp>
        <stp>0</stp>
        <stp>0</stp>
        <stp>0</stp>
        <tr r="E90" s="4"/>
      </tp>
      <tp>
        <v>32.57</v>
        <stp/>
        <stp>136</stp>
        <stp>MSFT</stp>
        <stp>PRICELOWM_X</stp>
        <stp>74</stp>
        <stp>0</stp>
        <stp>0</stp>
        <stp>0</stp>
        <stp>0</stp>
        <tr r="E89" s="4"/>
      </tp>
      <tp>
        <v>26.28</v>
        <stp/>
        <stp>136</stp>
        <stp>MSFT</stp>
        <stp>PRICELOWM_X</stp>
        <stp>79</stp>
        <stp>0</stp>
        <stp>0</stp>
        <stp>0</stp>
        <stp>0</stp>
        <tr r="E94" s="4"/>
      </tp>
      <tp>
        <v>27.1</v>
        <stp/>
        <stp>136</stp>
        <stp>MSFT</stp>
        <stp>PRICELOWM_X</stp>
        <stp>78</stp>
        <stp>0</stp>
        <stp>0</stp>
        <stp>0</stp>
        <stp>0</stp>
        <tr r="E93" s="4"/>
      </tp>
      <tp>
        <v>49.1</v>
        <stp/>
        <stp>136</stp>
        <stp>MSFT</stp>
        <stp>PRICELOWM_X</stp>
        <stp>43</stp>
        <stp>0</stp>
        <stp>0</stp>
        <stp>0</stp>
        <stp>0</stp>
        <tr r="E58" s="4"/>
      </tp>
      <tp>
        <v>48.19</v>
        <stp/>
        <stp>136</stp>
        <stp>MSFT</stp>
        <stp>PRICELOWM_X</stp>
        <stp>42</stp>
        <stp>0</stp>
        <stp>0</stp>
        <stp>0</stp>
        <stp>0</stp>
        <tr r="E57" s="4"/>
      </tp>
      <tp>
        <v>50.58</v>
        <stp/>
        <stp>136</stp>
        <stp>MSFT</stp>
        <stp>PRICELOWM_X</stp>
        <stp>41</stp>
        <stp>0</stp>
        <stp>0</stp>
        <stp>0</stp>
        <stp>0</stp>
        <tr r="E56" s="4"/>
      </tp>
      <tp>
        <v>49.35</v>
        <stp/>
        <stp>136</stp>
        <stp>MSFT</stp>
        <stp>PRICELOWM_X</stp>
        <stp>40</stp>
        <stp>0</stp>
        <stp>0</stp>
        <stp>0</stp>
        <stp>0</stp>
        <tr r="E55" s="4"/>
      </tp>
      <tp>
        <v>41.66</v>
        <stp/>
        <stp>136</stp>
        <stp>MSFT</stp>
        <stp>PRICELOWM_X</stp>
        <stp>47</stp>
        <stp>0</stp>
        <stp>0</stp>
        <stp>0</stp>
        <stp>0</stp>
        <tr r="E62" s="4"/>
      </tp>
      <tp>
        <v>43.75</v>
        <stp/>
        <stp>136</stp>
        <stp>MSFT</stp>
        <stp>PRICELOWM_X</stp>
        <stp>46</stp>
        <stp>0</stp>
        <stp>0</stp>
        <stp>0</stp>
        <stp>0</stp>
        <tr r="E61" s="4"/>
      </tp>
      <tp>
        <v>52.53</v>
        <stp/>
        <stp>136</stp>
        <stp>MSFT</stp>
        <stp>PRICELOWM_X</stp>
        <stp>45</stp>
        <stp>0</stp>
        <stp>0</stp>
        <stp>0</stp>
        <stp>0</stp>
        <tr r="E60" s="4"/>
      </tp>
      <tp>
        <v>53.68</v>
        <stp/>
        <stp>136</stp>
        <stp>MSFT</stp>
        <stp>PRICELOWM_X</stp>
        <stp>44</stp>
        <stp>0</stp>
        <stp>0</stp>
        <stp>0</stp>
        <stp>0</stp>
        <tr r="E59" s="4"/>
      </tp>
      <tp>
        <v>43.32</v>
        <stp/>
        <stp>136</stp>
        <stp>MSFT</stp>
        <stp>PRICELOWM_X</stp>
        <stp>49</stp>
        <stp>0</stp>
        <stp>0</stp>
        <stp>0</stp>
        <stp>0</stp>
        <tr r="E64" s="4"/>
      </tp>
      <tp>
        <v>39.72</v>
        <stp/>
        <stp>136</stp>
        <stp>MSFT</stp>
        <stp>PRICELOWM_X</stp>
        <stp>48</stp>
        <stp>0</stp>
        <stp>0</stp>
        <stp>0</stp>
        <stp>0</stp>
        <tr r="E63" s="4"/>
      </tp>
      <tp>
        <v>40.54</v>
        <stp/>
        <stp>136</stp>
        <stp>MSFT</stp>
        <stp>PRICELOWM_X</stp>
        <stp>53</stp>
        <stp>0</stp>
        <stp>0</stp>
        <stp>0</stp>
        <stp>0</stp>
        <tr r="E68" s="4"/>
      </tp>
      <tp>
        <v>40.119999999999997</v>
        <stp/>
        <stp>136</stp>
        <stp>MSFT</stp>
        <stp>PRICELOWM_X</stp>
        <stp>52</stp>
        <stp>0</stp>
        <stp>0</stp>
        <stp>0</stp>
        <stp>0</stp>
        <tr r="E67" s="4"/>
      </tp>
      <tp>
        <v>46.02</v>
        <stp/>
        <stp>136</stp>
        <stp>MSFT</stp>
        <stp>PRICELOWM_X</stp>
        <stp>51</stp>
        <stp>0</stp>
        <stp>0</stp>
        <stp>0</stp>
        <stp>0</stp>
        <tr r="E66" s="4"/>
      </tp>
      <tp>
        <v>43.94</v>
        <stp/>
        <stp>136</stp>
        <stp>MSFT</stp>
        <stp>PRICELOWM_X</stp>
        <stp>50</stp>
        <stp>0</stp>
        <stp>0</stp>
        <stp>0</stp>
        <stp>0</stp>
        <tr r="E65" s="4"/>
      </tp>
      <tp>
        <v>46.73</v>
        <stp/>
        <stp>136</stp>
        <stp>MSFT</stp>
        <stp>PRICELOWM_X</stp>
        <stp>57</stp>
        <stp>0</stp>
        <stp>0</stp>
        <stp>0</stp>
        <stp>0</stp>
        <tr r="E72" s="4"/>
      </tp>
      <tp>
        <v>44.9</v>
        <stp/>
        <stp>136</stp>
        <stp>MSFT</stp>
        <stp>PRICELOWM_X</stp>
        <stp>56</stp>
        <stp>0</stp>
        <stp>0</stp>
        <stp>0</stp>
        <stp>0</stp>
        <tr r="E71" s="4"/>
      </tp>
      <tp>
        <v>40.35</v>
        <stp/>
        <stp>136</stp>
        <stp>MSFT</stp>
        <stp>PRICELOWM_X</stp>
        <stp>55</stp>
        <stp>0</stp>
        <stp>0</stp>
        <stp>0</stp>
        <stp>0</stp>
        <tr r="E70" s="4"/>
      </tp>
      <tp>
        <v>40.229999999999997</v>
        <stp/>
        <stp>136</stp>
        <stp>MSFT</stp>
        <stp>PRICELOWM_X</stp>
        <stp>54</stp>
        <stp>0</stp>
        <stp>0</stp>
        <stp>0</stp>
        <stp>0</stp>
        <tr r="E69" s="4"/>
      </tp>
      <tp>
        <v>44.53</v>
        <stp/>
        <stp>136</stp>
        <stp>MSFT</stp>
        <stp>PRICELOWM_X</stp>
        <stp>59</stp>
        <stp>0</stp>
        <stp>0</stp>
        <stp>0</stp>
        <stp>0</stp>
        <tr r="E74" s="4"/>
      </tp>
      <tp>
        <v>42.1</v>
        <stp/>
        <stp>136</stp>
        <stp>MSFT</stp>
        <stp>PRICELOWM_X</stp>
        <stp>58</stp>
        <stp>0</stp>
        <stp>0</stp>
        <stp>0</stp>
        <stp>0</stp>
        <tr r="E73" s="4"/>
      </tp>
      <tp>
        <v>29.74</v>
        <stp/>
        <stp>136</stp>
        <stp>MSFT</stp>
        <stp>PRICELOWM_X</stp>
        <stp>83</stp>
        <stp>0</stp>
        <stp>0</stp>
        <stp>0</stp>
        <stp>0</stp>
        <tr r="E98" s="4"/>
      </tp>
      <tp>
        <v>27.76</v>
        <stp/>
        <stp>136</stp>
        <stp>MSFT</stp>
        <stp>PRICELOWM_X</stp>
        <stp>82</stp>
        <stp>0</stp>
        <stp>0</stp>
        <stp>0</stp>
        <stp>0</stp>
        <tr r="E97" s="4"/>
      </tp>
      <tp>
        <v>26.344999999999999</v>
        <stp/>
        <stp>136</stp>
        <stp>MSFT</stp>
        <stp>PRICELOWM_X</stp>
        <stp>81</stp>
        <stp>0</stp>
        <stp>0</stp>
        <stp>0</stp>
        <stp>0</stp>
        <tr r="E96" s="4"/>
      </tp>
      <tp>
        <v>26.26</v>
        <stp/>
        <stp>136</stp>
        <stp>MSFT</stp>
        <stp>PRICELOWM_X</stp>
        <stp>80</stp>
        <stp>0</stp>
        <stp>0</stp>
        <stp>0</stp>
        <stp>0</stp>
        <tr r="E95" s="4"/>
      </tp>
      <tp>
        <v>28.64</v>
        <stp/>
        <stp>136</stp>
        <stp>MSFT</stp>
        <stp>PRICELOWM_X</stp>
        <stp>87</stp>
        <stp>0</stp>
        <stp>0</stp>
        <stp>0</stp>
        <stp>0</stp>
        <tr r="E102" s="4"/>
      </tp>
      <tp>
        <v>28.32</v>
        <stp/>
        <stp>136</stp>
        <stp>MSFT</stp>
        <stp>PRICELOWM_X</stp>
        <stp>86</stp>
        <stp>0</stp>
        <stp>0</stp>
        <stp>0</stp>
        <stp>0</stp>
        <tr r="E101" s="4"/>
      </tp>
      <tp>
        <v>28.54</v>
        <stp/>
        <stp>136</stp>
        <stp>MSFT</stp>
        <stp>PRICELOWM_X</stp>
        <stp>85</stp>
        <stp>0</stp>
        <stp>0</stp>
        <stp>0</stp>
        <stp>0</stp>
        <tr r="E100" s="4"/>
      </tp>
      <tp>
        <v>28.97</v>
        <stp/>
        <stp>136</stp>
        <stp>MSFT</stp>
        <stp>PRICELOWM_X</stp>
        <stp>84</stp>
        <stp>0</stp>
        <stp>0</stp>
        <stp>0</stp>
        <stp>0</stp>
        <tr r="E99" s="4"/>
      </tp>
      <tp>
        <v>31.49</v>
        <stp/>
        <stp>136</stp>
        <stp>MSFT</stp>
        <stp>PRICELOWM_X</stp>
        <stp>89</stp>
        <stp>0</stp>
        <stp>0</stp>
        <stp>0</stp>
        <stp>0</stp>
        <tr r="E104" s="4"/>
      </tp>
      <tp>
        <v>30.23</v>
        <stp/>
        <stp>136</stp>
        <stp>MSFT</stp>
        <stp>PRICELOWM_X</stp>
        <stp>88</stp>
        <stp>0</stp>
        <stp>0</stp>
        <stp>0</stp>
        <stp>0</stp>
        <tr r="E103" s="4"/>
      </tp>
      <tp>
        <v>24.3</v>
        <stp/>
        <stp>136</stp>
        <stp>MSFT</stp>
        <stp>PRICELOWM_X</stp>
        <stp>93</stp>
        <stp>0</stp>
        <stp>0</stp>
        <stp>0</stp>
        <stp>0</stp>
        <tr r="E108" s="4"/>
      </tp>
      <tp>
        <v>25.16</v>
        <stp/>
        <stp>136</stp>
        <stp>MSFT</stp>
        <stp>PRICELOWM_X</stp>
        <stp>92</stp>
        <stp>0</stp>
        <stp>0</stp>
        <stp>0</stp>
        <stp>0</stp>
        <tr r="E107" s="4"/>
      </tp>
      <tp>
        <v>26.39</v>
        <stp/>
        <stp>136</stp>
        <stp>MSFT</stp>
        <stp>PRICELOWM_X</stp>
        <stp>91</stp>
        <stp>0</stp>
        <stp>0</stp>
        <stp>0</stp>
        <stp>0</stp>
        <tr r="E106" s="4"/>
      </tp>
      <tp>
        <v>29.71</v>
        <stp/>
        <stp>136</stp>
        <stp>MSFT</stp>
        <stp>PRICELOWM_X</stp>
        <stp>90</stp>
        <stp>0</stp>
        <stp>0</stp>
        <stp>0</stp>
        <stp>0</stp>
        <tr r="E105" s="4"/>
      </tp>
      <tp>
        <v>25.84</v>
        <stp/>
        <stp>136</stp>
        <stp>MSFT</stp>
        <stp>PRICELOWM_X</stp>
        <stp>97</stp>
        <stp>0</stp>
        <stp>0</stp>
        <stp>0</stp>
        <stp>0</stp>
        <tr r="E112" s="4"/>
      </tp>
      <tp>
        <v>23.79</v>
        <stp/>
        <stp>136</stp>
        <stp>MSFT</stp>
        <stp>PRICELOWM_X</stp>
        <stp>96</stp>
        <stp>0</stp>
        <stp>0</stp>
        <stp>0</stp>
        <stp>0</stp>
        <tr r="E111" s="4"/>
      </tp>
      <tp>
        <v>24.6</v>
        <stp/>
        <stp>136</stp>
        <stp>MSFT</stp>
        <stp>PRICELOWM_X</stp>
        <stp>95</stp>
        <stp>0</stp>
        <stp>0</stp>
        <stp>0</stp>
        <stp>0</stp>
        <tr r="E110" s="4"/>
      </tp>
      <tp>
        <v>24.26</v>
        <stp/>
        <stp>136</stp>
        <stp>MSFT</stp>
        <stp>PRICELOWM_X</stp>
        <stp>94</stp>
        <stp>0</stp>
        <stp>0</stp>
        <stp>0</stp>
        <stp>0</stp>
        <tr r="E109" s="4"/>
      </tp>
      <tp>
        <v>24.03</v>
        <stp/>
        <stp>136</stp>
        <stp>MSFT</stp>
        <stp>PRICELOWM_X</stp>
        <stp>99</stp>
        <stp>0</stp>
        <stp>0</stp>
        <stp>0</stp>
        <stp>0</stp>
        <tr r="E114" s="4"/>
      </tp>
      <tp>
        <v>23.65</v>
        <stp/>
        <stp>136</stp>
        <stp>MSFT</stp>
        <stp>PRICELOWM_X</stp>
        <stp>98</stp>
        <stp>0</stp>
        <stp>0</stp>
        <stp>0</stp>
        <stp>0</stp>
        <tr r="E113" s="4"/>
      </tp>
      <tp>
        <v>0.5</v>
        <stp/>
        <stp>136</stp>
        <stp>MSFT</stp>
        <stp>ASSETTURNOVERY_X</stp>
        <stp>3</stp>
        <stp>0</stp>
        <stp>0</stp>
        <stp>0</stp>
        <stp>0</stp>
        <tr r="F27" s="7"/>
      </tp>
      <tp>
        <v>0.4</v>
        <stp/>
        <stp>136</stp>
        <stp>MSFT</stp>
        <stp>ASSETTURNOVERY_X</stp>
        <stp>2</stp>
        <stp>0</stp>
        <stp>0</stp>
        <stp>0</stp>
        <stp>0</stp>
        <tr r="E27" s="7"/>
      </tp>
      <tp>
        <v>0.4</v>
        <stp/>
        <stp>136</stp>
        <stp>MSFT</stp>
        <stp>ASSETTURNOVERY_X</stp>
        <stp>1</stp>
        <stp>0</stp>
        <stp>0</stp>
        <stp>0</stp>
        <stp>0</stp>
        <tr r="D27" s="7"/>
      </tp>
      <tp>
        <v>0.6</v>
        <stp/>
        <stp>136</stp>
        <stp>MSFT</stp>
        <stp>ASSETTURNOVERY_X</stp>
        <stp>7</stp>
        <stp>0</stp>
        <stp>0</stp>
        <stp>0</stp>
        <stp>0</stp>
        <tr r="J27" s="7"/>
      </tp>
      <tp t="s">
        <v>Buffett Price Growth-Sust. Gr.</v>
        <stp/>
        <stp>137</stp>
        <stp/>
        <stp>BUFFETTPRICEGROWTHSUSTGROWTH</stp>
        <stp>0</stp>
        <stp>0</stp>
        <stp>0</stp>
        <stp>0</stp>
        <stp>0</stp>
        <tr r="B19" s="9"/>
      </tp>
      <tp>
        <v>0.6</v>
        <stp/>
        <stp>136</stp>
        <stp>MSFT</stp>
        <stp>ASSETTURNOVERY_X</stp>
        <stp>6</stp>
        <stp>0</stp>
        <stp>0</stp>
        <stp>0</stp>
        <stp>0</stp>
        <tr r="I27" s="7"/>
      </tp>
      <tp>
        <v>0.6</v>
        <stp/>
        <stp>136</stp>
        <stp>MSFT</stp>
        <stp>ASSETTURNOVERY_X</stp>
        <stp>5</stp>
        <stp>0</stp>
        <stp>0</stp>
        <stp>0</stp>
        <stp>0</stp>
        <tr r="H27" s="7"/>
      </tp>
      <tp>
        <v>0.5</v>
        <stp/>
        <stp>136</stp>
        <stp>MSFT</stp>
        <stp>ASSETTURNOVERY_X</stp>
        <stp>4</stp>
        <stp>0</stp>
        <stp>0</stp>
        <stp>0</stp>
        <stp>0</stp>
        <tr r="G27" s="7"/>
      </tp>
      <tp t="s">
        <v>% Rank-Free Cash Flow Growth</v>
        <stp/>
        <stp>137</stp>
        <stp/>
        <stp>PCNTRANKFREECASHFLOWGROWTH1Y</stp>
        <stp>1</stp>
        <stp>0</stp>
        <stp>0</stp>
        <stp>0</stp>
        <stp>0</stp>
        <tr r="B58" s="3"/>
      </tp>
      <tp>
        <v>283.7</v>
        <stp/>
        <stp>136</stp>
        <stp>BOOM</stp>
        <stp>EPSDILGROWTHQ5TOQ1</stp>
        <stp>0</stp>
        <stp>0</stp>
        <stp>0</stp>
        <stp>0</stp>
        <stp>0</stp>
        <tr r="H13" s="3"/>
      </tp>
      <tp>
        <v>833.6</v>
        <stp/>
        <stp>136</stp>
        <stp>BOOM</stp>
        <stp>EPSDILGROWTHQ6TOQ2</stp>
        <stp>0</stp>
        <stp>0</stp>
        <stp>0</stp>
        <stp>0</stp>
        <stp>0</stp>
        <tr r="I13" s="3"/>
      </tp>
      <tp>
        <v>133.6</v>
        <stp/>
        <stp>136</stp>
        <stp>BOOM</stp>
        <stp>EPSDILGROWTHQ7TOQ3</stp>
        <stp>0</stp>
        <stp>0</stp>
        <stp>0</stp>
        <stp>0</stp>
        <stp>0</stp>
        <tr r="J13" s="3"/>
      </tp>
      <tp>
        <v>86.2</v>
        <stp/>
        <stp>136</stp>
        <stp>BOOM</stp>
        <stp>SALESQ_X</stp>
        <stp>8</stp>
        <stp>0</stp>
        <stp>0</stp>
        <stp>0</stp>
        <stp>0</stp>
        <tr r="J7" s="12"/>
        <tr r="J7" s="11"/>
      </tp>
      <tp>
        <v>87.9</v>
        <stp/>
        <stp>136</stp>
        <stp>BOOM</stp>
        <stp>SALESQ_X</stp>
        <stp>3</stp>
        <stp>0</stp>
        <stp>0</stp>
        <stp>0</stp>
        <stp>0</stp>
        <tr r="E7" s="12"/>
        <tr r="E7" s="11"/>
      </tp>
      <tp>
        <v>90.3</v>
        <stp/>
        <stp>136</stp>
        <stp>BOOM</stp>
        <stp>SALESQ_X</stp>
        <stp>2</stp>
        <stp>0</stp>
        <stp>0</stp>
        <stp>0</stp>
        <stp>0</stp>
        <tr r="D7" s="11"/>
        <tr r="D7" s="12"/>
      </tp>
      <tp>
        <v>100.1</v>
        <stp/>
        <stp>136</stp>
        <stp>BOOM</stp>
        <stp>SALESQ_X</stp>
        <stp>1</stp>
        <stp>0</stp>
        <stp>0</stp>
        <stp>0</stp>
        <stp>0</stp>
        <tr r="C7" s="11"/>
        <tr r="C7" s="12"/>
      </tp>
      <tp>
        <v>52.2</v>
        <stp/>
        <stp>136</stp>
        <stp>BOOM</stp>
        <stp>SALESQ_X</stp>
        <stp>7</stp>
        <stp>0</stp>
        <stp>0</stp>
        <stp>0</stp>
        <stp>0</stp>
        <tr r="I7" s="11"/>
        <tr r="I7" s="12"/>
      </tp>
      <tp>
        <v>54.5</v>
        <stp/>
        <stp>136</stp>
        <stp>BOOM</stp>
        <stp>SALESQ_X</stp>
        <stp>6</stp>
        <stp>0</stp>
        <stp>0</stp>
        <stp>0</stp>
        <stp>0</stp>
        <tr r="H7" s="12"/>
        <tr r="H7" s="11"/>
      </tp>
      <tp>
        <v>67.3</v>
        <stp/>
        <stp>136</stp>
        <stp>BOOM</stp>
        <stp>SALESQ_X</stp>
        <stp>5</stp>
        <stp>0</stp>
        <stp>0</stp>
        <stp>0</stp>
        <stp>0</stp>
        <tr r="G7" s="12"/>
        <tr r="G7" s="11"/>
      </tp>
      <tp>
        <v>148.19999999999999</v>
        <stp/>
        <stp>136</stp>
        <stp>BOOM</stp>
        <stp>SALESQ_X</stp>
        <stp>4</stp>
        <stp>0</stp>
        <stp>0</stp>
        <stp>0</stp>
        <stp>0</stp>
        <tr r="F7" s="12"/>
        <tr r="F7" s="11"/>
      </tp>
      <tp t="s">
        <v>% Rank-Net Margind</v>
        <stp/>
        <stp>137</stp>
        <stp/>
        <stp>PCNTRANKNETMARGINY_X</stp>
        <stp>0</stp>
        <stp>0</stp>
        <stp>0</stp>
        <stp>0</stp>
        <stp>0</stp>
        <tr r="B89" s="7"/>
      </tp>
      <tp>
        <v>94.5</v>
        <stp/>
        <stp>136</stp>
        <stp>BEAT</stp>
        <stp>SALESQ_X</stp>
        <stp>5</stp>
        <stp>0</stp>
        <stp>0</stp>
        <stp>0</stp>
        <stp>0</stp>
        <tr r="J65" s="13"/>
      </tp>
      <tp>
        <v>101.4</v>
        <stp/>
        <stp>136</stp>
        <stp>BEAT</stp>
        <stp>SALESQ_X</stp>
        <stp>4</stp>
        <stp>0</stp>
        <stp>0</stp>
        <stp>0</stp>
        <stp>0</stp>
        <tr r="I13" s="13"/>
        <tr r="I65" s="13"/>
      </tp>
      <tp>
        <v>81</v>
        <stp/>
        <stp>136</stp>
        <stp>BEAT</stp>
        <stp>SALESQ_X</stp>
        <stp>7</stp>
        <stp>0</stp>
        <stp>0</stp>
        <stp>0</stp>
        <stp>0</stp>
        <tr r="L65" s="13"/>
      </tp>
      <tp>
        <v>91.7</v>
        <stp/>
        <stp>136</stp>
        <stp>BEAT</stp>
        <stp>SALESQ_X</stp>
        <stp>6</stp>
        <stp>0</stp>
        <stp>0</stp>
        <stp>0</stp>
        <stp>0</stp>
        <tr r="K65" s="13"/>
      </tp>
      <tp>
        <v>104</v>
        <stp/>
        <stp>136</stp>
        <stp>BEAT</stp>
        <stp>SALESQ_X</stp>
        <stp>1</stp>
        <stp>0</stp>
        <stp>0</stp>
        <stp>0</stp>
        <stp>0</stp>
        <tr r="F13" s="13"/>
        <tr r="F65" s="13"/>
      </tp>
      <tp>
        <v>100</v>
        <stp/>
        <stp>136</stp>
        <stp>BEAT</stp>
        <stp>SALESQ_X</stp>
        <stp>3</stp>
        <stp>0</stp>
        <stp>0</stp>
        <stp>0</stp>
        <stp>0</stp>
        <tr r="H13" s="13"/>
        <tr r="H65" s="13"/>
      </tp>
      <tp>
        <v>103.6</v>
        <stp/>
        <stp>136</stp>
        <stp>BEAT</stp>
        <stp>SALESQ_X</stp>
        <stp>2</stp>
        <stp>0</stp>
        <stp>0</stp>
        <stp>0</stp>
        <stp>0</stp>
        <tr r="G13" s="13"/>
        <tr r="G65" s="13"/>
      </tp>
      <tp>
        <v>399.5</v>
        <stp/>
        <stp>136</stp>
        <stp>BEAT</stp>
        <stp>SALESY_X</stp>
        <stp>1</stp>
        <stp>0</stp>
        <stp>0</stp>
        <stp>0</stp>
        <stp>0</stp>
        <tr r="L66" s="13"/>
      </tp>
      <tp>
        <v>58.1</v>
        <stp/>
        <stp>136</stp>
        <stp>BEAT</stp>
        <stp>SALESQ_X</stp>
        <stp>8</stp>
        <stp>0</stp>
        <stp>0</stp>
        <stp>0</stp>
        <stp>0</stp>
        <tr r="M65" s="13"/>
      </tp>
      <tp>
        <v>286.8</v>
        <stp/>
        <stp>136</stp>
        <stp>BEAT</stp>
        <stp>SALESY_X</stp>
        <stp>2</stp>
        <stp>0</stp>
        <stp>0</stp>
        <stp>0</stp>
        <stp>0</stp>
        <tr r="M66" s="13"/>
      </tp>
      <tp>
        <v>485</v>
        <stp/>
        <stp>136</stp>
        <stp>AAPL</stp>
        <stp>SECTORMARKETCAPQ1</stp>
        <stp>0</stp>
        <stp>0</stp>
        <stp>0</stp>
        <stp>0</stp>
        <stp>0</stp>
        <tr r="E39" s="5"/>
      </tp>
      <tp>
        <v>74</v>
        <stp/>
        <stp>136</stp>
        <stp>MSFT</stp>
        <stp>PCNTRANKPE</stp>
        <stp>0</stp>
        <stp>0</stp>
        <stp>0</stp>
        <stp>0</stp>
        <stp>0</stp>
        <tr r="C30" s="6"/>
      </tp>
      <tp>
        <v>348.7</v>
        <stp/>
        <stp>136</stp>
        <stp>BOOM</stp>
        <stp>PRETAXINCOMEGROWTHQ5TOQ1</stp>
        <stp>0</stp>
        <stp>0</stp>
        <stp>0</stp>
        <stp>0</stp>
        <stp>0</stp>
        <tr r="H8" s="3"/>
      </tp>
      <tp t="s">
        <v>NA</v>
        <stp/>
        <stp>136</stp>
        <stp>BOOM</stp>
        <stp>PRETAXINCOMEGROWTHQ6TOQ2</stp>
        <stp>0</stp>
        <stp>0</stp>
        <stp>0</stp>
        <stp>0</stp>
        <stp>0</stp>
        <tr r="I8" s="3"/>
      </tp>
      <tp>
        <v>160.30000000000001</v>
        <stp/>
        <stp>136</stp>
        <stp>BOOM</stp>
        <stp>PRETAXINCOMEGROWTHQ7TOQ3</stp>
        <stp>0</stp>
        <stp>0</stp>
        <stp>0</stp>
        <stp>0</stp>
        <stp>0</stp>
        <tr r="J8" s="3"/>
      </tp>
      <tp t="s">
        <v>% Rank-Total Assets</v>
        <stp/>
        <stp>137</stp>
        <stp/>
        <stp>PCNTRANKTOTALASSETSY_X</stp>
        <stp>0</stp>
        <stp>0</stp>
        <stp>0</stp>
        <stp>0</stp>
        <stp>0</stp>
        <tr r="B90" s="7"/>
      </tp>
      <tp>
        <v>19.2</v>
        <stp/>
        <stp>136</stp>
        <stp>MSFT</stp>
        <stp>INDUSTRYEPSGROWTHESTHIGH</stp>
        <stp>0</stp>
        <stp>0</stp>
        <stp>0</stp>
        <stp>0</stp>
        <stp>0</stp>
        <tr r="I7" s="8"/>
      </tp>
      <tp>
        <v>1.6</v>
        <stp/>
        <stp>136</stp>
        <stp>BOOM</stp>
        <stp>SECTORNETINCOMEGROWTH12M</stp>
        <stp>0</stp>
        <stp>0</stp>
        <stp>0</stp>
        <stp>0</stp>
        <stp>0</stp>
        <tr r="G38" s="3"/>
      </tp>
      <tp>
        <v>28</v>
        <stp/>
        <stp>136</stp>
        <stp>MSFT</stp>
        <stp>INDUSTRYPELOWAVE7Y</stp>
        <stp>0</stp>
        <stp>0</stp>
        <stp>0</stp>
        <stp>0</stp>
        <stp>0</stp>
        <tr r="D50" s="6"/>
      </tp>
      <tp>
        <v>28</v>
        <stp/>
        <stp>136</stp>
        <stp>MSFT</stp>
        <stp>INDUSTRYPELOWAVE5Y</stp>
        <stp>0</stp>
        <stp>0</stp>
        <stp>0</stp>
        <stp>0</stp>
        <stp>0</stp>
        <tr r="D49" s="6"/>
      </tp>
      <tp>
        <v>30.1</v>
        <stp/>
        <stp>136</stp>
        <stp>MSFT</stp>
        <stp>INDUSTRYPELOWAVE3Y</stp>
        <stp>0</stp>
        <stp>0</stp>
        <stp>0</stp>
        <stp>0</stp>
        <stp>0</stp>
        <tr r="D48" s="6"/>
      </tp>
      <tp t="s">
        <v>Price/Book</v>
        <stp/>
        <stp>137</stp>
        <stp/>
        <stp>PRICEPERBOOK</stp>
        <stp>0</stp>
        <stp>0</stp>
        <stp>0</stp>
        <stp>0</stp>
        <stp>0</stp>
        <tr r="B7" s="6"/>
      </tp>
      <tp t="s">
        <v>Earnings Retained to Book</v>
        <stp/>
        <stp>137</stp>
        <stp/>
        <stp>EARNINGSRETAINEDTOBOOK</stp>
        <stp>0</stp>
        <stp>0</stp>
        <stp>0</stp>
        <stp>0</stp>
        <stp>0</stp>
        <tr r="B104" s="5"/>
      </tp>
      <tp t="s">
        <v>Valuation-P/FCFPS</v>
        <stp/>
        <stp>137</stp>
        <stp/>
        <stp>VALUATIONFCFPS</stp>
        <stp>0</stp>
        <stp>0</stp>
        <stp>0</stp>
        <stp>0</stp>
        <stp>0</stp>
        <tr r="B9" s="9"/>
      </tp>
      <tp>
        <v>44</v>
        <stp/>
        <stp>136</stp>
        <stp>MSFT</stp>
        <stp>PCNTRANKASSETTURNOVER12M</stp>
        <stp>0</stp>
        <stp>0</stp>
        <stp>0</stp>
        <stp>0</stp>
        <stp>0</stp>
        <tr r="C108" s="7"/>
      </tp>
      <tp t="s">
        <v>Industry Receivables turnover</v>
        <stp/>
        <stp>137</stp>
        <stp/>
        <stp>INDUSTRYRECEIVABLESTURNOVERY_X</stp>
        <stp>0</stp>
        <stp>0</stp>
        <stp>0</stp>
        <stp>0</stp>
        <stp>0</stp>
        <tr r="B52" s="7"/>
      </tp>
      <tp>
        <v>-3.72</v>
        <stp/>
        <stp>136</stp>
        <stp>AAPL</stp>
        <stp>INDUSTRYRELATIVESTRENGTH4W</stp>
        <stp>0</stp>
        <stp>0</stp>
        <stp>0</stp>
        <stp>0</stp>
        <stp>0</stp>
        <tr r="C58" s="5"/>
      </tp>
      <tp>
        <v>6143</v>
        <stp/>
        <stp>136</stp>
        <stp>MSFT</stp>
        <stp>OTHERLTASSETSQ_X</stp>
        <stp>8</stp>
        <stp>0</stp>
        <stp>0</stp>
        <stp>0</stp>
        <stp>0</stp>
        <tr r="J67" s="1"/>
      </tp>
      <tp>
        <v>10258</v>
        <stp/>
        <stp>136</stp>
        <stp>MSFT</stp>
        <stp>OTHERLTASSETSQ_X</stp>
        <stp>1</stp>
        <stp>0</stp>
        <stp>0</stp>
        <stp>0</stp>
        <stp>0</stp>
        <tr r="C67" s="1"/>
      </tp>
      <tp>
        <v>10129</v>
        <stp/>
        <stp>136</stp>
        <stp>MSFT</stp>
        <stp>OTHERLTASSETSQ_X</stp>
        <stp>2</stp>
        <stp>0</stp>
        <stp>0</stp>
        <stp>0</stp>
        <stp>0</stp>
        <tr r="D67" s="1"/>
      </tp>
      <tp>
        <v>9792</v>
        <stp/>
        <stp>136</stp>
        <stp>MSFT</stp>
        <stp>OTHERLTASSETSQ_X</stp>
        <stp>3</stp>
        <stp>0</stp>
        <stp>0</stp>
        <stp>0</stp>
        <stp>0</stp>
        <tr r="E67" s="1"/>
      </tp>
      <tp>
        <v>7442</v>
        <stp/>
        <stp>136</stp>
        <stp>MSFT</stp>
        <stp>OTHERLTASSETSQ_X</stp>
        <stp>4</stp>
        <stp>0</stp>
        <stp>0</stp>
        <stp>0</stp>
        <stp>0</stp>
        <tr r="F67" s="1"/>
      </tp>
      <tp>
        <v>7106</v>
        <stp/>
        <stp>136</stp>
        <stp>MSFT</stp>
        <stp>OTHERLTASSETSQ_X</stp>
        <stp>5</stp>
        <stp>0</stp>
        <stp>0</stp>
        <stp>0</stp>
        <stp>0</stp>
        <tr r="G67" s="1"/>
      </tp>
      <tp>
        <v>6974</v>
        <stp/>
        <stp>136</stp>
        <stp>MSFT</stp>
        <stp>OTHERLTASSETSQ_X</stp>
        <stp>6</stp>
        <stp>0</stp>
        <stp>0</stp>
        <stp>0</stp>
        <stp>0</stp>
        <tr r="H67" s="1"/>
      </tp>
      <tp>
        <v>6106</v>
        <stp/>
        <stp>136</stp>
        <stp>MSFT</stp>
        <stp>OTHERLTASSETSQ_X</stp>
        <stp>7</stp>
        <stp>0</stp>
        <stp>0</stp>
        <stp>0</stp>
        <stp>0</stp>
        <tr r="I67" s="1"/>
      </tp>
      <tp t="s">
        <v>Fundamental Rule of Thumb</v>
        <stp/>
        <stp>137</stp>
        <stp/>
        <stp>FUNDAMENTALRULEOFTHUMB</stp>
        <stp>0</stp>
        <stp>0</stp>
        <stp>0</stp>
        <stp>0</stp>
        <stp>0</stp>
        <tr r="B91" s="5"/>
      </tp>
      <tp>
        <v>0.4</v>
        <stp/>
        <stp>136</stp>
        <stp>BOOM</stp>
        <stp>INDUSTRYDIVIDENDGROWTH1Y</stp>
        <stp>0</stp>
        <stp>0</stp>
        <stp>0</stp>
        <stp>0</stp>
        <stp>0</stp>
        <tr r="C31" s="3"/>
      </tp>
      <tp>
        <v>0</v>
        <stp/>
        <stp>136</stp>
        <stp>BOOM</stp>
        <stp>INDUSTRYDIVIDENDGROWTH3Y</stp>
        <stp>0</stp>
        <stp>0</stp>
        <stp>0</stp>
        <stp>0</stp>
        <stp>0</stp>
        <tr r="D31" s="3"/>
      </tp>
      <tp>
        <v>0</v>
        <stp/>
        <stp>136</stp>
        <stp>BOOM</stp>
        <stp>INDUSTRYDIVIDENDGROWTH5Y</stp>
        <stp>0</stp>
        <stp>0</stp>
        <stp>0</stp>
        <stp>0</stp>
        <stp>0</stp>
        <tr r="E31" s="3"/>
      </tp>
      <tp>
        <v>0</v>
        <stp/>
        <stp>136</stp>
        <stp>BOOM</stp>
        <stp>INDUSTRYDIVIDENDGROWTH7Y</stp>
        <stp>0</stp>
        <stp>0</stp>
        <stp>0</stp>
        <stp>0</stp>
        <stp>0</stp>
        <tr r="F31" s="3"/>
      </tp>
      <tp>
        <v>31</v>
        <stp/>
        <stp>136</stp>
        <stp>MSFT</stp>
        <stp>PE</stp>
        <stp>0</stp>
        <stp>0</stp>
        <stp>0</stp>
        <stp>0</stp>
        <stp>0</stp>
        <tr r="C6" s="6"/>
      </tp>
      <tp>
        <v>78</v>
        <stp/>
        <stp>136</stp>
        <stp>BOOM</stp>
        <stp>PCNTRANKCASHFLOWGROWTH3Y</stp>
        <stp>0</stp>
        <stp>0</stp>
        <stp>0</stp>
        <stp>0</stp>
        <stp>0</stp>
        <tr r="D57" s="3"/>
      </tp>
      <tp>
        <v>59</v>
        <stp/>
        <stp>136</stp>
        <stp>BOOM</stp>
        <stp>PCNTRANKCASHFLOWGROWTH1Y</stp>
        <stp>0</stp>
        <stp>0</stp>
        <stp>0</stp>
        <stp>0</stp>
        <stp>0</stp>
        <tr r="C57" s="3"/>
      </tp>
      <tp>
        <v>85</v>
        <stp/>
        <stp>136</stp>
        <stp>BOOM</stp>
        <stp>PCNTRANKCASHFLOWGROWTH7Y</stp>
        <stp>0</stp>
        <stp>0</stp>
        <stp>0</stp>
        <stp>0</stp>
        <stp>0</stp>
        <tr r="F57" s="3"/>
      </tp>
      <tp>
        <v>59</v>
        <stp/>
        <stp>136</stp>
        <stp>BOOM</stp>
        <stp>PCNTRANKCASHFLOWGROWTH5Y</stp>
        <stp>0</stp>
        <stp>0</stp>
        <stp>0</stp>
        <stp>0</stp>
        <stp>0</stp>
        <tr r="E57" s="3"/>
      </tp>
      <tp t="s">
        <v>Total Assets</v>
        <stp/>
        <stp>137</stp>
        <stp/>
        <stp>TOTALASSETSQ_X</stp>
        <stp>0</stp>
        <stp>0</stp>
        <stp>0</stp>
        <stp>0</stp>
        <stp>0</stp>
        <tr r="D47" s="13"/>
        <tr r="B66" s="11"/>
        <tr r="B66" s="12"/>
        <tr r="B68" s="1"/>
      </tp>
      <tp>
        <v>4.5339999999999998</v>
        <stp/>
        <stp>136</stp>
        <stp>MSFT</stp>
        <stp>EPSCONTINUING12M</stp>
        <stp>0</stp>
        <stp>0</stp>
        <stp>0</stp>
        <stp>0</stp>
        <stp>0</stp>
        <tr r="L32" s="1"/>
      </tp>
      <tp>
        <v>20.100000000000001</v>
        <stp/>
        <stp>136</stp>
        <stp>MSFT</stp>
        <stp>SECTORPELOWAVE5Y</stp>
        <stp>0</stp>
        <stp>0</stp>
        <stp>0</stp>
        <stp>0</stp>
        <stp>0</stp>
        <tr r="E49" s="6"/>
      </tp>
      <tp>
        <v>19.600000000000001</v>
        <stp/>
        <stp>136</stp>
        <stp>MSFT</stp>
        <stp>SECTORPELOWAVE7Y</stp>
        <stp>0</stp>
        <stp>0</stp>
        <stp>0</stp>
        <stp>0</stp>
        <stp>0</stp>
        <tr r="E50" s="6"/>
      </tp>
      <tp>
        <v>19.3</v>
        <stp/>
        <stp>136</stp>
        <stp>MSFT</stp>
        <stp>SECTORPELOWAVE3Y</stp>
        <stp>0</stp>
        <stp>0</stp>
        <stp>0</stp>
        <stp>0</stp>
        <stp>0</stp>
        <tr r="E48" s="6"/>
      </tp>
      <tp>
        <v>27.3</v>
        <stp/>
        <stp>136</stp>
        <stp>MSFT</stp>
        <stp>SECTORPE</stp>
        <stp>0</stp>
        <stp>0</stp>
        <stp>0</stp>
        <stp>0</stp>
        <stp>0</stp>
        <tr r="C22" s="6"/>
      </tp>
      <tp>
        <v>234.9</v>
        <stp/>
        <stp>136</stp>
        <stp>BOOM</stp>
        <stp>COSTOFGOODSSOLD12M</stp>
        <stp>0</stp>
        <stp>0</stp>
        <stp>0</stp>
        <stp>0</stp>
        <stp>0</stp>
        <tr r="L8" s="12"/>
        <tr r="L8" s="11"/>
      </tp>
      <tp>
        <v>11</v>
        <stp/>
        <stp>136</stp>
        <stp>AAPL</stp>
        <stp>INSIDERBUYTRADES</stp>
        <stp>0</stp>
        <stp>0</stp>
        <stp>0</stp>
        <stp>0</stp>
        <stp>0</stp>
        <tr r="C34" s="5"/>
      </tp>
      <tp>
        <v>13.8</v>
        <stp/>
        <stp>136</stp>
        <stp>BEAT</stp>
        <stp>OPERATINGMARGIN12M</stp>
        <stp>0</stp>
        <stp>0</stp>
        <stp>0</stp>
        <stp>0</stp>
        <stp>0</stp>
        <tr r="F62" s="13"/>
      </tp>
      <tp>
        <v>39520</v>
        <stp/>
        <stp>136</stp>
        <stp>MSFT</stp>
        <stp>OTHERCURRENTLIABILITIESQ_X</stp>
        <stp>1</stp>
        <stp>0</stp>
        <stp>0</stp>
        <stp>0</stp>
        <stp>0</stp>
        <tr r="C73" s="1"/>
      </tp>
      <tp>
        <v>38994</v>
        <stp/>
        <stp>136</stp>
        <stp>MSFT</stp>
        <stp>OTHERCURRENTLIABILITIESQ_X</stp>
        <stp>2</stp>
        <stp>0</stp>
        <stp>0</stp>
        <stp>0</stp>
        <stp>0</stp>
        <tr r="D73" s="1"/>
      </tp>
      <tp>
        <v>41066</v>
        <stp/>
        <stp>136</stp>
        <stp>MSFT</stp>
        <stp>OTHERCURRENTLIABILITIESQ_X</stp>
        <stp>3</stp>
        <stp>0</stp>
        <stp>0</stp>
        <stp>0</stp>
        <stp>0</stp>
        <tr r="E73" s="1"/>
      </tp>
      <tp>
        <v>45697</v>
        <stp/>
        <stp>136</stp>
        <stp>MSFT</stp>
        <stp>OTHERCURRENTLIABILITIESQ_X</stp>
        <stp>4</stp>
        <stp>0</stp>
        <stp>0</stp>
        <stp>0</stp>
        <stp>0</stp>
        <tr r="F73" s="1"/>
      </tp>
      <tp>
        <v>34652</v>
        <stp/>
        <stp>136</stp>
        <stp>MSFT</stp>
        <stp>OTHERCURRENTLIABILITIESQ_X</stp>
        <stp>5</stp>
        <stp>0</stp>
        <stp>0</stp>
        <stp>0</stp>
        <stp>0</stp>
        <tr r="G73" s="1"/>
      </tp>
      <tp>
        <v>34181</v>
        <stp/>
        <stp>136</stp>
        <stp>MSFT</stp>
        <stp>OTHERCURRENTLIABILITIESQ_X</stp>
        <stp>6</stp>
        <stp>0</stp>
        <stp>0</stp>
        <stp>0</stp>
        <stp>0</stp>
        <tr r="H73" s="1"/>
      </tp>
      <tp>
        <v>35383</v>
        <stp/>
        <stp>136</stp>
        <stp>MSFT</stp>
        <stp>OTHERCURRENTLIABILITIESQ_X</stp>
        <stp>7</stp>
        <stp>0</stp>
        <stp>0</stp>
        <stp>0</stp>
        <stp>0</stp>
        <tr r="I73" s="1"/>
      </tp>
      <tp>
        <v>38121</v>
        <stp/>
        <stp>136</stp>
        <stp>MSFT</stp>
        <stp>OTHERCURRENTLIABILITIESQ_X</stp>
        <stp>8</stp>
        <stp>0</stp>
        <stp>0</stp>
        <stp>0</stp>
        <stp>0</stp>
        <tr r="J73" s="1"/>
      </tp>
      <tp>
        <v>11.8</v>
        <stp/>
        <stp>136</stp>
        <stp>BOOM</stp>
        <stp>SECTORFREECASHFLOWGROWTH5Y</stp>
        <stp>0</stp>
        <stp>0</stp>
        <stp>0</stp>
        <stp>0</stp>
        <stp>0</stp>
        <tr r="E44" s="3"/>
      </tp>
      <tp>
        <v>10.8</v>
        <stp/>
        <stp>136</stp>
        <stp>BOOM</stp>
        <stp>SECTORFREECASHFLOWGROWTH7Y</stp>
        <stp>0</stp>
        <stp>0</stp>
        <stp>0</stp>
        <stp>0</stp>
        <stp>0</stp>
        <tr r="F44" s="3"/>
      </tp>
      <tp>
        <v>0.1</v>
        <stp/>
        <stp>136</stp>
        <stp>BOOM</stp>
        <stp>SECTORFREECASHFLOWGROWTH1Y</stp>
        <stp>0</stp>
        <stp>0</stp>
        <stp>0</stp>
        <stp>0</stp>
        <stp>0</stp>
        <tr r="C44" s="3"/>
      </tp>
      <tp>
        <v>6.4</v>
        <stp/>
        <stp>136</stp>
        <stp>BOOM</stp>
        <stp>SECTORFREECASHFLOWGROWTH3Y</stp>
        <stp>0</stp>
        <stp>0</stp>
        <stp>0</stp>
        <stp>0</stp>
        <stp>0</stp>
        <tr r="D44" s="3"/>
      </tp>
      <tp t="s">
        <v>NA</v>
        <stp/>
        <stp>136</stp>
        <stp>BOOM</stp>
        <stp>OPERATINGINCOMEGROWTH12M</stp>
        <stp>0</stp>
        <stp>0</stp>
        <stp>0</stp>
        <stp>0</stp>
        <stp>0</stp>
        <tr r="G9" s="3"/>
      </tp>
      <tp>
        <v>110.68</v>
        <stp/>
        <stp>136</stp>
        <stp>MSFT</stp>
        <stp>INVE$TWAREBUYPRICE</stp>
        <stp>0</stp>
        <stp>0</stp>
        <stp>0</stp>
        <stp>0</stp>
        <stp>0</stp>
        <tr r="C23" s="9"/>
      </tp>
      <tp>
        <v>2.859</v>
        <stp/>
        <stp>136</stp>
        <stp>BOOM</stp>
        <stp>EPSCONTINUING12M</stp>
        <stp>0</stp>
        <stp>0</stp>
        <stp>0</stp>
        <stp>0</stp>
        <stp>0</stp>
        <tr r="L30" s="11"/>
        <tr r="L30" s="12"/>
      </tp>
      <tp t="s">
        <v>% Rank-Inventory Turnover</v>
        <stp/>
        <stp>137</stp>
        <stp/>
        <stp>PCNTRANKINVENTORYTURNOVERY_X</stp>
        <stp>0</stp>
        <stp>0</stp>
        <stp>0</stp>
        <stp>0</stp>
        <stp>0</stp>
        <tr r="B107" s="7"/>
      </tp>
      <tp t="s">
        <v>NA</v>
        <stp/>
        <stp>136</stp>
        <stp>MSFT</stp>
        <stp>PRICEPERCFPSAVEY_X</stp>
        <stp>7</stp>
        <stp>0</stp>
        <stp>0</stp>
        <stp>0</stp>
        <stp>0</stp>
        <tr r="N9" s="6"/>
      </tp>
      <tp t="s">
        <v>NA</v>
        <stp/>
        <stp>136</stp>
        <stp>MSFT</stp>
        <stp>PRICEPERCFPSAVEY_X</stp>
        <stp>6</stp>
        <stp>0</stp>
        <stp>0</stp>
        <stp>0</stp>
        <stp>0</stp>
        <tr r="M9" s="6"/>
      </tp>
      <tp>
        <v>73.099999999999994</v>
        <stp/>
        <stp>136</stp>
        <stp>MSFT</stp>
        <stp>PRICEPERCFPSAVEY_X</stp>
        <stp>5</stp>
        <stp>0</stp>
        <stp>0</stp>
        <stp>0</stp>
        <stp>0</stp>
        <tr r="L9" s="6"/>
      </tp>
      <tp t="s">
        <v>NA</v>
        <stp/>
        <stp>136</stp>
        <stp>MSFT</stp>
        <stp>PRICEPERCFPSAVEY_X</stp>
        <stp>4</stp>
        <stp>0</stp>
        <stp>0</stp>
        <stp>0</stp>
        <stp>0</stp>
        <tr r="K9" s="6"/>
      </tp>
      <tp>
        <v>491</v>
        <stp/>
        <stp>136</stp>
        <stp>MSFT</stp>
        <stp>PRICEPERCFPSAVEY_X</stp>
        <stp>3</stp>
        <stp>0</stp>
        <stp>0</stp>
        <stp>0</stp>
        <stp>0</stp>
        <tr r="J9" s="6"/>
      </tp>
      <tp>
        <v>507.6</v>
        <stp/>
        <stp>136</stp>
        <stp>MSFT</stp>
        <stp>PRICEPERCFPSAVEY_X</stp>
        <stp>2</stp>
        <stp>0</stp>
        <stp>0</stp>
        <stp>0</stp>
        <stp>0</stp>
        <tr r="I9" s="6"/>
      </tp>
      <tp>
        <v>182</v>
        <stp/>
        <stp>136</stp>
        <stp>MSFT</stp>
        <stp>PRICEPERCFPSAVEY_X</stp>
        <stp>1</stp>
        <stp>0</stp>
        <stp>0</stp>
        <stp>0</stp>
        <stp>0</stp>
        <tr r="H9" s="6"/>
      </tp>
      <tp t="s">
        <v>EPS Growth-Est Y1 to Est Y2</v>
        <stp/>
        <stp>137</stp>
        <stp/>
        <stp>EPSGROWTHESTY1TOESTY2</stp>
        <stp>0</stp>
        <stp>0</stp>
        <stp>0</stp>
        <stp>0</stp>
        <stp>0</stp>
        <tr r="B34" s="8"/>
      </tp>
      <tp>
        <v>23.4</v>
        <stp/>
        <stp>136</stp>
        <stp>BEAT</stp>
        <stp>OTHERLTASSETSQ_X</stp>
        <stp>4</stp>
        <stp>0</stp>
        <stp>0</stp>
        <stp>0</stp>
        <stp>0</stp>
        <tr r="I46" s="13"/>
      </tp>
      <tp>
        <v>23.8</v>
        <stp/>
        <stp>136</stp>
        <stp>BEAT</stp>
        <stp>OTHERLTASSETSQ_X</stp>
        <stp>3</stp>
        <stp>0</stp>
        <stp>0</stp>
        <stp>0</stp>
        <stp>0</stp>
        <tr r="H46" s="13"/>
      </tp>
      <tp>
        <v>23.3</v>
        <stp/>
        <stp>136</stp>
        <stp>BEAT</stp>
        <stp>OTHERLTASSETSQ_X</stp>
        <stp>2</stp>
        <stp>0</stp>
        <stp>0</stp>
        <stp>0</stp>
        <stp>0</stp>
        <tr r="G46" s="13"/>
      </tp>
      <tp>
        <v>23.1</v>
        <stp/>
        <stp>136</stp>
        <stp>BEAT</stp>
        <stp>OTHERLTASSETSQ_X</stp>
        <stp>1</stp>
        <stp>0</stp>
        <stp>0</stp>
        <stp>0</stp>
        <stp>0</stp>
        <tr r="F46" s="13"/>
      </tp>
      <tp>
        <v>2.2799999999999998</v>
        <stp/>
        <stp>136</stp>
        <stp>MSFT</stp>
        <stp>SECTORPRICEPERSALESAVE7Y</stp>
        <stp>0</stp>
        <stp>0</stp>
        <stp>0</stp>
        <stp>0</stp>
        <stp>0</stp>
        <tr r="G24" s="6"/>
      </tp>
      <tp>
        <v>2.4900000000000002</v>
        <stp/>
        <stp>136</stp>
        <stp>MSFT</stp>
        <stp>SECTORPRICEPERSALESAVE5Y</stp>
        <stp>0</stp>
        <stp>0</stp>
        <stp>0</stp>
        <stp>0</stp>
        <stp>0</stp>
        <tr r="F24" s="6"/>
      </tp>
      <tp>
        <v>2.44</v>
        <stp/>
        <stp>136</stp>
        <stp>MSFT</stp>
        <stp>SECTORPRICEPERSALESAVE3Y</stp>
        <stp>0</stp>
        <stp>0</stp>
        <stp>0</stp>
        <stp>0</stp>
        <stp>0</stp>
        <tr r="E24" s="6"/>
      </tp>
      <tp>
        <v>1.8</v>
        <stp/>
        <stp>136</stp>
        <stp>MSFT</stp>
        <stp>SECTORNETMARGINY_X</stp>
        <stp>6</stp>
        <stp>0</stp>
        <stp>0</stp>
        <stp>0</stp>
        <stp>0</stp>
        <tr r="I62" s="7"/>
      </tp>
      <tp>
        <v>1.9</v>
        <stp/>
        <stp>136</stp>
        <stp>MSFT</stp>
        <stp>SECTORNETMARGINY_X</stp>
        <stp>7</stp>
        <stp>0</stp>
        <stp>0</stp>
        <stp>0</stp>
        <stp>0</stp>
        <tr r="J62" s="7"/>
      </tp>
      <tp>
        <v>-0.5</v>
        <stp/>
        <stp>136</stp>
        <stp>MSFT</stp>
        <stp>SECTORNETMARGINY_X</stp>
        <stp>4</stp>
        <stp>0</stp>
        <stp>0</stp>
        <stp>0</stp>
        <stp>0</stp>
        <tr r="G62" s="7"/>
      </tp>
      <tp>
        <v>1.3</v>
        <stp/>
        <stp>136</stp>
        <stp>MSFT</stp>
        <stp>SECTORNETMARGINY_X</stp>
        <stp>5</stp>
        <stp>0</stp>
        <stp>0</stp>
        <stp>0</stp>
        <stp>0</stp>
        <tr r="H62" s="7"/>
      </tp>
      <tp>
        <v>-0.8</v>
        <stp/>
        <stp>136</stp>
        <stp>MSFT</stp>
        <stp>SECTORNETMARGINY_X</stp>
        <stp>2</stp>
        <stp>0</stp>
        <stp>0</stp>
        <stp>0</stp>
        <stp>0</stp>
        <tr r="E62" s="7"/>
      </tp>
      <tp>
        <v>-1.2</v>
        <stp/>
        <stp>136</stp>
        <stp>MSFT</stp>
        <stp>SECTORNETMARGINY_X</stp>
        <stp>3</stp>
        <stp>0</stp>
        <stp>0</stp>
        <stp>0</stp>
        <stp>0</stp>
        <tr r="F62" s="7"/>
      </tp>
      <tp>
        <v>0</v>
        <stp/>
        <stp>136</stp>
        <stp>MSFT</stp>
        <stp>SECTORNETMARGINY_X</stp>
        <stp>1</stp>
        <stp>0</stp>
        <stp>0</stp>
        <stp>0</stp>
        <stp>0</stp>
        <tr r="D62" s="7"/>
      </tp>
      <tp t="s">
        <v>Income Tax</v>
        <stp/>
        <stp>137</stp>
        <stp/>
        <stp>INCOMETAXQ_X</stp>
        <stp>0</stp>
        <stp>0</stp>
        <stp>0</stp>
        <stp>0</stp>
        <stp>0</stp>
        <tr r="B21" s="12"/>
        <tr r="B21" s="11"/>
        <tr r="B23" s="1"/>
      </tp>
      <tp>
        <v>1.5</v>
        <stp/>
        <stp>136</stp>
        <stp>MSFT</stp>
        <stp>INDUSTRYYIELDAVE5Y</stp>
        <stp>0</stp>
        <stp>0</stp>
        <stp>0</stp>
        <stp>0</stp>
        <stp>0</stp>
        <tr r="F19" s="6"/>
      </tp>
      <tp>
        <v>1.8</v>
        <stp/>
        <stp>136</stp>
        <stp>MSFT</stp>
        <stp>INDUSTRYYIELDAVE7Y</stp>
        <stp>0</stp>
        <stp>0</stp>
        <stp>0</stp>
        <stp>0</stp>
        <stp>0</stp>
        <tr r="G19" s="6"/>
      </tp>
      <tp>
        <v>1.5</v>
        <stp/>
        <stp>136</stp>
        <stp>MSFT</stp>
        <stp>INDUSTRYYIELDAVE3Y</stp>
        <stp>0</stp>
        <stp>0</stp>
        <stp>0</stp>
        <stp>0</stp>
        <stp>0</stp>
        <tr r="E19" s="6"/>
      </tp>
      <tp>
        <v>43555</v>
        <stp/>
        <stp>136</stp>
        <stp>MSFT</stp>
        <stp>DATELATESTQTRLYEPS</stp>
        <stp>0</stp>
        <stp>0</stp>
        <stp>0</stp>
        <stp>0</stp>
        <stp>0</stp>
        <tr r="C5" s="8"/>
        <tr r="D5" s="8"/>
      </tp>
      <tp>
        <v>12.3</v>
        <stp/>
        <stp>136</stp>
        <stp>BOOM</stp>
        <stp>OTHERLTASSETSQ_X</stp>
        <stp>1</stp>
        <stp>0</stp>
        <stp>0</stp>
        <stp>0</stp>
        <stp>0</stp>
        <tr r="C65" s="12"/>
        <tr r="C65" s="11"/>
      </tp>
      <tp>
        <v>0.3</v>
        <stp/>
        <stp>136</stp>
        <stp>BOOM</stp>
        <stp>OTHERLTASSETSQ_X</stp>
        <stp>3</stp>
        <stp>0</stp>
        <stp>0</stp>
        <stp>0</stp>
        <stp>0</stp>
        <tr r="E65" s="12"/>
        <tr r="E65" s="11"/>
      </tp>
      <tp>
        <v>4.5</v>
        <stp/>
        <stp>136</stp>
        <stp>BOOM</stp>
        <stp>OTHERLTASSETSQ_X</stp>
        <stp>2</stp>
        <stp>0</stp>
        <stp>0</stp>
        <stp>0</stp>
        <stp>0</stp>
        <tr r="D65" s="11"/>
        <tr r="D65" s="12"/>
      </tp>
      <tp>
        <v>0.2</v>
        <stp/>
        <stp>136</stp>
        <stp>BOOM</stp>
        <stp>OTHERLTASSETSQ_X</stp>
        <stp>5</stp>
        <stp>0</stp>
        <stp>0</stp>
        <stp>0</stp>
        <stp>0</stp>
        <tr r="G65" s="11"/>
        <tr r="G65" s="12"/>
      </tp>
      <tp>
        <v>0.2</v>
        <stp/>
        <stp>136</stp>
        <stp>BOOM</stp>
        <stp>OTHERLTASSETSQ_X</stp>
        <stp>4</stp>
        <stp>0</stp>
        <stp>0</stp>
        <stp>0</stp>
        <stp>0</stp>
        <tr r="F65" s="12"/>
        <tr r="F65" s="11"/>
      </tp>
      <tp>
        <v>0.2</v>
        <stp/>
        <stp>136</stp>
        <stp>BOOM</stp>
        <stp>OTHERLTASSETSQ_X</stp>
        <stp>7</stp>
        <stp>0</stp>
        <stp>0</stp>
        <stp>0</stp>
        <stp>0</stp>
        <tr r="I65" s="11"/>
        <tr r="I65" s="12"/>
      </tp>
      <tp>
        <v>0.4</v>
        <stp/>
        <stp>136</stp>
        <stp>BOOM</stp>
        <stp>OTHERLTASSETSQ_X</stp>
        <stp>6</stp>
        <stp>0</stp>
        <stp>0</stp>
        <stp>0</stp>
        <stp>0</stp>
        <tr r="H65" s="11"/>
        <tr r="H65" s="12"/>
      </tp>
      <tp>
        <v>0.1</v>
        <stp/>
        <stp>136</stp>
        <stp>BOOM</stp>
        <stp>OTHERLTASSETSQ_X</stp>
        <stp>8</stp>
        <stp>0</stp>
        <stp>0</stp>
        <stp>0</stp>
        <stp>0</stp>
        <tr r="J65" s="12"/>
        <tr r="J65" s="11"/>
      </tp>
      <tp>
        <v>30.9</v>
        <stp/>
        <stp>136</stp>
        <stp>BOOM</stp>
        <stp>INDUSTRYNETINCOMEGROWTH12M</stp>
        <stp>0</stp>
        <stp>0</stp>
        <stp>0</stp>
        <stp>0</stp>
        <stp>0</stp>
        <tr r="G24" s="3"/>
      </tp>
      <tp t="s">
        <v>% Rank-Gross Margin</v>
        <stp/>
        <stp>137</stp>
        <stp/>
        <stp>PCNTRANKGROSSMARGINY_X</stp>
        <stp>0</stp>
        <stp>0</stp>
        <stp>0</stp>
        <stp>0</stp>
        <stp>0</stp>
        <tr r="B87" s="7"/>
      </tp>
      <tp t="s">
        <v>Industry Price/CFPS</v>
        <stp/>
        <stp>137</stp>
        <stp/>
        <stp>INDUSTRYPRICEPERCFPS</stp>
        <stp>0</stp>
        <stp>0</stp>
        <stp>0</stp>
        <stp>0</stp>
        <stp>0</stp>
        <tr r="B17" s="6"/>
      </tp>
      <tp>
        <v>27.9</v>
        <stp/>
        <stp>136</stp>
        <stp>MSFT</stp>
        <stp>PE1YEARAGO</stp>
        <stp>0</stp>
        <stp>0</stp>
        <stp>0</stp>
        <stp>0</stp>
        <stp>0</stp>
        <tr r="D6" s="6"/>
      </tp>
      <tp>
        <v>241.6</v>
        <stp/>
        <stp>136</stp>
        <stp>MSFT</stp>
        <stp>INDUSTRYSALES12M</stp>
        <stp>0</stp>
        <stp>0</stp>
        <stp>0</stp>
        <stp>0</stp>
        <stp>0</stp>
        <tr r="C32" s="7"/>
      </tp>
      <tp>
        <v>0.5</v>
        <stp/>
        <stp>136</stp>
        <stp>MSFT</stp>
        <stp>SECTOROPERATINGMARGINY_X</stp>
        <stp>2</stp>
        <stp>0</stp>
        <stp>0</stp>
        <stp>0</stp>
        <stp>0</stp>
        <tr r="E61" s="7"/>
      </tp>
      <tp>
        <v>0.1</v>
        <stp/>
        <stp>136</stp>
        <stp>MSFT</stp>
        <stp>SECTOROPERATINGMARGINY_X</stp>
        <stp>3</stp>
        <stp>0</stp>
        <stp>0</stp>
        <stp>0</stp>
        <stp>0</stp>
        <tr r="F61" s="7"/>
      </tp>
      <tp>
        <v>1.5</v>
        <stp/>
        <stp>136</stp>
        <stp>MSFT</stp>
        <stp>SECTOROPERATINGMARGINY_X</stp>
        <stp>1</stp>
        <stp>0</stp>
        <stp>0</stp>
        <stp>0</stp>
        <stp>0</stp>
        <tr r="D61" s="7"/>
      </tp>
      <tp>
        <v>2.4</v>
        <stp/>
        <stp>136</stp>
        <stp>MSFT</stp>
        <stp>SECTOROPERATINGMARGINY_X</stp>
        <stp>6</stp>
        <stp>0</stp>
        <stp>0</stp>
        <stp>0</stp>
        <stp>0</stp>
        <tr r="I61" s="7"/>
      </tp>
      <tp>
        <v>3.3</v>
        <stp/>
        <stp>136</stp>
        <stp>MSFT</stp>
        <stp>SECTOROPERATINGMARGINY_X</stp>
        <stp>7</stp>
        <stp>0</stp>
        <stp>0</stp>
        <stp>0</stp>
        <stp>0</stp>
        <tr r="J61" s="7"/>
      </tp>
      <tp>
        <v>1.1000000000000001</v>
        <stp/>
        <stp>136</stp>
        <stp>MSFT</stp>
        <stp>SECTOROPERATINGMARGINY_X</stp>
        <stp>4</stp>
        <stp>0</stp>
        <stp>0</stp>
        <stp>0</stp>
        <stp>0</stp>
        <tr r="G61" s="7"/>
      </tp>
      <tp>
        <v>2.2999999999999998</v>
        <stp/>
        <stp>136</stp>
        <stp>MSFT</stp>
        <stp>SECTOROPERATINGMARGINY_X</stp>
        <stp>5</stp>
        <stp>0</stp>
        <stp>0</stp>
        <stp>0</stp>
        <stp>0</stp>
        <tr r="H61" s="7"/>
      </tp>
      <tp>
        <v>2.4</v>
        <stp/>
        <stp>136</stp>
        <stp>MSFT</stp>
        <stp>SECTORYIELDAVE7Y</stp>
        <stp>0</stp>
        <stp>0</stp>
        <stp>0</stp>
        <stp>0</stp>
        <stp>0</stp>
        <tr r="G27" s="6"/>
      </tp>
      <tp>
        <v>2.1</v>
        <stp/>
        <stp>136</stp>
        <stp>MSFT</stp>
        <stp>SECTORYIELDAVE5Y</stp>
        <stp>0</stp>
        <stp>0</stp>
        <stp>0</stp>
        <stp>0</stp>
        <stp>0</stp>
        <tr r="F27" s="6"/>
      </tp>
      <tp>
        <v>2</v>
        <stp/>
        <stp>136</stp>
        <stp>MSFT</stp>
        <stp>SECTORYIELDAVE3Y</stp>
        <stp>0</stp>
        <stp>0</stp>
        <stp>0</stp>
        <stp>0</stp>
        <stp>0</stp>
        <tr r="E27" s="6"/>
      </tp>
      <tp>
        <v>98</v>
        <stp/>
        <stp>136</stp>
        <stp>BOOM</stp>
        <stp>PCNTRANKEPSCONTGROWTH12M</stp>
        <stp>0</stp>
        <stp>0</stp>
        <stp>0</stp>
        <stp>0</stp>
        <stp>0</stp>
        <tr r="G54" s="3"/>
      </tp>
      <tp>
        <v>3</v>
        <stp/>
        <stp>136</stp>
        <stp>AAPL</stp>
        <stp>RELATIVESTRENGTHWEIGHTED4Q</stp>
        <stp>0</stp>
        <stp>0</stp>
        <stp>0</stp>
        <stp>0</stp>
        <stp>0</stp>
        <tr r="G57" s="5"/>
      </tp>
      <tp>
        <v>32471</v>
        <stp/>
        <stp>136</stp>
        <stp>MSFT</stp>
        <stp>SALESQ_X</stp>
        <stp>2</stp>
        <stp>0</stp>
        <stp>0</stp>
        <stp>0</stp>
        <stp>0</stp>
        <tr r="D7" s="1"/>
      </tp>
      <tp>
        <v>29084</v>
        <stp/>
        <stp>136</stp>
        <stp>MSFT</stp>
        <stp>SALESQ_X</stp>
        <stp>3</stp>
        <stp>0</stp>
        <stp>0</stp>
        <stp>0</stp>
        <stp>0</stp>
        <tr r="E7" s="1"/>
      </tp>
      <tp>
        <v>26.5</v>
        <stp/>
        <stp>136</stp>
        <stp>MSFT</stp>
        <stp>SECTORPRICEPERFCFPSAVE3Y</stp>
        <stp>0</stp>
        <stp>0</stp>
        <stp>0</stp>
        <stp>0</stp>
        <stp>0</stp>
        <tr r="E26" s="6"/>
      </tp>
      <tp>
        <v>26.2</v>
        <stp/>
        <stp>136</stp>
        <stp>MSFT</stp>
        <stp>SECTORPRICEPERFCFPSAVE7Y</stp>
        <stp>0</stp>
        <stp>0</stp>
        <stp>0</stp>
        <stp>0</stp>
        <stp>0</stp>
        <tr r="G26" s="6"/>
      </tp>
      <tp>
        <v>26.5</v>
        <stp/>
        <stp>136</stp>
        <stp>MSFT</stp>
        <stp>SECTORPRICEPERFCFPSAVE5Y</stp>
        <stp>0</stp>
        <stp>0</stp>
        <stp>0</stp>
        <stp>0</stp>
        <stp>0</stp>
        <tr r="F26" s="6"/>
      </tp>
      <tp>
        <v>30571</v>
        <stp/>
        <stp>136</stp>
        <stp>MSFT</stp>
        <stp>SALESQ_X</stp>
        <stp>1</stp>
        <stp>0</stp>
        <stp>0</stp>
        <stp>0</stp>
        <stp>0</stp>
        <tr r="C7" s="1"/>
      </tp>
      <tp>
        <v>28918</v>
        <stp/>
        <stp>136</stp>
        <stp>MSFT</stp>
        <stp>SALESQ_X</stp>
        <stp>6</stp>
        <stp>0</stp>
        <stp>0</stp>
        <stp>0</stp>
        <stp>0</stp>
        <tr r="H7" s="1"/>
      </tp>
      <tp>
        <v>24538</v>
        <stp/>
        <stp>136</stp>
        <stp>MSFT</stp>
        <stp>SALESQ_X</stp>
        <stp>7</stp>
        <stp>0</stp>
        <stp>0</stp>
        <stp>0</stp>
        <stp>0</stp>
        <tr r="I7" s="1"/>
      </tp>
      <tp>
        <v>30085</v>
        <stp/>
        <stp>136</stp>
        <stp>MSFT</stp>
        <stp>SALESQ_X</stp>
        <stp>4</stp>
        <stp>0</stp>
        <stp>0</stp>
        <stp>0</stp>
        <stp>0</stp>
        <tr r="F7" s="1"/>
      </tp>
      <tp>
        <v>26819</v>
        <stp/>
        <stp>136</stp>
        <stp>MSFT</stp>
        <stp>SALESQ_X</stp>
        <stp>5</stp>
        <stp>0</stp>
        <stp>0</stp>
        <stp>0</stp>
        <stp>0</stp>
        <tr r="G7" s="1"/>
      </tp>
      <tp>
        <v>25605</v>
        <stp/>
        <stp>136</stp>
        <stp>MSFT</stp>
        <stp>SALESQ_X</stp>
        <stp>8</stp>
        <stp>0</stp>
        <stp>0</stp>
        <stp>0</stp>
        <stp>0</stp>
        <tr r="J7" s="1"/>
      </tp>
      <tp t="s">
        <v>Gross Margin</v>
        <stp/>
        <stp>137</stp>
        <stp/>
        <stp>GROSSMARGINY_X</stp>
        <stp>0</stp>
        <stp>0</stp>
        <stp>0</stp>
        <stp>0</stp>
        <stp>0</stp>
        <tr r="B7" s="7"/>
      </tp>
      <tp t="s">
        <v>Gross Income</v>
        <stp/>
        <stp>137</stp>
        <stp/>
        <stp>GROSSINCOMEQ_X</stp>
        <stp>0</stp>
        <stp>0</stp>
        <stp>0</stp>
        <stp>0</stp>
        <stp>0</stp>
        <tr r="B9" s="11"/>
        <tr r="B9" s="12"/>
        <tr r="B9" s="1"/>
      </tp>
      <tp t="s">
        <v>EPS Growth-Est Y0 to Est Y1</v>
        <stp/>
        <stp>137</stp>
        <stp/>
        <stp>EPSGROWTHESTY0TOESTY1</stp>
        <stp>0</stp>
        <stp>0</stp>
        <stp>0</stp>
        <stp>0</stp>
        <stp>0</stp>
        <tr r="B33" s="8"/>
      </tp>
      <tp>
        <v>68</v>
        <stp/>
        <stp>136</stp>
        <stp>MSFT</stp>
        <stp>PCNTRANKPE1YEARAGO</stp>
        <stp>0</stp>
        <stp>0</stp>
        <stp>0</stp>
        <stp>0</stp>
        <stp>0</stp>
        <tr r="D30" s="6"/>
      </tp>
      <tp>
        <v>1715</v>
        <stp/>
        <stp>136</stp>
        <stp>AAPL</stp>
        <stp>INDUSTRYVOLUMEAVEMONTHLY3M</stp>
        <stp>0</stp>
        <stp>0</stp>
        <stp>0</stp>
        <stp>0</stp>
        <stp>0</stp>
        <tr r="D26" s="5"/>
      </tp>
      <tp>
        <v>33.700000000000003</v>
        <stp/>
        <stp>136</stp>
        <stp>MSFT</stp>
        <stp>INDUSTRYPEAVEY_X</stp>
        <stp>4</stp>
        <stp>0</stp>
        <stp>0</stp>
        <stp>0</stp>
        <stp>0</stp>
        <tr r="K14" s="6"/>
      </tp>
      <tp>
        <v>31.7</v>
        <stp/>
        <stp>136</stp>
        <stp>MSFT</stp>
        <stp>INDUSTRYPEAVEY_X</stp>
        <stp>5</stp>
        <stp>0</stp>
        <stp>0</stp>
        <stp>0</stp>
        <stp>0</stp>
        <tr r="L14" s="6"/>
      </tp>
      <tp>
        <v>33</v>
        <stp/>
        <stp>136</stp>
        <stp>MSFT</stp>
        <stp>INDUSTRYPEAVEY_X</stp>
        <stp>6</stp>
        <stp>0</stp>
        <stp>0</stp>
        <stp>0</stp>
        <stp>0</stp>
        <tr r="M14" s="6"/>
      </tp>
      <tp>
        <v>30.2</v>
        <stp/>
        <stp>136</stp>
        <stp>MSFT</stp>
        <stp>INDUSTRYPEAVEY_X</stp>
        <stp>7</stp>
        <stp>0</stp>
        <stp>0</stp>
        <stp>0</stp>
        <stp>0</stp>
        <tr r="N14" s="6"/>
      </tp>
      <tp>
        <v>40.6</v>
        <stp/>
        <stp>136</stp>
        <stp>MSFT</stp>
        <stp>INDUSTRYPEAVEY_X</stp>
        <stp>1</stp>
        <stp>0</stp>
        <stp>0</stp>
        <stp>0</stp>
        <stp>0</stp>
        <tr r="H14" s="6"/>
      </tp>
      <tp>
        <v>32.799999999999997</v>
        <stp/>
        <stp>136</stp>
        <stp>MSFT</stp>
        <stp>INDUSTRYPEAVEY_X</stp>
        <stp>2</stp>
        <stp>0</stp>
        <stp>0</stp>
        <stp>0</stp>
        <stp>0</stp>
        <tr r="I14" s="6"/>
      </tp>
      <tp>
        <v>30.9</v>
        <stp/>
        <stp>136</stp>
        <stp>MSFT</stp>
        <stp>INDUSTRYPEAVEY_X</stp>
        <stp>3</stp>
        <stp>0</stp>
        <stp>0</stp>
        <stp>0</stp>
        <stp>0</stp>
        <tr r="J14" s="6"/>
      </tp>
      <tp>
        <v>38.71</v>
        <stp/>
        <stp>136</stp>
        <stp>Q</stp>
        <stp>INDUSTRYFLOAT</stp>
        <stp>0</stp>
        <stp>0</stp>
        <stp>0</stp>
        <stp>0</stp>
        <stp>0</stp>
        <tr r="D85" s="12"/>
      </tp>
      <tp>
        <v>99</v>
        <stp/>
        <stp>136</stp>
        <stp>MSFT</stp>
        <stp>PCNTRANKSALESY_X</stp>
        <stp>1</stp>
        <stp>0</stp>
        <stp>0</stp>
        <stp>0</stp>
        <stp>0</stp>
        <tr r="D86" s="7"/>
      </tp>
      <tp>
        <v>99</v>
        <stp/>
        <stp>136</stp>
        <stp>MSFT</stp>
        <stp>PCNTRANKSALESY_X</stp>
        <stp>2</stp>
        <stp>0</stp>
        <stp>0</stp>
        <stp>0</stp>
        <stp>0</stp>
        <tr r="E86" s="7"/>
      </tp>
      <tp>
        <v>99</v>
        <stp/>
        <stp>136</stp>
        <stp>MSFT</stp>
        <stp>PCNTRANKSALESY_X</stp>
        <stp>3</stp>
        <stp>0</stp>
        <stp>0</stp>
        <stp>0</stp>
        <stp>0</stp>
        <tr r="F86" s="7"/>
      </tp>
      <tp>
        <v>99</v>
        <stp/>
        <stp>136</stp>
        <stp>MSFT</stp>
        <stp>PCNTRANKSALESY_X</stp>
        <stp>4</stp>
        <stp>0</stp>
        <stp>0</stp>
        <stp>0</stp>
        <stp>0</stp>
        <tr r="G86" s="7"/>
      </tp>
      <tp>
        <v>99</v>
        <stp/>
        <stp>136</stp>
        <stp>MSFT</stp>
        <stp>PCNTRANKSALESY_X</stp>
        <stp>5</stp>
        <stp>0</stp>
        <stp>0</stp>
        <stp>0</stp>
        <stp>0</stp>
        <tr r="H86" s="7"/>
      </tp>
      <tp t="s">
        <v>NA</v>
        <stp/>
        <stp>136</stp>
        <stp>MSFT</stp>
        <stp>PCNTRANKSALESY_X</stp>
        <stp>6</stp>
        <stp>0</stp>
        <stp>0</stp>
        <stp>0</stp>
        <stp>0</stp>
        <tr r="I86" s="7"/>
      </tp>
      <tp t="s">
        <v>NA</v>
        <stp/>
        <stp>136</stp>
        <stp>MSFT</stp>
        <stp>PCNTRANKSALESY_X</stp>
        <stp>7</stp>
        <stp>0</stp>
        <stp>0</stp>
        <stp>0</stp>
        <stp>0</stp>
        <tr r="J86" s="7"/>
      </tp>
      <tp>
        <v>451</v>
        <stp/>
        <stp>136</stp>
        <stp>BOOM</stp>
        <stp>EPSDILGROWTHQ8TOQ4</stp>
        <stp>0</stp>
        <stp>0</stp>
        <stp>0</stp>
        <stp>0</stp>
        <stp>0</stp>
        <tr r="K13" s="3"/>
      </tp>
      <tp>
        <v>5.49</v>
        <stp/>
        <stp>136</stp>
        <stp>MSFT</stp>
        <stp>EPSESTLOWY2</stp>
        <stp>4</stp>
        <stp>0</stp>
        <stp>0</stp>
        <stp>0</stp>
        <stp>0</stp>
        <tr r="G8" s="8"/>
      </tp>
      <tp>
        <v>4.9000000000000004</v>
        <stp/>
        <stp>136</stp>
        <stp>MSFT</stp>
        <stp>SECTORINVENTORYTURNOVERY_X</stp>
        <stp>1</stp>
        <stp>0</stp>
        <stp>0</stp>
        <stp>0</stp>
        <stp>0</stp>
        <tr r="D80" s="7"/>
      </tp>
      <tp>
        <v>4.9000000000000004</v>
        <stp/>
        <stp>136</stp>
        <stp>MSFT</stp>
        <stp>SECTORINVENTORYTURNOVERY_X</stp>
        <stp>2</stp>
        <stp>0</stp>
        <stp>0</stp>
        <stp>0</stp>
        <stp>0</stp>
        <tr r="E80" s="7"/>
      </tp>
      <tp>
        <v>5</v>
        <stp/>
        <stp>136</stp>
        <stp>MSFT</stp>
        <stp>SECTORINVENTORYTURNOVERY_X</stp>
        <stp>3</stp>
        <stp>0</stp>
        <stp>0</stp>
        <stp>0</stp>
        <stp>0</stp>
        <tr r="F80" s="7"/>
      </tp>
      <tp>
        <v>5</v>
        <stp/>
        <stp>136</stp>
        <stp>MSFT</stp>
        <stp>SECTORINVENTORYTURNOVERY_X</stp>
        <stp>4</stp>
        <stp>0</stp>
        <stp>0</stp>
        <stp>0</stp>
        <stp>0</stp>
        <tr r="G80" s="7"/>
      </tp>
      <tp>
        <v>5.0999999999999996</v>
        <stp/>
        <stp>136</stp>
        <stp>MSFT</stp>
        <stp>SECTORINVENTORYTURNOVERY_X</stp>
        <stp>5</stp>
        <stp>0</stp>
        <stp>0</stp>
        <stp>0</stp>
        <stp>0</stp>
        <tr r="H80" s="7"/>
      </tp>
      <tp>
        <v>5.3</v>
        <stp/>
        <stp>136</stp>
        <stp>MSFT</stp>
        <stp>SECTORINVENTORYTURNOVERY_X</stp>
        <stp>6</stp>
        <stp>0</stp>
        <stp>0</stp>
        <stp>0</stp>
        <stp>0</stp>
        <tr r="I80" s="7"/>
      </tp>
      <tp>
        <v>5.8</v>
        <stp/>
        <stp>136</stp>
        <stp>MSFT</stp>
        <stp>SECTORINVENTORYTURNOVERY_X</stp>
        <stp>7</stp>
        <stp>0</stp>
        <stp>0</stp>
        <stp>0</stp>
        <stp>0</stp>
        <tr r="J80" s="7"/>
      </tp>
      <tp>
        <v>945.4</v>
        <stp/>
        <stp>136</stp>
        <stp>BOOM</stp>
        <stp>PRETAXINCOMEGROWTHQ8TOQ4</stp>
        <stp>0</stp>
        <stp>0</stp>
        <stp>0</stp>
        <stp>0</stp>
        <stp>0</stp>
        <tr r="K8" s="3"/>
      </tp>
      <tp t="s">
        <v>EPS</v>
        <stp/>
        <stp>137</stp>
        <stp/>
        <stp>EPSQ_X</stp>
        <stp>0</stp>
        <stp>0</stp>
        <stp>0</stp>
        <stp>0</stp>
        <stp>0</stp>
        <tr r="B29" s="11"/>
        <tr r="B29" s="12"/>
        <tr r="B31" s="1"/>
      </tp>
      <tp>
        <v>83</v>
        <stp/>
        <stp>136</stp>
        <stp>MSFT</stp>
        <stp>PCNTRANKOPERATINGMARGIN12M</stp>
        <stp>0</stp>
        <stp>0</stp>
        <stp>0</stp>
        <stp>0</stp>
        <stp>0</stp>
        <tr r="C88" s="7"/>
      </tp>
      <tp>
        <v>0.74</v>
        <stp/>
        <stp>136</stp>
        <stp>AAPL</stp>
        <stp>PERELATIVELOWAVE5Y</stp>
        <stp>0</stp>
        <stp>0</stp>
        <stp>0</stp>
        <stp>0</stp>
        <stp>0</stp>
        <tr r="C93" s="5"/>
      </tp>
      <tp t="s">
        <v>Industry EPS Dil Cont-Growth</v>
        <stp/>
        <stp>137</stp>
        <stp/>
        <stp>INDUSTRYEPSDILGROWTH1Y</stp>
        <stp>1</stp>
        <stp>0</stp>
        <stp>0</stp>
        <stp>0</stp>
        <stp>0</stp>
        <tr r="B27" s="3"/>
      </tp>
      <tp t="s">
        <v>% Rank-Times Interest Earned</v>
        <stp/>
        <stp>137</stp>
        <stp/>
        <stp>PCNTRANKTIMESINTERESTEARNEDY_X</stp>
        <stp>0</stp>
        <stp>0</stp>
        <stp>0</stp>
        <stp>0</stp>
        <stp>0</stp>
        <tr r="B98" s="7"/>
      </tp>
      <tp t="s">
        <v>Other Expense/(Income)</v>
        <stp/>
        <stp>137</stp>
        <stp/>
        <stp>OTHERINCOMEQ_X</stp>
        <stp>0</stp>
        <stp>0</stp>
        <stp>0</stp>
        <stp>0</stp>
        <stp>0</stp>
        <tr r="B18" s="11"/>
        <tr r="B18" s="12"/>
        <tr r="B20" s="1"/>
      </tp>
      <tp>
        <v>2</v>
        <stp/>
        <stp>136</stp>
        <stp>MSFT</stp>
        <stp>PETOEPSESTGROWTH5Y</stp>
        <stp>0</stp>
        <stp>0</stp>
        <stp>0</stp>
        <stp>0</stp>
        <stp>0</stp>
        <tr r="C40" s="6"/>
      </tp>
      <tp>
        <v>47.5</v>
        <stp/>
        <stp>136</stp>
        <stp>BOOM</stp>
        <stp>EPSDILCONTGROWTH3Y</stp>
        <stp>0</stp>
        <stp>0</stp>
        <stp>0</stp>
        <stp>0</stp>
        <stp>0</stp>
        <tr r="D14" s="3"/>
      </tp>
      <tp>
        <v>266.5</v>
        <stp/>
        <stp>136</stp>
        <stp>BOOM</stp>
        <stp>EPSDILCONTGROWTH1Y</stp>
        <stp>0</stp>
        <stp>0</stp>
        <stp>0</stp>
        <stp>0</stp>
        <stp>0</stp>
        <tr r="C14" s="3"/>
      </tp>
      <tp>
        <v>12.1</v>
        <stp/>
        <stp>136</stp>
        <stp>BOOM</stp>
        <stp>EPSDILCONTGROWTH7Y</stp>
        <stp>0</stp>
        <stp>0</stp>
        <stp>0</stp>
        <stp>0</stp>
        <stp>0</stp>
        <tr r="F14" s="3"/>
      </tp>
      <tp>
        <v>36.299999999999997</v>
        <stp/>
        <stp>136</stp>
        <stp>BOOM</stp>
        <stp>EPSDILCONTGROWTH5Y</stp>
        <stp>0</stp>
        <stp>0</stp>
        <stp>0</stp>
        <stp>0</stp>
        <stp>0</stp>
        <tr r="E14" s="3"/>
      </tp>
      <tp>
        <v>81285</v>
        <stp/>
        <stp>136</stp>
        <stp>MSFT</stp>
        <stp>TOTALOPERATINGEXPENSE12M</stp>
        <stp>0</stp>
        <stp>0</stp>
        <stp>0</stp>
        <stp>0</stp>
        <stp>0</stp>
        <tr r="L15" s="1"/>
      </tp>
      <tp t="s">
        <v>Valuation-P/Yield</v>
        <stp/>
        <stp>137</stp>
        <stp/>
        <stp>VALUATIONYIELD</stp>
        <stp>0</stp>
        <stp>0</stp>
        <stp>0</stp>
        <stp>0</stp>
        <stp>0</stp>
        <tr r="B10" s="9"/>
      </tp>
      <tp>
        <v>110.89</v>
        <stp/>
        <stp>136</stp>
        <stp>MSFT</stp>
        <stp>PRICEM_X</stp>
        <stp>9</stp>
        <stp>0</stp>
        <stp>0</stp>
        <stp>0</stp>
        <stp>0</stp>
        <tr r="F24" s="4"/>
      </tp>
      <tp>
        <v>101.57</v>
        <stp/>
        <stp>136</stp>
        <stp>MSFT</stp>
        <stp>PRICEM_X</stp>
        <stp>8</stp>
        <stp>0</stp>
        <stp>0</stp>
        <stp>0</stp>
        <stp>0</stp>
        <tr r="F23" s="4"/>
      </tp>
      <tp>
        <v>117.94</v>
        <stp/>
        <stp>136</stp>
        <stp>MSFT</stp>
        <stp>PRICEM_X</stp>
        <stp>5</stp>
        <stp>0</stp>
        <stp>0</stp>
        <stp>0</stp>
        <stp>0</stp>
        <tr r="F20" s="4"/>
      </tp>
      <tp>
        <v>130.6</v>
        <stp/>
        <stp>136</stp>
        <stp>MSFT</stp>
        <stp>PRICEM_X</stp>
        <stp>4</stp>
        <stp>0</stp>
        <stp>0</stp>
        <stp>0</stp>
        <stp>0</stp>
        <tr r="F19" s="4"/>
      </tp>
      <tp>
        <v>104.43</v>
        <stp/>
        <stp>136</stp>
        <stp>MSFT</stp>
        <stp>PRICEM_X</stp>
        <stp>7</stp>
        <stp>0</stp>
        <stp>0</stp>
        <stp>0</stp>
        <stp>0</stp>
        <tr r="F22" s="4"/>
      </tp>
      <tp>
        <v>112.03</v>
        <stp/>
        <stp>136</stp>
        <stp>MSFT</stp>
        <stp>PRICEM_X</stp>
        <stp>6</stp>
        <stp>0</stp>
        <stp>0</stp>
        <stp>0</stp>
        <stp>0</stp>
        <tr r="F21" s="4"/>
      </tp>
      <tp>
        <v>138.9</v>
        <stp/>
        <stp>136</stp>
        <stp>MSFT</stp>
        <stp>PRICEM_X</stp>
        <stp>1</stp>
        <stp>0</stp>
        <stp>0</stp>
        <stp>0</stp>
        <stp>0</stp>
        <tr r="F16" s="4"/>
      </tp>
      <tp>
        <v>123.68</v>
        <stp/>
        <stp>136</stp>
        <stp>MSFT</stp>
        <stp>PRICEM_X</stp>
        <stp>3</stp>
        <stp>0</stp>
        <stp>0</stp>
        <stp>0</stp>
        <stp>0</stp>
        <tr r="F18" s="4"/>
      </tp>
      <tp>
        <v>133.96</v>
        <stp/>
        <stp>136</stp>
        <stp>MSFT</stp>
        <stp>PRICEM_X</stp>
        <stp>2</stp>
        <stp>0</stp>
        <stp>0</stp>
        <stp>0</stp>
        <stp>0</stp>
        <tr r="F17" s="4"/>
      </tp>
      <tp>
        <v>101.57</v>
        <stp/>
        <stp>136</stp>
        <stp>MSFT</stp>
        <stp>PRICEY_X</stp>
        <stp>1</stp>
        <stp>0</stp>
        <stp>0</stp>
        <stp>0</stp>
        <stp>0</stp>
        <tr r="F7" s="4"/>
      </tp>
      <tp>
        <v>62.14</v>
        <stp/>
        <stp>136</stp>
        <stp>MSFT</stp>
        <stp>PRICEY_X</stp>
        <stp>3</stp>
        <stp>0</stp>
        <stp>0</stp>
        <stp>0</stp>
        <stp>0</stp>
        <tr r="F9" s="4"/>
      </tp>
      <tp>
        <v>85.54</v>
        <stp/>
        <stp>136</stp>
        <stp>MSFT</stp>
        <stp>PRICEY_X</stp>
        <stp>2</stp>
        <stp>0</stp>
        <stp>0</stp>
        <stp>0</stp>
        <stp>0</stp>
        <tr r="F8" s="4"/>
      </tp>
      <tp>
        <v>46.45</v>
        <stp/>
        <stp>136</stp>
        <stp>MSFT</stp>
        <stp>PRICEY_X</stp>
        <stp>5</stp>
        <stp>0</stp>
        <stp>0</stp>
        <stp>0</stp>
        <stp>0</stp>
        <tr r="F11" s="4"/>
      </tp>
      <tp>
        <v>55.48</v>
        <stp/>
        <stp>136</stp>
        <stp>MSFT</stp>
        <stp>PRICEY_X</stp>
        <stp>4</stp>
        <stp>0</stp>
        <stp>0</stp>
        <stp>0</stp>
        <stp>0</stp>
        <tr r="F10" s="4"/>
      </tp>
      <tp>
        <v>26.71</v>
        <stp/>
        <stp>136</stp>
        <stp>MSFT</stp>
        <stp>PRICEY_X</stp>
        <stp>7</stp>
        <stp>0</stp>
        <stp>0</stp>
        <stp>0</stp>
        <stp>0</stp>
        <tr r="F13" s="4"/>
      </tp>
      <tp>
        <v>37.409999999999997</v>
        <stp/>
        <stp>136</stp>
        <stp>MSFT</stp>
        <stp>PRICEY_X</stp>
        <stp>6</stp>
        <stp>0</stp>
        <stp>0</stp>
        <stp>0</stp>
        <stp>0</stp>
        <tr r="F12" s="4"/>
      </tp>
      <tp>
        <v>42240</v>
        <stp/>
        <stp>136</stp>
        <stp>MSFT</stp>
        <stp>COSTOFGOODSSOLD12M</stp>
        <stp>0</stp>
        <stp>0</stp>
        <stp>0</stp>
        <stp>0</stp>
        <stp>0</stp>
        <tr r="L8" s="1"/>
      </tp>
      <tp t="s">
        <v>Volume -Dollar Daily Avg 3M</v>
        <stp/>
        <stp>137</stp>
        <stp/>
        <stp>VOLUMEDOLLARDAILYAVG3M</stp>
        <stp>0</stp>
        <stp>0</stp>
        <stp>0</stp>
        <stp>0</stp>
        <stp>0</stp>
        <tr r="B47" s="5"/>
      </tp>
      <tp>
        <v>3.8</v>
        <stp/>
        <stp>136</stp>
        <stp>BOOM</stp>
        <stp>UNUSUALINCOMEQ_X</stp>
        <stp>6</stp>
        <stp>0</stp>
        <stp>0</stp>
        <stp>0</stp>
        <stp>0</stp>
        <tr r="H12" s="11"/>
        <tr r="H12" s="12"/>
      </tp>
      <tp>
        <v>17.600000000000001</v>
        <stp/>
        <stp>136</stp>
        <stp>BOOM</stp>
        <stp>UNUSUALINCOMEQ_X</stp>
        <stp>7</stp>
        <stp>0</stp>
        <stp>0</stp>
        <stp>0</stp>
        <stp>0</stp>
        <tr r="I12" s="11"/>
        <tr r="I12" s="12"/>
      </tp>
      <tp>
        <v>3.5</v>
        <stp/>
        <stp>136</stp>
        <stp>BOOM</stp>
        <stp>UNUSUALINCOMEQ_X</stp>
        <stp>4</stp>
        <stp>0</stp>
        <stp>0</stp>
        <stp>0</stp>
        <stp>0</stp>
        <tr r="F12" s="11"/>
        <tr r="F12" s="12"/>
      </tp>
      <tp>
        <v>3.2</v>
        <stp/>
        <stp>136</stp>
        <stp>BOOM</stp>
        <stp>UNUSUALINCOMEQ_X</stp>
        <stp>5</stp>
        <stp>0</stp>
        <stp>0</stp>
        <stp>0</stp>
        <stp>0</stp>
        <tr r="G12" s="12"/>
        <tr r="G12" s="11"/>
      </tp>
      <tp>
        <v>0.6</v>
        <stp/>
        <stp>136</stp>
        <stp>BOOM</stp>
        <stp>UNUSUALINCOMEQ_X</stp>
        <stp>2</stp>
        <stp>0</stp>
        <stp>0</stp>
        <stp>0</stp>
        <stp>0</stp>
        <tr r="D12" s="11"/>
        <tr r="D12" s="12"/>
      </tp>
      <tp>
        <v>5.0999999999999996</v>
        <stp/>
        <stp>136</stp>
        <stp>BOOM</stp>
        <stp>UNUSUALINCOMEQ_X</stp>
        <stp>3</stp>
        <stp>0</stp>
        <stp>0</stp>
        <stp>0</stp>
        <stp>0</stp>
        <tr r="E12" s="11"/>
        <tr r="E12" s="12"/>
      </tp>
      <tp>
        <v>0.1</v>
        <stp/>
        <stp>136</stp>
        <stp>BOOM</stp>
        <stp>UNUSUALINCOMEQ_X</stp>
        <stp>1</stp>
        <stp>0</stp>
        <stp>0</stp>
        <stp>0</stp>
        <stp>0</stp>
        <tr r="C12" s="11"/>
        <tr r="C12" s="12"/>
      </tp>
      <tp>
        <v>0.5</v>
        <stp/>
        <stp>136</stp>
        <stp>BOOM</stp>
        <stp>UNUSUALINCOMEQ_X</stp>
        <stp>8</stp>
        <stp>0</stp>
        <stp>0</stp>
        <stp>0</stp>
        <stp>0</stp>
        <tr r="J12" s="11"/>
        <tr r="J12" s="12"/>
      </tp>
      <tp>
        <v>305.8</v>
        <stp/>
        <stp>136</stp>
        <stp>MSFT</stp>
        <stp>SECTORTOTALASSETSQ1</stp>
        <stp>0</stp>
        <stp>0</stp>
        <stp>0</stp>
        <stp>0</stp>
        <stp>0</stp>
        <tr r="C63" s="7"/>
      </tp>
      <tp>
        <v>4.5579999999999998</v>
        <stp/>
        <stp>136</stp>
        <stp>MSFT</stp>
        <stp>EPSESTLOWY0</stp>
        <stp>2</stp>
        <stp>0</stp>
        <stp>0</stp>
        <stp>0</stp>
        <stp>0</stp>
        <tr r="E8" s="8"/>
      </tp>
      <tp>
        <v>1.17</v>
        <stp/>
        <stp>136</stp>
        <stp>MSFT</stp>
        <stp>EPSESTLOWQ0</stp>
        <stp>0</stp>
        <stp>0</stp>
        <stp>0</stp>
        <stp>0</stp>
        <stp>0</stp>
        <tr r="C8" s="8"/>
      </tp>
      <tp>
        <v>33.5</v>
        <stp/>
        <stp>136</stp>
        <stp>MSFT</stp>
        <stp>OPERATINGMARGIN12M</stp>
        <stp>0</stp>
        <stp>0</stp>
        <stp>0</stp>
        <stp>0</stp>
        <stp>0</stp>
        <tr r="C8" s="7"/>
      </tp>
      <tp t="s">
        <v>NA</v>
        <stp/>
        <stp>136</stp>
        <stp>AAPL</stp>
        <stp>FLASHINCOMEFORPRIMARYEPS</stp>
        <stp>0</stp>
        <stp>0</stp>
        <stp>0</stp>
        <stp>0</stp>
        <stp>0</stp>
        <tr r="C81" s="5"/>
      </tp>
      <tp>
        <v>25.3</v>
        <stp/>
        <stp>136</stp>
        <stp>BEAT</stp>
        <stp>OTHERCURRENTLIABILITIESQ_X</stp>
        <stp>4</stp>
        <stp>0</stp>
        <stp>0</stp>
        <stp>0</stp>
        <stp>0</stp>
        <tr r="I35" s="13"/>
      </tp>
      <tp>
        <v>27.9</v>
        <stp/>
        <stp>136</stp>
        <stp>BEAT</stp>
        <stp>OTHERCURRENTLIABILITIESQ_X</stp>
        <stp>3</stp>
        <stp>0</stp>
        <stp>0</stp>
        <stp>0</stp>
        <stp>0</stp>
        <tr r="H35" s="13"/>
      </tp>
      <tp>
        <v>24.7</v>
        <stp/>
        <stp>136</stp>
        <stp>BEAT</stp>
        <stp>OTHERCURRENTLIABILITIESQ_X</stp>
        <stp>2</stp>
        <stp>0</stp>
        <stp>0</stp>
        <stp>0</stp>
        <stp>0</stp>
        <tr r="G35" s="13"/>
      </tp>
      <tp>
        <v>26.1</v>
        <stp/>
        <stp>136</stp>
        <stp>BEAT</stp>
        <stp>OTHERCURRENTLIABILITIESQ_X</stp>
        <stp>1</stp>
        <stp>0</stp>
        <stp>0</stp>
        <stp>0</stp>
        <stp>0</stp>
        <tr r="F35" s="13"/>
      </tp>
      <tp t="s">
        <v>YES</v>
        <stp/>
        <stp>136</stp>
        <stp>AAPL</stp>
        <stp>OPTIONABLE</stp>
        <stp>0</stp>
        <stp>0</stp>
        <stp>0</stp>
        <stp>0</stp>
        <stp>0</stp>
        <tr r="G11" s="5"/>
      </tp>
      <tp>
        <v>0</v>
        <stp/>
        <stp>136</stp>
        <stp>MSFT</stp>
        <stp>INTERESTEXPENSE12M</stp>
        <stp>0</stp>
        <stp>0</stp>
        <stp>0</stp>
        <stp>0</stp>
        <stp>0</stp>
        <tr r="L13" s="1"/>
      </tp>
      <tp t="s">
        <v>Sector Sales</v>
        <stp/>
        <stp>137</stp>
        <stp/>
        <stp>SECTORSALESY_X</stp>
        <stp>0</stp>
        <stp>0</stp>
        <stp>0</stp>
        <stp>0</stp>
        <stp>0</stp>
        <tr r="B59" s="7"/>
      </tp>
      <tp t="s">
        <v>Times Interest Earned</v>
        <stp/>
        <stp>137</stp>
        <stp/>
        <stp>TIMESINTERESTEARNEDY_X</stp>
        <stp>0</stp>
        <stp>0</stp>
        <stp>0</stp>
        <stp>0</stp>
        <stp>0</stp>
        <tr r="B17" s="7"/>
      </tp>
      <tp>
        <v>3.29</v>
        <stp/>
        <stp>136</stp>
        <stp>MSFT</stp>
        <stp>SECTORPRICEPERBOOK</stp>
        <stp>0</stp>
        <stp>0</stp>
        <stp>0</stp>
        <stp>0</stp>
        <stp>0</stp>
        <tr r="C23" s="6"/>
      </tp>
      <tp>
        <v>58</v>
        <stp/>
        <stp>136</stp>
        <stp>MSFT</stp>
        <stp>PCNTRANKPETOEPSESTGROWTH5Y</stp>
        <stp>0</stp>
        <stp>0</stp>
        <stp>0</stp>
        <stp>0</stp>
        <stp>0</stp>
        <tr r="F40" s="6"/>
      </tp>
      <tp>
        <v>96</v>
        <stp/>
        <stp>136</stp>
        <stp>BOOM</stp>
        <stp>PCNTRANKEPSDILCONTGROWTH1Y</stp>
        <stp>0</stp>
        <stp>0</stp>
        <stp>0</stp>
        <stp>0</stp>
        <stp>0</stp>
        <tr r="C55" s="3"/>
      </tp>
      <tp>
        <v>85</v>
        <stp/>
        <stp>136</stp>
        <stp>BOOM</stp>
        <stp>PCNTRANKEPSDILCONTGROWTH3Y</stp>
        <stp>0</stp>
        <stp>0</stp>
        <stp>0</stp>
        <stp>0</stp>
        <stp>0</stp>
        <tr r="D55" s="3"/>
      </tp>
      <tp>
        <v>87</v>
        <stp/>
        <stp>136</stp>
        <stp>BOOM</stp>
        <stp>PCNTRANKEPSDILCONTGROWTH5Y</stp>
        <stp>0</stp>
        <stp>0</stp>
        <stp>0</stp>
        <stp>0</stp>
        <stp>0</stp>
        <tr r="E55" s="3"/>
      </tp>
      <tp>
        <v>62</v>
        <stp/>
        <stp>136</stp>
        <stp>BOOM</stp>
        <stp>PCNTRANKEPSDILCONTGROWTH7Y</stp>
        <stp>0</stp>
        <stp>0</stp>
        <stp>0</stp>
        <stp>0</stp>
        <stp>0</stp>
        <tr r="F55" s="3"/>
      </tp>
      <tp>
        <v>27.2</v>
        <stp/>
        <stp>136</stp>
        <stp>AAPL</stp>
        <stp>INDUSTRYMARKETCAPQ1</stp>
        <stp>0</stp>
        <stp>0</stp>
        <stp>0</stp>
        <stp>0</stp>
        <stp>0</stp>
        <tr r="D39" s="5"/>
      </tp>
      <tp>
        <v>4.92</v>
        <stp/>
        <stp>136</stp>
        <stp>MSFT</stp>
        <stp>EPSESTLOWY1</stp>
        <stp>3</stp>
        <stp>0</stp>
        <stp>0</stp>
        <stp>0</stp>
        <stp>0</stp>
        <tr r="F8" s="8"/>
      </tp>
      <tp>
        <v>1.119</v>
        <stp/>
        <stp>136</stp>
        <stp>MSFT</stp>
        <stp>EPSESTLOWQ1</stp>
        <stp>0</stp>
        <stp>0</stp>
        <stp>0</stp>
        <stp>0</stp>
        <stp>0</stp>
        <tr r="D8" s="8"/>
      </tp>
      <tp>
        <v>49.6</v>
        <stp/>
        <stp>136</stp>
        <stp>BOOM</stp>
        <stp>CASHFLOWGROWTH3Y</stp>
        <stp>0</stp>
        <stp>0</stp>
        <stp>0</stp>
        <stp>0</stp>
        <stp>0</stp>
        <tr r="D15" s="3"/>
      </tp>
      <tp>
        <v>68.099999999999994</v>
        <stp/>
        <stp>136</stp>
        <stp>BOOM</stp>
        <stp>CASHFLOWGROWTH1Y</stp>
        <stp>0</stp>
        <stp>0</stp>
        <stp>0</stp>
        <stp>0</stp>
        <stp>0</stp>
        <tr r="C15" s="3"/>
      </tp>
      <tp>
        <v>27.9</v>
        <stp/>
        <stp>136</stp>
        <stp>BOOM</stp>
        <stp>CASHFLOWGROWTH7Y</stp>
        <stp>0</stp>
        <stp>0</stp>
        <stp>0</stp>
        <stp>0</stp>
        <stp>0</stp>
        <tr r="F15" s="3"/>
      </tp>
      <tp>
        <v>11.3</v>
        <stp/>
        <stp>136</stp>
        <stp>BOOM</stp>
        <stp>CASHFLOWGROWTH5Y</stp>
        <stp>0</stp>
        <stp>0</stp>
        <stp>0</stp>
        <stp>0</stp>
        <stp>0</stp>
        <tr r="E15" s="3"/>
      </tp>
      <tp t="s">
        <v>Inventory</v>
        <stp/>
        <stp>137</stp>
        <stp/>
        <stp>INVENTORYQ_X</stp>
        <stp>0</stp>
        <stp>0</stp>
        <stp>0</stp>
        <stp>0</stp>
        <stp>0</stp>
        <tr r="D30" s="13"/>
        <tr r="B58" s="11"/>
        <tr r="B60" s="1"/>
        <tr r="B58" s="12"/>
      </tp>
      <tp>
        <v>1.1399999999999999</v>
        <stp/>
        <stp>136</stp>
        <stp>MSFT</stp>
        <stp>QTRLYSURPRISEEPS</stp>
        <stp>0</stp>
        <stp>0</stp>
        <stp>0</stp>
        <stp>0</stp>
        <stp>0</stp>
        <tr r="C25" s="8"/>
      </tp>
      <tp>
        <v>0</v>
        <stp/>
        <stp>136</stp>
        <stp>MSFT</stp>
        <stp>EPSESTREVISIONSUPQ0</stp>
        <stp>0</stp>
        <stp>0</stp>
        <stp>0</stp>
        <stp>0</stp>
        <stp>0</stp>
        <tr r="C17" s="8"/>
      </tp>
      <tp>
        <v>1</v>
        <stp/>
        <stp>136</stp>
        <stp>MSFT</stp>
        <stp>EPSESTREVISIONSUPY0</stp>
        <stp>0</stp>
        <stp>0</stp>
        <stp>0</stp>
        <stp>0</stp>
        <stp>0</stp>
        <tr r="E17" s="8"/>
      </tp>
      <tp>
        <v>1.196</v>
        <stp/>
        <stp>136</stp>
        <stp>MSFT</stp>
        <stp>EPSESTLASTMONTHQ1</stp>
        <stp>0</stp>
        <stp>0</stp>
        <stp>0</stp>
        <stp>0</stp>
        <stp>0</stp>
        <tr r="D15" s="8"/>
      </tp>
      <tp>
        <v>5.1109999999999998</v>
        <stp/>
        <stp>136</stp>
        <stp>MSFT</stp>
        <stp>EPSESTLASTMONTHY1</stp>
        <stp>0</stp>
        <stp>0</stp>
        <stp>0</stp>
        <stp>0</stp>
        <stp>0</stp>
        <tr r="F15" s="8"/>
      </tp>
      <tp t="s">
        <v>Sector Dividend-Growth</v>
        <stp/>
        <stp>137</stp>
        <stp/>
        <stp>SECTORDIVIDENDGROWTH1Y</stp>
        <stp>1</stp>
        <stp>0</stp>
        <stp>0</stp>
        <stp>0</stp>
        <stp>0</stp>
        <tr r="B45" s="3"/>
      </tp>
      <tp t="s">
        <v>Cash From Investing</v>
        <stp/>
        <stp>137</stp>
        <stp/>
        <stp>CASHFROMINVESTINGQ_X</stp>
        <stp>0</stp>
        <stp>0</stp>
        <stp>0</stp>
        <stp>0</stp>
        <stp>0</stp>
        <tr r="D24" s="13"/>
        <tr r="B38" s="12"/>
        <tr r="B38" s="11"/>
        <tr r="B40" s="1"/>
      </tp>
      <tp>
        <v>0.5</v>
        <stp/>
        <stp>136</stp>
        <stp>MSFT</stp>
        <stp>ASSETTURNOVER12M</stp>
        <stp>0</stp>
        <stp>0</stp>
        <stp>0</stp>
        <stp>0</stp>
        <stp>0</stp>
        <tr r="C27" s="7"/>
      </tp>
      <tp t="s">
        <v>Industry Gross margin</v>
        <stp/>
        <stp>137</stp>
        <stp/>
        <stp>INDUSTRYGROSSMARGINY_X</stp>
        <stp>0</stp>
        <stp>0</stp>
        <stp>0</stp>
        <stp>0</stp>
        <stp>0</stp>
        <tr r="B33" s="7"/>
      </tp>
      <tp t="s">
        <v>Sector Times interest earned</v>
        <stp/>
        <stp>137</stp>
        <stp/>
        <stp>SECTORTIMESINTERESTEARNEDY_X</stp>
        <stp>0</stp>
        <stp>0</stp>
        <stp>0</stp>
        <stp>0</stp>
        <stp>0</stp>
        <tr r="B71" s="7"/>
      </tp>
      <tp>
        <v>162696</v>
        <stp/>
        <stp>136</stp>
        <stp>MSFT</stp>
        <stp>CURRENTASSETSQ_X</stp>
        <stp>8</stp>
        <stp>0</stp>
        <stp>0</stp>
        <stp>0</stp>
        <stp>0</stp>
        <tr r="J62" s="1"/>
      </tp>
      <tp>
        <v>164195</v>
        <stp/>
        <stp>136</stp>
        <stp>MSFT</stp>
        <stp>CURRENTASSETSQ_X</stp>
        <stp>3</stp>
        <stp>0</stp>
        <stp>0</stp>
        <stp>0</stp>
        <stp>0</stp>
        <tr r="E62" s="1"/>
      </tp>
      <tp>
        <v>156874</v>
        <stp/>
        <stp>136</stp>
        <stp>MSFT</stp>
        <stp>CURRENTASSETSQ_X</stp>
        <stp>2</stp>
        <stp>0</stp>
        <stp>0</stp>
        <stp>0</stp>
        <stp>0</stp>
        <tr r="D62" s="1"/>
      </tp>
      <tp>
        <v>159887</v>
        <stp/>
        <stp>136</stp>
        <stp>MSFT</stp>
        <stp>CURRENTASSETSQ_X</stp>
        <stp>1</stp>
        <stp>0</stp>
        <stp>0</stp>
        <stp>0</stp>
        <stp>0</stp>
        <tr r="C62" s="1"/>
      </tp>
      <tp>
        <v>161031</v>
        <stp/>
        <stp>136</stp>
        <stp>MSFT</stp>
        <stp>CURRENTASSETSQ_X</stp>
        <stp>7</stp>
        <stp>0</stp>
        <stp>0</stp>
        <stp>0</stp>
        <stp>0</stp>
        <tr r="I62" s="1"/>
      </tp>
      <tp>
        <v>167633</v>
        <stp/>
        <stp>136</stp>
        <stp>MSFT</stp>
        <stp>CURRENTASSETSQ_X</stp>
        <stp>6</stp>
        <stp>0</stp>
        <stp>0</stp>
        <stp>0</stp>
        <stp>0</stp>
        <tr r="H62" s="1"/>
      </tp>
      <tp>
        <v>156659</v>
        <stp/>
        <stp>136</stp>
        <stp>MSFT</stp>
        <stp>CURRENTASSETSQ_X</stp>
        <stp>5</stp>
        <stp>0</stp>
        <stp>0</stp>
        <stp>0</stp>
        <stp>0</stp>
        <tr r="G62" s="1"/>
      </tp>
      <tp>
        <v>169662</v>
        <stp/>
        <stp>136</stp>
        <stp>MSFT</stp>
        <stp>CURRENTASSETSQ_X</stp>
        <stp>4</stp>
        <stp>0</stp>
        <stp>0</stp>
        <stp>0</stp>
        <stp>0</stp>
        <tr r="F62" s="1"/>
      </tp>
      <tp t="s">
        <v>Inve$tWare Sales Gr Benchmark</v>
        <stp/>
        <stp>137</stp>
        <stp/>
        <stp>INVE$TWARESALESGROWTHBENCHMARK</stp>
        <stp>0</stp>
        <stp>0</stp>
        <stp>0</stp>
        <stp>0</stp>
        <stp>0</stp>
        <tr r="B29" s="9"/>
      </tp>
      <tp t="s">
        <v>Sector Total assets</v>
        <stp/>
        <stp>137</stp>
        <stp/>
        <stp>SECTORTOTALASSETSY_X</stp>
        <stp>0</stp>
        <stp>0</stp>
        <stp>0</stp>
        <stp>0</stp>
        <stp>0</stp>
        <tr r="B63" s="7"/>
      </tp>
      <tp>
        <v>42</v>
        <stp/>
        <stp>136</stp>
        <stp>MSFT</stp>
        <stp>PCNTRANKYIELDAVE5Y</stp>
        <stp>0</stp>
        <stp>0</stp>
        <stp>0</stp>
        <stp>0</stp>
        <stp>0</stp>
        <tr r="F35" s="6"/>
      </tp>
      <tp>
        <v>43</v>
        <stp/>
        <stp>136</stp>
        <stp>MSFT</stp>
        <stp>PCNTRANKYIELDAVE7Y</stp>
        <stp>0</stp>
        <stp>0</stp>
        <stp>0</stp>
        <stp>0</stp>
        <stp>0</stp>
        <tr r="G35" s="6"/>
      </tp>
      <tp>
        <v>39</v>
        <stp/>
        <stp>136</stp>
        <stp>MSFT</stp>
        <stp>PCNTRANKYIELDAVE3Y</stp>
        <stp>0</stp>
        <stp>0</stp>
        <stp>0</stp>
        <stp>0</stp>
        <stp>0</stp>
        <tr r="E35" s="6"/>
      </tp>
      <tp t="s">
        <v>Industry Price/Book</v>
        <stp/>
        <stp>137</stp>
        <stp/>
        <stp>INDUSTRYPRICEPERBOOK</stp>
        <stp>0</stp>
        <stp>0</stp>
        <stp>0</stp>
        <stp>0</stp>
        <stp>0</stp>
        <tr r="B15" s="6"/>
      </tp>
      <tp>
        <v>359.3</v>
        <stp/>
        <stp>136</stp>
        <stp>BOOM</stp>
        <stp>SALES12M</stp>
        <stp>0</stp>
        <stp>0</stp>
        <stp>0</stp>
        <stp>0</stp>
        <stp>0</stp>
        <tr r="L7" s="12"/>
        <tr r="L7" s="11"/>
      </tp>
      <tp>
        <v>0</v>
        <stp/>
        <stp>136</stp>
        <stp>MSFT</stp>
        <stp>EPSESTREVISIONSUPQ1</stp>
        <stp>0</stp>
        <stp>0</stp>
        <stp>0</stp>
        <stp>0</stp>
        <stp>0</stp>
        <tr r="D17" s="8"/>
      </tp>
      <tp>
        <v>2</v>
        <stp/>
        <stp>136</stp>
        <stp>MSFT</stp>
        <stp>EPSESTREVISIONSUPY1</stp>
        <stp>0</stp>
        <stp>0</stp>
        <stp>0</stp>
        <stp>0</stp>
        <stp>0</stp>
        <tr r="F17" s="8"/>
      </tp>
      <tp>
        <v>1.2110000000000001</v>
        <stp/>
        <stp>136</stp>
        <stp>MSFT</stp>
        <stp>EPSESTLASTMONTHQ0</stp>
        <stp>0</stp>
        <stp>0</stp>
        <stp>0</stp>
        <stp>0</stp>
        <stp>0</stp>
        <tr r="C15" s="8"/>
      </tp>
      <tp>
        <v>4.5880000000000001</v>
        <stp/>
        <stp>136</stp>
        <stp>MSFT</stp>
        <stp>EPSESTLASTMONTHY0</stp>
        <stp>0</stp>
        <stp>0</stp>
        <stp>0</stp>
        <stp>0</stp>
        <stp>0</stp>
        <tr r="E15" s="8"/>
      </tp>
      <tp>
        <v>27.7</v>
        <stp/>
        <stp>136</stp>
        <stp>MSFT</stp>
        <stp>SECTORPE1YEARAGO</stp>
        <stp>0</stp>
        <stp>0</stp>
        <stp>0</stp>
        <stp>0</stp>
        <stp>0</stp>
        <tr r="D22" s="6"/>
      </tp>
      <tp>
        <v>4</v>
        <stp/>
        <stp>136</stp>
        <stp>AAPL</stp>
        <stp>EPSINCREASESY7TOY1</stp>
        <stp>0</stp>
        <stp>0</stp>
        <stp>0</stp>
        <stp>0</stp>
        <stp>0</stp>
        <tr r="C110" s="5"/>
      </tp>
      <tp>
        <v>1.046</v>
        <stp/>
        <stp>136</stp>
        <stp>MSFT</stp>
        <stp>EPSCONTINUINGQ_X</stp>
        <stp>8</stp>
        <stp>0</stp>
        <stp>0</stp>
        <stp>0</stp>
        <stp>0</stp>
        <tr r="J32" s="1"/>
      </tp>
      <tp>
        <v>1.1479999999999999</v>
        <stp/>
        <stp>136</stp>
        <stp>MSFT</stp>
        <stp>EPSCONTINUINGQ_X</stp>
        <stp>1</stp>
        <stp>0</stp>
        <stp>0</stp>
        <stp>0</stp>
        <stp>0</stp>
        <tr r="C32" s="1"/>
      </tp>
      <tp>
        <v>1.095</v>
        <stp/>
        <stp>136</stp>
        <stp>MSFT</stp>
        <stp>EPSCONTINUINGQ_X</stp>
        <stp>2</stp>
        <stp>0</stp>
        <stp>0</stp>
        <stp>0</stp>
        <stp>0</stp>
        <tr r="D32" s="1"/>
      </tp>
      <tp>
        <v>1.1499999999999999</v>
        <stp/>
        <stp>136</stp>
        <stp>MSFT</stp>
        <stp>EPSCONTINUINGQ_X</stp>
        <stp>3</stp>
        <stp>0</stp>
        <stp>0</stp>
        <stp>0</stp>
        <stp>0</stp>
        <tr r="E32" s="1"/>
      </tp>
      <tp>
        <v>1.1419999999999999</v>
        <stp/>
        <stp>136</stp>
        <stp>MSFT</stp>
        <stp>EPSCONTINUINGQ_X</stp>
        <stp>4</stp>
        <stp>0</stp>
        <stp>0</stp>
        <stp>0</stp>
        <stp>0</stp>
        <tr r="F32" s="1"/>
      </tp>
      <tp>
        <v>0.96399999999999997</v>
        <stp/>
        <stp>136</stp>
        <stp>MSFT</stp>
        <stp>EPSCONTINUINGQ_X</stp>
        <stp>5</stp>
        <stp>0</stp>
        <stp>0</stp>
        <stp>0</stp>
        <stp>0</stp>
        <tr r="G32" s="1"/>
      </tp>
      <tp>
        <v>0.97299999999999998</v>
        <stp/>
        <stp>136</stp>
        <stp>MSFT</stp>
        <stp>EPSCONTINUINGQ_X</stp>
        <stp>6</stp>
        <stp>0</stp>
        <stp>0</stp>
        <stp>0</stp>
        <stp>0</stp>
        <tr r="H32" s="1"/>
      </tp>
      <tp>
        <v>0.85299999999999998</v>
        <stp/>
        <stp>136</stp>
        <stp>MSFT</stp>
        <stp>EPSCONTINUINGQ_X</stp>
        <stp>7</stp>
        <stp>0</stp>
        <stp>0</stp>
        <stp>0</stp>
        <stp>0</stp>
        <tr r="I32" s="1"/>
      </tp>
      <tp>
        <v>61.8</v>
        <stp/>
        <stp>136</stp>
        <stp>BOOM</stp>
        <stp>COSTOFGOODSSOLDQ_X</stp>
        <stp>8</stp>
        <stp>0</stp>
        <stp>0</stp>
        <stp>0</stp>
        <stp>0</stp>
        <tr r="J8" s="12"/>
        <tr r="J8" s="11"/>
      </tp>
      <tp>
        <v>58.9</v>
        <stp/>
        <stp>136</stp>
        <stp>BOOM</stp>
        <stp>COSTOFGOODSSOLDQ_X</stp>
        <stp>2</stp>
        <stp>0</stp>
        <stp>0</stp>
        <stp>0</stp>
        <stp>0</stp>
        <tr r="D8" s="11"/>
        <tr r="D8" s="12"/>
      </tp>
      <tp>
        <v>58.2</v>
        <stp/>
        <stp>136</stp>
        <stp>BOOM</stp>
        <stp>COSTOFGOODSSOLDQ_X</stp>
        <stp>3</stp>
        <stp>0</stp>
        <stp>0</stp>
        <stp>0</stp>
        <stp>0</stp>
        <tr r="E8" s="11"/>
        <tr r="E8" s="12"/>
      </tp>
      <tp>
        <v>63.7</v>
        <stp/>
        <stp>136</stp>
        <stp>BOOM</stp>
        <stp>COSTOFGOODSSOLDQ_X</stp>
        <stp>1</stp>
        <stp>0</stp>
        <stp>0</stp>
        <stp>0</stp>
        <stp>0</stp>
        <tr r="C8" s="12"/>
        <tr r="C8" s="11"/>
      </tp>
      <tp>
        <v>36.6</v>
        <stp/>
        <stp>136</stp>
        <stp>BOOM</stp>
        <stp>COSTOFGOODSSOLDQ_X</stp>
        <stp>6</stp>
        <stp>0</stp>
        <stp>0</stp>
        <stp>0</stp>
        <stp>0</stp>
        <tr r="H8" s="12"/>
        <tr r="H8" s="11"/>
      </tp>
      <tp>
        <v>35</v>
        <stp/>
        <stp>136</stp>
        <stp>BOOM</stp>
        <stp>COSTOFGOODSSOLDQ_X</stp>
        <stp>7</stp>
        <stp>0</stp>
        <stp>0</stp>
        <stp>0</stp>
        <stp>0</stp>
        <tr r="I8" s="12"/>
        <tr r="I8" s="11"/>
      </tp>
      <tp>
        <v>98.7</v>
        <stp/>
        <stp>136</stp>
        <stp>BOOM</stp>
        <stp>COSTOFGOODSSOLDQ_X</stp>
        <stp>4</stp>
        <stp>0</stp>
        <stp>0</stp>
        <stp>0</stp>
        <stp>0</stp>
        <tr r="F8" s="11"/>
        <tr r="F8" s="12"/>
      </tp>
      <tp>
        <v>44.6</v>
        <stp/>
        <stp>136</stp>
        <stp>BOOM</stp>
        <stp>COSTOFGOODSSOLDQ_X</stp>
        <stp>5</stp>
        <stp>0</stp>
        <stp>0</stp>
        <stp>0</stp>
        <stp>0</stp>
        <tr r="G8" s="12"/>
        <tr r="G8" s="11"/>
      </tp>
      <tp>
        <v>2</v>
        <stp/>
        <stp>136</stp>
        <stp>BOOM</stp>
        <stp>SECTORGROSSINCOMEGROWTH12M</stp>
        <stp>0</stp>
        <stp>0</stp>
        <stp>0</stp>
        <stp>0</stp>
        <stp>0</stp>
        <tr r="G35" s="3"/>
      </tp>
      <tp>
        <v>14.2</v>
        <stp/>
        <stp>136</stp>
        <stp>MSFT</stp>
        <stp>SECTOREPSGROWTHEST</stp>
        <stp>0</stp>
        <stp>0</stp>
        <stp>0</stp>
        <stp>0</stp>
        <stp>0</stp>
        <tr r="J6" s="8"/>
      </tp>
      <tp>
        <v>1</v>
        <stp/>
        <stp>136</stp>
        <stp>MSFT</stp>
        <stp>EPSESTREVISIONSUPY2</stp>
        <stp>0</stp>
        <stp>0</stp>
        <stp>0</stp>
        <stp>0</stp>
        <stp>0</stp>
        <tr r="G17" s="8"/>
      </tp>
      <tp>
        <v>41</v>
        <stp/>
        <stp>136</stp>
        <stp>MSFT</stp>
        <stp>PCNTRANKASSETTURNOVERY_X</stp>
        <stp>1</stp>
        <stp>0</stp>
        <stp>0</stp>
        <stp>0</stp>
        <stp>0</stp>
        <tr r="D108" s="7"/>
      </tp>
      <tp>
        <v>51</v>
        <stp/>
        <stp>136</stp>
        <stp>MSFT</stp>
        <stp>PCNTRANKASSETTURNOVERY_X</stp>
        <stp>3</stp>
        <stp>0</stp>
        <stp>0</stp>
        <stp>0</stp>
        <stp>0</stp>
        <tr r="F108" s="7"/>
      </tp>
      <tp>
        <v>47</v>
        <stp/>
        <stp>136</stp>
        <stp>MSFT</stp>
        <stp>PCNTRANKASSETTURNOVERY_X</stp>
        <stp>2</stp>
        <stp>0</stp>
        <stp>0</stp>
        <stp>0</stp>
        <stp>0</stp>
        <tr r="E108" s="7"/>
      </tp>
      <tp>
        <v>52</v>
        <stp/>
        <stp>136</stp>
        <stp>MSFT</stp>
        <stp>PCNTRANKASSETTURNOVERY_X</stp>
        <stp>5</stp>
        <stp>0</stp>
        <stp>0</stp>
        <stp>0</stp>
        <stp>0</stp>
        <tr r="H108" s="7"/>
      </tp>
      <tp>
        <v>52</v>
        <stp/>
        <stp>136</stp>
        <stp>MSFT</stp>
        <stp>PCNTRANKASSETTURNOVERY_X</stp>
        <stp>4</stp>
        <stp>0</stp>
        <stp>0</stp>
        <stp>0</stp>
        <stp>0</stp>
        <tr r="G108" s="7"/>
      </tp>
      <tp t="s">
        <v>NA</v>
        <stp/>
        <stp>136</stp>
        <stp>MSFT</stp>
        <stp>PCNTRANKASSETTURNOVERY_X</stp>
        <stp>7</stp>
        <stp>0</stp>
        <stp>0</stp>
        <stp>0</stp>
        <stp>0</stp>
        <tr r="J108" s="7"/>
      </tp>
      <tp t="s">
        <v>NA</v>
        <stp/>
        <stp>136</stp>
        <stp>MSFT</stp>
        <stp>PCNTRANKASSETTURNOVERY_X</stp>
        <stp>6</stp>
        <stp>0</stp>
        <stp>0</stp>
        <stp>0</stp>
        <stp>0</stp>
        <tr r="I108" s="7"/>
      </tp>
      <tp>
        <v>2.2000000000000002</v>
        <stp/>
        <stp>136</stp>
        <stp>AAPL</stp>
        <stp>SECTORINSIDEROWNERSHIPPCNT</stp>
        <stp>0</stp>
        <stp>0</stp>
        <stp>0</stp>
        <stp>0</stp>
        <stp>0</stp>
        <tr r="E32" s="5"/>
      </tp>
      <tp t="s">
        <v>PE Relative Valuation % Price</v>
        <stp/>
        <stp>137</stp>
        <stp/>
        <stp>PERELATIVEVALUATIONPCNTPRICE</stp>
        <stp>0</stp>
        <stp>0</stp>
        <stp>0</stp>
        <stp>0</stp>
        <stp>0</stp>
        <tr r="B96" s="5"/>
      </tp>
      <tp t="s">
        <v>Free Cash Flow-Growth</v>
        <stp/>
        <stp>137</stp>
        <stp/>
        <stp>FREECASHFLOWGROWTH1Y</stp>
        <stp>1</stp>
        <stp>0</stp>
        <stp>0</stp>
        <stp>0</stp>
        <stp>0</stp>
        <tr r="B16" s="3"/>
      </tp>
      <tp>
        <v>15.3</v>
        <stp/>
        <stp>136</stp>
        <stp>BOOM</stp>
        <stp>ACCOUNTSPAYABLEQ_X</stp>
        <stp>8</stp>
        <stp>0</stp>
        <stp>0</stp>
        <stp>0</stp>
        <stp>0</stp>
        <tr r="J69" s="11"/>
        <tr r="J69" s="12"/>
      </tp>
      <tp>
        <v>15.8</v>
        <stp/>
        <stp>136</stp>
        <stp>BOOM</stp>
        <stp>ACCOUNTSPAYABLEQ_X</stp>
        <stp>7</stp>
        <stp>0</stp>
        <stp>0</stp>
        <stp>0</stp>
        <stp>0</stp>
        <tr r="I69" s="11"/>
        <tr r="I69" s="12"/>
      </tp>
      <tp>
        <v>19.8</v>
        <stp/>
        <stp>136</stp>
        <stp>BOOM</stp>
        <stp>ACCOUNTSPAYABLEQ_X</stp>
        <stp>6</stp>
        <stp>0</stp>
        <stp>0</stp>
        <stp>0</stp>
        <stp>0</stp>
        <tr r="H69" s="12"/>
        <tr r="H69" s="11"/>
      </tp>
      <tp>
        <v>22.9</v>
        <stp/>
        <stp>136</stp>
        <stp>BOOM</stp>
        <stp>ACCOUNTSPAYABLEQ_X</stp>
        <stp>5</stp>
        <stp>0</stp>
        <stp>0</stp>
        <stp>0</stp>
        <stp>0</stp>
        <tr r="G69" s="12"/>
        <tr r="G69" s="11"/>
      </tp>
      <tp>
        <v>27.8</v>
        <stp/>
        <stp>136</stp>
        <stp>BOOM</stp>
        <stp>ACCOUNTSPAYABLEQ_X</stp>
        <stp>4</stp>
        <stp>0</stp>
        <stp>0</stp>
        <stp>0</stp>
        <stp>0</stp>
        <tr r="F69" s="12"/>
        <tr r="F69" s="11"/>
      </tp>
      <tp>
        <v>25.1</v>
        <stp/>
        <stp>136</stp>
        <stp>BOOM</stp>
        <stp>ACCOUNTSPAYABLEQ_X</stp>
        <stp>3</stp>
        <stp>0</stp>
        <stp>0</stp>
        <stp>0</stp>
        <stp>0</stp>
        <tr r="E69" s="11"/>
        <tr r="E69" s="12"/>
      </tp>
      <tp>
        <v>24.2</v>
        <stp/>
        <stp>136</stp>
        <stp>BOOM</stp>
        <stp>ACCOUNTSPAYABLEQ_X</stp>
        <stp>2</stp>
        <stp>0</stp>
        <stp>0</stp>
        <stp>0</stp>
        <stp>0</stp>
        <tr r="D69" s="12"/>
        <tr r="D69" s="11"/>
      </tp>
      <tp>
        <v>29.7</v>
        <stp/>
        <stp>136</stp>
        <stp>BOOM</stp>
        <stp>ACCOUNTSPAYABLEQ_X</stp>
        <stp>1</stp>
        <stp>0</stp>
        <stp>0</stp>
        <stp>0</stp>
        <stp>0</stp>
        <tr r="C69" s="11"/>
        <tr r="C69" s="12"/>
      </tp>
      <tp>
        <v>2.4</v>
        <stp/>
        <stp>136</stp>
        <stp>MSFT</stp>
        <stp>YIELDAVE7Y</stp>
        <stp>0</stp>
        <stp>0</stp>
        <stp>0</stp>
        <stp>0</stp>
        <stp>0</stp>
        <tr r="G11" s="6"/>
      </tp>
      <tp>
        <v>2.2000000000000002</v>
        <stp/>
        <stp>136</stp>
        <stp>MSFT</stp>
        <stp>YIELDAVE5Y</stp>
        <stp>0</stp>
        <stp>0</stp>
        <stp>0</stp>
        <stp>0</stp>
        <stp>0</stp>
        <tr r="F11" s="6"/>
      </tp>
      <tp>
        <v>2.1</v>
        <stp/>
        <stp>136</stp>
        <stp>MSFT</stp>
        <stp>YIELDAVE3Y</stp>
        <stp>0</stp>
        <stp>0</stp>
        <stp>0</stp>
        <stp>0</stp>
        <stp>0</stp>
        <tr r="E11" s="6"/>
      </tp>
      <tp>
        <v>66</v>
        <stp/>
        <stp>136</stp>
        <stp>MSFT</stp>
        <stp>INDUSTRYGROSSMARGINAVE5Y</stp>
        <stp>0</stp>
        <stp>0</stp>
        <stp>0</stp>
        <stp>0</stp>
        <stp>0</stp>
        <tr r="K33" s="7"/>
      </tp>
      <tp t="s">
        <v>Insiders -Shares Purchased</v>
        <stp/>
        <stp>137</stp>
        <stp/>
        <stp>INSIDERSHARESPURCHASED</stp>
        <stp>0</stp>
        <stp>0</stp>
        <stp>0</stp>
        <stp>0</stp>
        <stp>0</stp>
        <tr r="B33" s="5"/>
      </tp>
      <tp t="s">
        <v>NA</v>
        <stp/>
        <stp>136</stp>
        <stp>BOOM</stp>
        <stp>NETINCOMEGROWTH12M</stp>
        <stp>0</stp>
        <stp>0</stp>
        <stp>0</stp>
        <stp>0</stp>
        <stp>0</stp>
        <tr r="G10" s="3"/>
      </tp>
      <tp>
        <v>-2.48</v>
        <stp/>
        <stp>136</stp>
        <stp>BOOM</stp>
        <stp>DCFBSCFQ_X</stp>
        <stp>1</stp>
        <stp>0</stp>
        <stp>0</stp>
        <stp>0</stp>
        <stp>0</stp>
        <tr r="C48" s="11"/>
        <tr r="C48" s="12"/>
      </tp>
      <tp>
        <v>2.12</v>
        <stp/>
        <stp>136</stp>
        <stp>BOOM</stp>
        <stp>DCFBSCFQ_X</stp>
        <stp>2</stp>
        <stp>0</stp>
        <stp>0</stp>
        <stp>0</stp>
        <stp>0</stp>
        <tr r="D48" s="11"/>
        <tr r="D48" s="12"/>
      </tp>
      <tp>
        <v>12.26</v>
        <stp/>
        <stp>136</stp>
        <stp>BOOM</stp>
        <stp>DCFBSCFQ_X</stp>
        <stp>3</stp>
        <stp>0</stp>
        <stp>0</stp>
        <stp>0</stp>
        <stp>0</stp>
        <tr r="E48" s="11"/>
        <tr r="E48" s="12"/>
      </tp>
      <tp>
        <v>2.61</v>
        <stp/>
        <stp>136</stp>
        <stp>BOOM</stp>
        <stp>DCFBSCFQ_X</stp>
        <stp>4</stp>
        <stp>0</stp>
        <stp>0</stp>
        <stp>0</stp>
        <stp>0</stp>
        <tr r="F48" s="11"/>
        <tr r="F48" s="12"/>
      </tp>
      <tp>
        <v>5.8920000000000003</v>
        <stp/>
        <stp>136</stp>
        <stp>MSFT</stp>
        <stp>EPSESTLASTMONTHY2</stp>
        <stp>0</stp>
        <stp>0</stp>
        <stp>0</stp>
        <stp>0</stp>
        <stp>0</stp>
        <tr r="G15" s="8"/>
      </tp>
      <tp>
        <v>41.6</v>
        <stp/>
        <stp>136</stp>
        <stp>MSFT</stp>
        <stp>INDUSTRYPE1YEARAGO</stp>
        <stp>0</stp>
        <stp>0</stp>
        <stp>0</stp>
        <stp>0</stp>
        <stp>0</stp>
        <tr r="D14" s="6"/>
      </tp>
      <tp>
        <v>7</v>
        <stp/>
        <stp>136</stp>
        <stp>MSFT</stp>
        <stp>UNUSUALINCOME12M</stp>
        <stp>0</stp>
        <stp>0</stp>
        <stp>0</stp>
        <stp>0</stp>
        <stp>0</stp>
        <tr r="L14" s="1"/>
      </tp>
      <tp t="s">
        <v>Valuation-Avg PE</v>
        <stp/>
        <stp>137</stp>
        <stp/>
        <stp>VALUATIONAVEPE</stp>
        <stp>0</stp>
        <stp>0</stp>
        <stp>0</stp>
        <stp>0</stp>
        <stp>0</stp>
        <tr r="B12" s="9"/>
      </tp>
      <tp>
        <v>10234</v>
        <stp/>
        <stp>136</stp>
        <stp>MSFT</stp>
        <stp>SHORTTERMDEBTQ_X</stp>
        <stp>8</stp>
        <stp>0</stp>
        <stp>0</stp>
        <stp>0</stp>
        <stp>0</stp>
        <tr r="J72" s="1"/>
      </tp>
      <tp>
        <v>6700</v>
        <stp/>
        <stp>136</stp>
        <stp>MSFT</stp>
        <stp>SHORTTERMDEBTQ_X</stp>
        <stp>3</stp>
        <stp>0</stp>
        <stp>0</stp>
        <stp>0</stp>
        <stp>0</stp>
        <tr r="E72" s="1"/>
      </tp>
      <tp>
        <v>3761</v>
        <stp/>
        <stp>136</stp>
        <stp>MSFT</stp>
        <stp>SHORTTERMDEBTQ_X</stp>
        <stp>2</stp>
        <stp>0</stp>
        <stp>0</stp>
        <stp>0</stp>
        <stp>0</stp>
        <tr r="D72" s="1"/>
      </tp>
      <tp>
        <v>6797</v>
        <stp/>
        <stp>136</stp>
        <stp>MSFT</stp>
        <stp>SHORTTERMDEBTQ_X</stp>
        <stp>1</stp>
        <stp>0</stp>
        <stp>0</stp>
        <stp>0</stp>
        <stp>0</stp>
        <tr r="C72" s="1"/>
      </tp>
      <tp>
        <v>9366</v>
        <stp/>
        <stp>136</stp>
        <stp>MSFT</stp>
        <stp>SHORTTERMDEBTQ_X</stp>
        <stp>7</stp>
        <stp>0</stp>
        <stp>0</stp>
        <stp>0</stp>
        <stp>0</stp>
        <tr r="I72" s="1"/>
      </tp>
      <tp>
        <v>16068</v>
        <stp/>
        <stp>136</stp>
        <stp>MSFT</stp>
        <stp>SHORTTERMDEBTQ_X</stp>
        <stp>6</stp>
        <stp>0</stp>
        <stp>0</stp>
        <stp>0</stp>
        <stp>0</stp>
        <tr r="H72" s="1"/>
      </tp>
      <tp>
        <v>3858</v>
        <stp/>
        <stp>136</stp>
        <stp>MSFT</stp>
        <stp>SHORTTERMDEBTQ_X</stp>
        <stp>5</stp>
        <stp>0</stp>
        <stp>0</stp>
        <stp>0</stp>
        <stp>0</stp>
        <tr r="G72" s="1"/>
      </tp>
      <tp>
        <v>4174</v>
        <stp/>
        <stp>136</stp>
        <stp>MSFT</stp>
        <stp>SHORTTERMDEBTQ_X</stp>
        <stp>4</stp>
        <stp>0</stp>
        <stp>0</stp>
        <stp>0</stp>
        <stp>0</stp>
        <tr r="F72" s="1"/>
      </tp>
      <tp>
        <v>100</v>
        <stp/>
        <stp>136</stp>
        <stp>AAPL</stp>
        <stp>PCNTRANKVOLUMEAVEMONTHLY3M</stp>
        <stp>0</stp>
        <stp>0</stp>
        <stp>0</stp>
        <stp>0</stp>
        <stp>0</stp>
        <tr r="F26" s="5"/>
      </tp>
      <tp>
        <v>0.5</v>
        <stp/>
        <stp>136</stp>
        <stp>BOOM</stp>
        <stp>INDUSTRYCASHFLOWGROWTH5Y</stp>
        <stp>0</stp>
        <stp>0</stp>
        <stp>0</stp>
        <stp>0</stp>
        <stp>0</stp>
        <tr r="E29" s="3"/>
      </tp>
      <tp>
        <v>-11.4</v>
        <stp/>
        <stp>136</stp>
        <stp>BOOM</stp>
        <stp>INDUSTRYCASHFLOWGROWTH7Y</stp>
        <stp>0</stp>
        <stp>0</stp>
        <stp>0</stp>
        <stp>0</stp>
        <stp>0</stp>
        <tr r="F29" s="3"/>
      </tp>
      <tp>
        <v>21.2</v>
        <stp/>
        <stp>136</stp>
        <stp>BOOM</stp>
        <stp>INDUSTRYCASHFLOWGROWTH1Y</stp>
        <stp>0</stp>
        <stp>0</stp>
        <stp>0</stp>
        <stp>0</stp>
        <stp>0</stp>
        <tr r="C29" s="3"/>
      </tp>
      <tp>
        <v>-11.7</v>
        <stp/>
        <stp>136</stp>
        <stp>BOOM</stp>
        <stp>INDUSTRYCASHFLOWGROWTH3Y</stp>
        <stp>0</stp>
        <stp>0</stp>
        <stp>0</stp>
        <stp>0</stp>
        <stp>0</stp>
        <tr r="D29" s="3"/>
      </tp>
      <tp t="s">
        <v>#N/A</v>
        <stp/>
        <stp>136</stp>
        <stp>Q</stp>
        <stp>PCNTRANKFLOAT</stp>
        <stp>4</stp>
        <stp>0</stp>
        <stp>0</stp>
        <stp>0</stp>
        <stp>0</stp>
        <tr r="F85" s="12"/>
      </tp>
      <tp t="s">
        <v>Inve$tWare PAR</v>
        <stp/>
        <stp>137</stp>
        <stp/>
        <stp>INVE$TWAREPAR</stp>
        <stp>0</stp>
        <stp>0</stp>
        <stp>0</stp>
        <stp>0</stp>
        <stp>0</stp>
        <tr r="B26" s="9"/>
      </tp>
      <tp t="s">
        <v>Industry Times interest earned</v>
        <stp/>
        <stp>137</stp>
        <stp/>
        <stp>INDUSTRYTIMESINTERESTEARNEDY_X</stp>
        <stp>0</stp>
        <stp>0</stp>
        <stp>0</stp>
        <stp>0</stp>
        <stp>0</stp>
        <tr r="B44" s="7"/>
      </tp>
      <tp>
        <v>18</v>
        <stp/>
        <stp>136</stp>
        <stp>BOOM</stp>
        <stp>PCNTRANKDIVIDENDGROWTH7Y</stp>
        <stp>0</stp>
        <stp>0</stp>
        <stp>0</stp>
        <stp>0</stp>
        <stp>0</stp>
        <tr r="F59" s="3"/>
      </tp>
      <tp>
        <v>17</v>
        <stp/>
        <stp>136</stp>
        <stp>BOOM</stp>
        <stp>PCNTRANKDIVIDENDGROWTH5Y</stp>
        <stp>0</stp>
        <stp>0</stp>
        <stp>0</stp>
        <stp>0</stp>
        <stp>0</stp>
        <tr r="E59" s="3"/>
      </tp>
      <tp>
        <v>13</v>
        <stp/>
        <stp>136</stp>
        <stp>BOOM</stp>
        <stp>PCNTRANKDIVIDENDGROWTH3Y</stp>
        <stp>0</stp>
        <stp>0</stp>
        <stp>0</stp>
        <stp>0</stp>
        <stp>0</stp>
        <tr r="D59" s="3"/>
      </tp>
      <tp>
        <v>12</v>
        <stp/>
        <stp>136</stp>
        <stp>BOOM</stp>
        <stp>PCNTRANKDIVIDENDGROWTH1Y</stp>
        <stp>0</stp>
        <stp>0</stp>
        <stp>0</stp>
        <stp>0</stp>
        <stp>0</stp>
        <tr r="C59" s="3"/>
      </tp>
      <tp t="s">
        <v>Healthcare Facilities &amp; Services</v>
        <stp/>
        <stp>136</stp>
        <stp>BEAT</stp>
        <stp>INDUSTRY</stp>
        <stp>0</stp>
        <stp>0</stp>
        <stp>0</stp>
        <stp>0</stp>
        <stp>0</stp>
        <tr r="D4" s="13"/>
      </tp>
      <tp t="s">
        <v>Iron &amp; Steel</v>
        <stp/>
        <stp>136</stp>
        <stp>BOOM</stp>
        <stp>INDUSTRY</stp>
        <stp>0</stp>
        <stp>0</stp>
        <stp>0</stp>
        <stp>0</stp>
        <stp>0</stp>
        <tr r="C19" s="3"/>
      </tp>
      <tp t="s">
        <v>Cash From Financing</v>
        <stp/>
        <stp>137</stp>
        <stp/>
        <stp>CASHFROMFINANCINGQ_X</stp>
        <stp>0</stp>
        <stp>0</stp>
        <stp>0</stp>
        <stp>0</stp>
        <stp>0</stp>
        <tr r="D22" s="13"/>
        <tr r="B39" s="11"/>
        <tr r="B39" s="12"/>
        <tr r="B41" s="1"/>
      </tp>
      <tp>
        <v>-4.7</v>
        <stp/>
        <stp>136</stp>
        <stp>MSFT</stp>
        <stp>INDUSTRYOPERATINGMARGIN12M</stp>
        <stp>0</stp>
        <stp>0</stp>
        <stp>0</stp>
        <stp>0</stp>
        <stp>0</stp>
        <tr r="C34" s="7"/>
      </tp>
      <tp>
        <v>0.7</v>
        <stp/>
        <stp>136</stp>
        <stp>MSFT</stp>
        <stp>INDUSTRYASSETTURNOVER12M</stp>
        <stp>0</stp>
        <stp>0</stp>
        <stp>0</stp>
        <stp>0</stp>
        <stp>0</stp>
        <tr r="C54" s="7"/>
      </tp>
      <tp t="s">
        <v>Nonrecurring Items</v>
        <stp/>
        <stp>137</stp>
        <stp/>
        <stp>NONRECURRINGITEMSQ_X</stp>
        <stp>0</stp>
        <stp>0</stp>
        <stp>0</stp>
        <stp>0</stp>
        <stp>0</stp>
        <tr r="B26" s="11"/>
        <tr r="B26" s="12"/>
        <tr r="B28" s="1"/>
      </tp>
      <tp t="s">
        <v>Valuation-P/SPS</v>
        <stp/>
        <stp>137</stp>
        <stp/>
        <stp>VALUATIONSPS</stp>
        <stp>0</stp>
        <stp>0</stp>
        <stp>0</stp>
        <stp>0</stp>
        <stp>0</stp>
        <tr r="B6" s="9"/>
      </tp>
      <tp t="s">
        <v>Phones &amp; Handheld Devices</v>
        <stp/>
        <stp>136</stp>
        <stp>AAPL</stp>
        <stp>INDUSTRY</stp>
        <stp>0</stp>
        <stp>0</stp>
        <stp>0</stp>
        <stp>0</stp>
        <stp>0</stp>
        <tr r="C14" s="5"/>
      </tp>
      <tp>
        <v>573109</v>
        <stp/>
        <stp>136</stp>
        <stp>AAPL</stp>
        <stp>VOLUMEAVEMONTHLY3M</stp>
        <stp>0</stp>
        <stp>0</stp>
        <stp>0</stp>
        <stp>0</stp>
        <stp>0</stp>
        <tr r="C26" s="5"/>
      </tp>
      <tp t="s">
        <v>Net Margin 12 Month</v>
        <stp/>
        <stp>137</stp>
        <stp/>
        <stp>NETMARGIN12M</stp>
        <stp>0</stp>
        <stp>0</stp>
        <stp>0</stp>
        <stp>0</stp>
        <stp>0</stp>
        <tr r="D63" s="13"/>
      </tp>
      <tp t="s">
        <v>Pre-tax Income-Growth</v>
        <stp/>
        <stp>137</stp>
        <stp/>
        <stp>PRETAXINCOMEGROWTH1Y</stp>
        <stp>1</stp>
        <stp>0</stp>
        <stp>0</stp>
        <stp>0</stp>
        <stp>0</stp>
        <tr r="B8" s="3"/>
      </tp>
      <tp>
        <v>-0.78</v>
        <stp/>
        <stp>136</stp>
        <stp>AAPL</stp>
        <stp>SECTORRELATIVESTRENGTH4W</stp>
        <stp>0</stp>
        <stp>0</stp>
        <stp>0</stp>
        <stp>0</stp>
        <stp>0</stp>
        <tr r="C59" s="5"/>
      </tp>
      <tp t="s">
        <v>Beta</v>
        <stp/>
        <stp>137</stp>
        <stp/>
        <stp>BETA</stp>
        <stp>0</stp>
        <stp>0</stp>
        <stp>0</stp>
        <stp>0</stp>
        <stp>0</stp>
        <tr r="B38" s="5"/>
      </tp>
      <tp t="s">
        <v>Sector Payout ratio</v>
        <stp/>
        <stp>137</stp>
        <stp/>
        <stp>SECTORPAYOUTRATIOY_X</stp>
        <stp>0</stp>
        <stp>0</stp>
        <stp>0</stp>
        <stp>0</stp>
        <stp>0</stp>
        <tr r="B70" s="7"/>
      </tp>
      <tp t="s">
        <v>Insider Ownership %</v>
        <stp/>
        <stp>137</stp>
        <stp/>
        <stp>INSIDEROWNERSHIPPCNT</stp>
        <stp>0</stp>
        <stp>0</stp>
        <stp>0</stp>
        <stp>0</stp>
        <stp>0</stp>
        <tr r="B32" s="5"/>
      </tp>
      <tp>
        <v>2.4</v>
        <stp/>
        <stp>136</stp>
        <stp>MSFT</stp>
        <stp>INDUSTRYPETOEPSESTGROWTH5Y</stp>
        <stp>0</stp>
        <stp>0</stp>
        <stp>0</stp>
        <stp>0</stp>
        <stp>0</stp>
        <tr r="D40" s="6"/>
      </tp>
      <tp t="s">
        <v>Valuation-Avg P/CF</v>
        <stp/>
        <stp>137</stp>
        <stp/>
        <stp>VALUATIONAVECF</stp>
        <stp>0</stp>
        <stp>0</stp>
        <stp>0</stp>
        <stp>0</stp>
        <stp>0</stp>
        <tr r="B13" s="9"/>
      </tp>
      <tp t="s">
        <v>Industry Net margin</v>
        <stp/>
        <stp>137</stp>
        <stp/>
        <stp>INDUSTRYNETMARGINY_X</stp>
        <stp>0</stp>
        <stp>0</stp>
        <stp>0</stp>
        <stp>0</stp>
        <stp>0</stp>
        <tr r="B35" s="7"/>
      </tp>
      <tp t="s">
        <v>Income For Primary EPS</v>
        <stp/>
        <stp>137</stp>
        <stp/>
        <stp>INCOMEFORPRIMARYEPSQ_X</stp>
        <stp>0</stp>
        <stp>0</stp>
        <stp>0</stp>
        <stp>0</stp>
        <stp>0</stp>
        <tr r="D68" s="13"/>
        <tr r="B25" s="12"/>
        <tr r="B25" s="11"/>
        <tr r="B27" s="1"/>
      </tp>
      <tp>
        <v>86.5</v>
        <stp/>
        <stp>136</stp>
        <stp>BOOM</stp>
        <stp>TOTALOPERATINGEXPENSEQ_X</stp>
        <stp>8</stp>
        <stp>0</stp>
        <stp>0</stp>
        <stp>0</stp>
        <stp>0</stp>
        <tr r="J13" s="11"/>
        <tr r="J13" s="12"/>
      </tp>
      <tp>
        <v>79.7</v>
        <stp/>
        <stp>136</stp>
        <stp>BOOM</stp>
        <stp>TOTALOPERATINGEXPENSEQ_X</stp>
        <stp>1</stp>
        <stp>0</stp>
        <stp>0</stp>
        <stp>0</stp>
        <stp>0</stp>
        <tr r="C13" s="12"/>
        <tr r="C13" s="11"/>
      </tp>
      <tp>
        <v>79.099999999999994</v>
        <stp/>
        <stp>136</stp>
        <stp>BOOM</stp>
        <stp>TOTALOPERATINGEXPENSEQ_X</stp>
        <stp>3</stp>
        <stp>0</stp>
        <stp>0</stp>
        <stp>0</stp>
        <stp>0</stp>
        <tr r="E13" s="11"/>
        <tr r="E13" s="12"/>
      </tp>
      <tp>
        <v>77.3</v>
        <stp/>
        <stp>136</stp>
        <stp>BOOM</stp>
        <stp>TOTALOPERATINGEXPENSEQ_X</stp>
        <stp>2</stp>
        <stp>0</stp>
        <stp>0</stp>
        <stp>0</stp>
        <stp>0</stp>
        <tr r="D13" s="11"/>
        <tr r="D13" s="12"/>
      </tp>
      <tp>
        <v>62</v>
        <stp/>
        <stp>136</stp>
        <stp>BOOM</stp>
        <stp>TOTALOPERATINGEXPENSEQ_X</stp>
        <stp>5</stp>
        <stp>0</stp>
        <stp>0</stp>
        <stp>0</stp>
        <stp>0</stp>
        <tr r="G13" s="11"/>
        <tr r="G13" s="12"/>
      </tp>
      <tp>
        <v>132.69999999999999</v>
        <stp/>
        <stp>136</stp>
        <stp>BOOM</stp>
        <stp>TOTALOPERATINGEXPENSEQ_X</stp>
        <stp>4</stp>
        <stp>0</stp>
        <stp>0</stp>
        <stp>0</stp>
        <stp>0</stp>
        <tr r="F13" s="11"/>
        <tr r="F13" s="12"/>
      </tp>
      <tp>
        <v>64.599999999999994</v>
        <stp/>
        <stp>136</stp>
        <stp>BOOM</stp>
        <stp>TOTALOPERATINGEXPENSEQ_X</stp>
        <stp>7</stp>
        <stp>0</stp>
        <stp>0</stp>
        <stp>0</stp>
        <stp>0</stp>
        <tr r="I13" s="11"/>
        <tr r="I13" s="12"/>
      </tp>
      <tp>
        <v>54</v>
        <stp/>
        <stp>136</stp>
        <stp>BOOM</stp>
        <stp>TOTALOPERATINGEXPENSEQ_X</stp>
        <stp>6</stp>
        <stp>0</stp>
        <stp>0</stp>
        <stp>0</stp>
        <stp>0</stp>
        <tr r="H13" s="11"/>
        <tr r="H13" s="12"/>
      </tp>
      <tp>
        <v>65.5</v>
        <stp/>
        <stp>136</stp>
        <stp>MSFT</stp>
        <stp>GROSSMARGINAVE5Y</stp>
        <stp>0</stp>
        <stp>0</stp>
        <stp>0</stp>
        <stp>0</stp>
        <stp>0</stp>
        <tr r="K7" s="7"/>
      </tp>
      <tp t="s">
        <v>EPS Dil-Growth</v>
        <stp/>
        <stp>137</stp>
        <stp/>
        <stp>EPSDILGROWTH1Y</stp>
        <stp>1</stp>
        <stp>0</stp>
        <stp>0</stp>
        <stp>0</stp>
        <stp>0</stp>
        <tr r="B13" s="3"/>
      </tp>
      <tp t="s">
        <v>Industry Free Cash Flow-Growth</v>
        <stp/>
        <stp>137</stp>
        <stp/>
        <stp>INDUSTRYFREECASHFLOWGROWTH1Y</stp>
        <stp>1</stp>
        <stp>0</stp>
        <stp>0</stp>
        <stp>0</stp>
        <stp>0</stp>
        <tr r="B30" s="3"/>
      </tp>
      <tp>
        <v>0</v>
        <stp/>
        <stp>136</stp>
        <stp>BOOM</stp>
        <stp>LTINVESTMENTSQ_X</stp>
        <stp>8</stp>
        <stp>0</stp>
        <stp>0</stp>
        <stp>0</stp>
        <stp>0</stp>
        <tr r="J63" s="12"/>
        <tr r="J63" s="11"/>
      </tp>
      <tp>
        <v>0</v>
        <stp/>
        <stp>136</stp>
        <stp>BOOM</stp>
        <stp>LTINVESTMENTSQ_X</stp>
        <stp>6</stp>
        <stp>0</stp>
        <stp>0</stp>
        <stp>0</stp>
        <stp>0</stp>
        <tr r="H63" s="11"/>
        <tr r="H63" s="12"/>
      </tp>
      <tp>
        <v>0</v>
        <stp/>
        <stp>136</stp>
        <stp>BOOM</stp>
        <stp>LTINVESTMENTSQ_X</stp>
        <stp>7</stp>
        <stp>0</stp>
        <stp>0</stp>
        <stp>0</stp>
        <stp>0</stp>
        <tr r="I63" s="12"/>
        <tr r="I63" s="11"/>
      </tp>
      <tp>
        <v>0</v>
        <stp/>
        <stp>136</stp>
        <stp>BOOM</stp>
        <stp>LTINVESTMENTSQ_X</stp>
        <stp>4</stp>
        <stp>0</stp>
        <stp>0</stp>
        <stp>0</stp>
        <stp>0</stp>
        <tr r="F63" s="11"/>
        <tr r="F63" s="12"/>
      </tp>
      <tp>
        <v>0</v>
        <stp/>
        <stp>136</stp>
        <stp>BOOM</stp>
        <stp>LTINVESTMENTSQ_X</stp>
        <stp>5</stp>
        <stp>0</stp>
        <stp>0</stp>
        <stp>0</stp>
        <stp>0</stp>
        <tr r="G63" s="11"/>
        <tr r="G63" s="12"/>
      </tp>
      <tp>
        <v>0</v>
        <stp/>
        <stp>136</stp>
        <stp>BOOM</stp>
        <stp>LTINVESTMENTSQ_X</stp>
        <stp>2</stp>
        <stp>0</stp>
        <stp>0</stp>
        <stp>0</stp>
        <stp>0</stp>
        <tr r="D63" s="11"/>
        <tr r="D63" s="12"/>
      </tp>
      <tp>
        <v>0</v>
        <stp/>
        <stp>136</stp>
        <stp>BOOM</stp>
        <stp>LTINVESTMENTSQ_X</stp>
        <stp>3</stp>
        <stp>0</stp>
        <stp>0</stp>
        <stp>0</stp>
        <stp>0</stp>
        <tr r="E63" s="12"/>
        <tr r="E63" s="11"/>
      </tp>
      <tp>
        <v>0</v>
        <stp/>
        <stp>136</stp>
        <stp>BOOM</stp>
        <stp>LTINVESTMENTSQ_X</stp>
        <stp>1</stp>
        <stp>0</stp>
        <stp>0</stp>
        <stp>0</stp>
        <stp>0</stp>
        <tr r="C63" s="11"/>
        <tr r="C63" s="12"/>
      </tp>
      <tp>
        <v>36.5</v>
        <stp/>
        <stp>136</stp>
        <stp>MSFT</stp>
        <stp>SECTORPRICEPERCFPS</stp>
        <stp>0</stp>
        <stp>0</stp>
        <stp>0</stp>
        <stp>0</stp>
        <stp>0</stp>
        <tr r="C25" s="6"/>
      </tp>
      <tp>
        <v>0.999</v>
        <stp/>
        <stp>136</stp>
        <stp>MSFT</stp>
        <stp>QTRLYSURPRISEEST</stp>
        <stp>0</stp>
        <stp>0</stp>
        <stp>0</stp>
        <stp>0</stp>
        <stp>0</stp>
        <tr r="C24" s="8"/>
      </tp>
      <tp>
        <v>0</v>
        <stp/>
        <stp>136</stp>
        <stp>BEAT</stp>
        <stp>LTINVESTMENTSQ_X</stp>
        <stp>1</stp>
        <stp>0</stp>
        <stp>0</stp>
        <stp>0</stp>
        <stp>0</stp>
        <tr r="F44" s="13"/>
      </tp>
      <tp>
        <v>0</v>
        <stp/>
        <stp>136</stp>
        <stp>BEAT</stp>
        <stp>LTINVESTMENTSQ_X</stp>
        <stp>2</stp>
        <stp>0</stp>
        <stp>0</stp>
        <stp>0</stp>
        <stp>0</stp>
        <tr r="G44" s="13"/>
      </tp>
      <tp>
        <v>0</v>
        <stp/>
        <stp>136</stp>
        <stp>BEAT</stp>
        <stp>LTINVESTMENTSQ_X</stp>
        <stp>3</stp>
        <stp>0</stp>
        <stp>0</stp>
        <stp>0</stp>
        <stp>0</stp>
        <tr r="H44" s="13"/>
      </tp>
      <tp>
        <v>0</v>
        <stp/>
        <stp>136</stp>
        <stp>BEAT</stp>
        <stp>LTINVESTMENTSQ_X</stp>
        <stp>4</stp>
        <stp>0</stp>
        <stp>0</stp>
        <stp>0</stp>
        <stp>0</stp>
        <tr r="I44" s="13"/>
      </tp>
      <tp t="s">
        <v>Nasdaq</v>
        <stp/>
        <stp>136</stp>
        <stp>AAPL</stp>
        <stp>EXCHANGE</stp>
        <stp>0</stp>
        <stp>0</stp>
        <stp>0</stp>
        <stp>0</stp>
        <stp>0</stp>
        <tr r="F3" s="5"/>
      </tp>
      <tp>
        <v>4.7</v>
        <stp/>
        <stp>136</stp>
        <stp>MSFT</stp>
        <stp>SECTORINVENTORYTURNOVER12M</stp>
        <stp>0</stp>
        <stp>0</stp>
        <stp>0</stp>
        <stp>0</stp>
        <stp>0</stp>
        <tr r="C80" s="7"/>
      </tp>
      <tp>
        <v>73</v>
        <stp/>
        <stp>136</stp>
        <stp>MSFT</stp>
        <stp>PCNTRANKOPERATINGMARGINY_X</stp>
        <stp>4</stp>
        <stp>0</stp>
        <stp>0</stp>
        <stp>0</stp>
        <stp>0</stp>
        <tr r="G88" s="7"/>
      </tp>
      <tp>
        <v>82</v>
        <stp/>
        <stp>136</stp>
        <stp>MSFT</stp>
        <stp>PCNTRANKOPERATINGMARGINY_X</stp>
        <stp>5</stp>
        <stp>0</stp>
        <stp>0</stp>
        <stp>0</stp>
        <stp>0</stp>
        <tr r="H88" s="7"/>
      </tp>
      <tp t="s">
        <v>NA</v>
        <stp/>
        <stp>136</stp>
        <stp>MSFT</stp>
        <stp>PCNTRANKOPERATINGMARGINY_X</stp>
        <stp>6</stp>
        <stp>0</stp>
        <stp>0</stp>
        <stp>0</stp>
        <stp>0</stp>
        <tr r="I88" s="7"/>
      </tp>
      <tp t="s">
        <v>NA</v>
        <stp/>
        <stp>136</stp>
        <stp>MSFT</stp>
        <stp>PCNTRANKOPERATINGMARGINY_X</stp>
        <stp>7</stp>
        <stp>0</stp>
        <stp>0</stp>
        <stp>0</stp>
        <stp>0</stp>
        <tr r="J88" s="7"/>
      </tp>
      <tp>
        <v>82</v>
        <stp/>
        <stp>136</stp>
        <stp>MSFT</stp>
        <stp>PCNTRANKOPERATINGMARGINY_X</stp>
        <stp>1</stp>
        <stp>0</stp>
        <stp>0</stp>
        <stp>0</stp>
        <stp>0</stp>
        <tr r="D88" s="7"/>
      </tp>
      <tp>
        <v>81</v>
        <stp/>
        <stp>136</stp>
        <stp>MSFT</stp>
        <stp>PCNTRANKOPERATINGMARGINY_X</stp>
        <stp>2</stp>
        <stp>0</stp>
        <stp>0</stp>
        <stp>0</stp>
        <stp>0</stp>
        <tr r="E88" s="7"/>
      </tp>
      <tp>
        <v>81</v>
        <stp/>
        <stp>136</stp>
        <stp>MSFT</stp>
        <stp>PCNTRANKOPERATINGMARGINY_X</stp>
        <stp>3</stp>
        <stp>0</stp>
        <stp>0</stp>
        <stp>0</stp>
        <stp>0</stp>
        <tr r="F88" s="7"/>
      </tp>
      <tp>
        <v>60.8</v>
        <stp/>
        <stp>136</stp>
        <stp>AAPL</stp>
        <stp>INSTITUTIONALOWNERSHIPPCNT</stp>
        <stp>0</stp>
        <stp>0</stp>
        <stp>0</stp>
        <stp>0</stp>
        <stp>0</stp>
        <tr r="C28" s="5"/>
      </tp>
      <tp>
        <v>5320</v>
        <stp/>
        <stp>136</stp>
        <stp>MSFT</stp>
        <stp>LTINVESTMENTSQ_X</stp>
        <stp>7</stp>
        <stp>0</stp>
        <stp>0</stp>
        <stp>0</stp>
        <stp>0</stp>
        <tr r="I65" s="1"/>
      </tp>
      <tp>
        <v>3954</v>
        <stp/>
        <stp>136</stp>
        <stp>MSFT</stp>
        <stp>LTINVESTMENTSQ_X</stp>
        <stp>6</stp>
        <stp>0</stp>
        <stp>0</stp>
        <stp>0</stp>
        <stp>0</stp>
        <tr r="H65" s="1"/>
      </tp>
      <tp>
        <v>2818</v>
        <stp/>
        <stp>136</stp>
        <stp>MSFT</stp>
        <stp>LTINVESTMENTSQ_X</stp>
        <stp>5</stp>
        <stp>0</stp>
        <stp>0</stp>
        <stp>0</stp>
        <stp>0</stp>
        <tr r="G65" s="1"/>
      </tp>
      <tp>
        <v>1862</v>
        <stp/>
        <stp>136</stp>
        <stp>MSFT</stp>
        <stp>LTINVESTMENTSQ_X</stp>
        <stp>4</stp>
        <stp>0</stp>
        <stp>0</stp>
        <stp>0</stp>
        <stp>0</stp>
        <tr r="F65" s="1"/>
      </tp>
      <tp>
        <v>2034</v>
        <stp/>
        <stp>136</stp>
        <stp>MSFT</stp>
        <stp>LTINVESTMENTSQ_X</stp>
        <stp>3</stp>
        <stp>0</stp>
        <stp>0</stp>
        <stp>0</stp>
        <stp>0</stp>
        <tr r="E65" s="1"/>
      </tp>
      <tp>
        <v>2274</v>
        <stp/>
        <stp>136</stp>
        <stp>MSFT</stp>
        <stp>LTINVESTMENTSQ_X</stp>
        <stp>2</stp>
        <stp>0</stp>
        <stp>0</stp>
        <stp>0</stp>
        <stp>0</stp>
        <tr r="D65" s="1"/>
      </tp>
      <tp>
        <v>2403</v>
        <stp/>
        <stp>136</stp>
        <stp>MSFT</stp>
        <stp>LTINVESTMENTSQ_X</stp>
        <stp>1</stp>
        <stp>0</stp>
        <stp>0</stp>
        <stp>0</stp>
        <stp>0</stp>
        <tr r="C65" s="1"/>
      </tp>
      <tp>
        <v>5956</v>
        <stp/>
        <stp>136</stp>
        <stp>MSFT</stp>
        <stp>LTINVESTMENTSQ_X</stp>
        <stp>8</stp>
        <stp>0</stp>
        <stp>0</stp>
        <stp>0</stp>
        <stp>0</stp>
        <tr r="J65" s="1"/>
      </tp>
      <tp t="s">
        <v>Exchange Rate Effects</v>
        <stp/>
        <stp>137</stp>
        <stp/>
        <stp>EXCHANGERATEEFFECTSQ_X</stp>
        <stp>0</stp>
        <stp>0</stp>
        <stp>0</stp>
        <stp>0</stp>
        <stp>0</stp>
        <tr r="B42" s="1"/>
        <tr r="B40" s="12"/>
        <tr r="B40" s="11"/>
      </tp>
      <tp t="s">
        <v>NA</v>
        <stp/>
        <stp>136</stp>
        <stp>AAPL</stp>
        <stp>FLASHSALES</stp>
        <stp>0</stp>
        <stp>0</stp>
        <stp>0</stp>
        <stp>0</stp>
        <stp>0</stp>
        <tr r="C80" s="5"/>
      </tp>
      <tp t="s">
        <v>Sector Asset turnover</v>
        <stp/>
        <stp>137</stp>
        <stp/>
        <stp>SECTORASSETTURNOVERY_X</stp>
        <stp>0</stp>
        <stp>0</stp>
        <stp>0</stp>
        <stp>0</stp>
        <stp>0</stp>
        <tr r="B81" s="7"/>
      </tp>
      <tp>
        <v>20230</v>
        <stp/>
        <stp>136</stp>
        <stp>MSFT</stp>
        <stp>TOTALOPERATINGEXPENSEQ_X</stp>
        <stp>1</stp>
        <stp>0</stp>
        <stp>0</stp>
        <stp>0</stp>
        <stp>0</stp>
        <tr r="C15" s="1"/>
      </tp>
      <tp>
        <v>22220</v>
        <stp/>
        <stp>136</stp>
        <stp>MSFT</stp>
        <stp>TOTALOPERATINGEXPENSEQ_X</stp>
        <stp>2</stp>
        <stp>0</stp>
        <stp>0</stp>
        <stp>0</stp>
        <stp>0</stp>
        <tr r="D15" s="1"/>
      </tp>
      <tp>
        <v>19129</v>
        <stp/>
        <stp>136</stp>
        <stp>MSFT</stp>
        <stp>TOTALOPERATINGEXPENSEQ_X</stp>
        <stp>3</stp>
        <stp>0</stp>
        <stp>0</stp>
        <stp>0</stp>
        <stp>0</stp>
        <tr r="E15" s="1"/>
      </tp>
      <tp>
        <v>19706</v>
        <stp/>
        <stp>136</stp>
        <stp>MSFT</stp>
        <stp>TOTALOPERATINGEXPENSEQ_X</stp>
        <stp>4</stp>
        <stp>0</stp>
        <stp>0</stp>
        <stp>0</stp>
        <stp>0</stp>
        <tr r="F15" s="1"/>
      </tp>
      <tp>
        <v>18544</v>
        <stp/>
        <stp>136</stp>
        <stp>MSFT</stp>
        <stp>TOTALOPERATINGEXPENSEQ_X</stp>
        <stp>5</stp>
        <stp>0</stp>
        <stp>0</stp>
        <stp>0</stp>
        <stp>0</stp>
        <tr r="G15" s="1"/>
      </tp>
      <tp>
        <v>20263</v>
        <stp/>
        <stp>136</stp>
        <stp>MSFT</stp>
        <stp>TOTALOPERATINGEXPENSEQ_X</stp>
        <stp>6</stp>
        <stp>0</stp>
        <stp>0</stp>
        <stp>0</stp>
        <stp>0</stp>
        <tr r="H15" s="1"/>
      </tp>
      <tp>
        <v>16836</v>
        <stp/>
        <stp>136</stp>
        <stp>MSFT</stp>
        <stp>TOTALOPERATINGEXPENSEQ_X</stp>
        <stp>7</stp>
        <stp>0</stp>
        <stp>0</stp>
        <stp>0</stp>
        <stp>0</stp>
        <tr r="I15" s="1"/>
      </tp>
      <tp>
        <v>17924</v>
        <stp/>
        <stp>136</stp>
        <stp>MSFT</stp>
        <stp>TOTALOPERATINGEXPENSEQ_X</stp>
        <stp>8</stp>
        <stp>0</stp>
        <stp>0</stp>
        <stp>0</stp>
        <stp>0</stp>
        <tr r="J15" s="1"/>
      </tp>
      <tp>
        <v>48.4</v>
        <stp/>
        <stp>136</stp>
        <stp>BOOM</stp>
        <stp>INDUSTRYEPSCONTGROWTH12M</stp>
        <stp>0</stp>
        <stp>0</stp>
        <stp>0</stp>
        <stp>0</stp>
        <stp>0</stp>
        <tr r="G26" s="3"/>
      </tp>
      <tp>
        <v>12.6</v>
        <stp/>
        <stp>136</stp>
        <stp>MSFT</stp>
        <stp>PEAVEY_X</stp>
        <stp>6</stp>
        <stp>0</stp>
        <stp>0</stp>
        <stp>0</stp>
        <stp>0</stp>
        <tr r="M6" s="6"/>
      </tp>
      <tp>
        <v>14.8</v>
        <stp/>
        <stp>136</stp>
        <stp>MSFT</stp>
        <stp>PEAVEY_X</stp>
        <stp>7</stp>
        <stp>0</stp>
        <stp>0</stp>
        <stp>0</stp>
        <stp>0</stp>
        <tr r="N6" s="6"/>
      </tp>
      <tp>
        <v>32.700000000000003</v>
        <stp/>
        <stp>136</stp>
        <stp>MSFT</stp>
        <stp>PEAVEY_X</stp>
        <stp>4</stp>
        <stp>0</stp>
        <stp>0</stp>
        <stp>0</stp>
        <stp>0</stp>
        <tr r="K6" s="6"/>
      </tp>
      <tp>
        <v>16.100000000000001</v>
        <stp/>
        <stp>136</stp>
        <stp>MSFT</stp>
        <stp>PEAVEY_X</stp>
        <stp>5</stp>
        <stp>0</stp>
        <stp>0</stp>
        <stp>0</stp>
        <stp>0</stp>
        <tr r="L6" s="6"/>
      </tp>
      <tp>
        <v>23</v>
        <stp/>
        <stp>136</stp>
        <stp>MSFT</stp>
        <stp>PEAVEY_X</stp>
        <stp>2</stp>
        <stp>0</stp>
        <stp>0</stp>
        <stp>0</stp>
        <stp>0</stp>
        <tr r="I6" s="6"/>
      </tp>
      <tp>
        <v>21.9</v>
        <stp/>
        <stp>136</stp>
        <stp>MSFT</stp>
        <stp>PEAVEY_X</stp>
        <stp>3</stp>
        <stp>0</stp>
        <stp>0</stp>
        <stp>0</stp>
        <stp>0</stp>
        <tr r="J6" s="6"/>
      </tp>
      <tp>
        <v>25.7</v>
        <stp/>
        <stp>136</stp>
        <stp>MSFT</stp>
        <stp>PEAVEY_X</stp>
        <stp>1</stp>
        <stp>0</stp>
        <stp>0</stp>
        <stp>0</stp>
        <stp>0</stp>
        <tr r="H6" s="6"/>
      </tp>
      <tp>
        <v>61</v>
        <stp/>
        <stp>136</stp>
        <stp>AAPL</stp>
        <stp>INSIDERNETSHAREPURCHASED</stp>
        <stp>0</stp>
        <stp>0</stp>
        <stp>0</stp>
        <stp>0</stp>
        <stp>0</stp>
        <tr r="C43" s="5"/>
      </tp>
      <tp>
        <v>99</v>
        <stp/>
        <stp>136</stp>
        <stp>MSFT</stp>
        <stp>PCNTRANKSALES12M</stp>
        <stp>0</stp>
        <stp>0</stp>
        <stp>0</stp>
        <stp>0</stp>
        <stp>0</stp>
        <tr r="C86" s="7"/>
      </tp>
      <tp>
        <v>4.71</v>
        <stp/>
        <stp>136</stp>
        <stp>MSFT</stp>
        <stp>PRICEPERSALESAVE7Y</stp>
        <stp>0</stp>
        <stp>0</stp>
        <stp>0</stp>
        <stp>0</stp>
        <stp>0</stp>
        <tr r="G8" s="6"/>
      </tp>
      <tp>
        <v>5.22</v>
        <stp/>
        <stp>136</stp>
        <stp>MSFT</stp>
        <stp>PRICEPERSALESAVE5Y</stp>
        <stp>0</stp>
        <stp>0</stp>
        <stp>0</stp>
        <stp>0</stp>
        <stp>0</stp>
        <tr r="F8" s="6"/>
      </tp>
      <tp>
        <v>5.95</v>
        <stp/>
        <stp>136</stp>
        <stp>MSFT</stp>
        <stp>PRICEPERSALESAVE3Y</stp>
        <stp>0</stp>
        <stp>0</stp>
        <stp>0</stp>
        <stp>0</stp>
        <stp>0</stp>
        <tr r="E8" s="6"/>
      </tp>
      <tp>
        <v>78.17</v>
        <stp/>
        <stp>136</stp>
        <stp>MSFT</stp>
        <stp>INVE$TWAREFORECASTLOWPRICE</stp>
        <stp>0</stp>
        <stp>0</stp>
        <stp>0</stp>
        <stp>0</stp>
        <stp>0</stp>
        <tr r="C22" s="9"/>
      </tp>
      <tp>
        <v>72</v>
        <stp/>
        <stp>136</stp>
        <stp>MSFT</stp>
        <stp>PCNTRANKPRICEPERFCFPSAVE3Y</stp>
        <stp>0</stp>
        <stp>0</stp>
        <stp>0</stp>
        <stp>0</stp>
        <stp>0</stp>
        <tr r="E34" s="6"/>
      </tp>
      <tp>
        <v>64</v>
        <stp/>
        <stp>136</stp>
        <stp>MSFT</stp>
        <stp>PCNTRANKPRICEPERFCFPSAVE5Y</stp>
        <stp>0</stp>
        <stp>0</stp>
        <stp>0</stp>
        <stp>0</stp>
        <stp>0</stp>
        <tr r="F34" s="6"/>
      </tp>
      <tp>
        <v>56</v>
        <stp/>
        <stp>136</stp>
        <stp>MSFT</stp>
        <stp>PCNTRANKPRICEPERFCFPSAVE7Y</stp>
        <stp>0</stp>
        <stp>0</stp>
        <stp>0</stp>
        <stp>0</stp>
        <stp>0</stp>
        <tr r="G34" s="6"/>
      </tp>
      <tp>
        <v>928266.9</v>
        <stp/>
        <stp>136</stp>
        <stp>AAPL</stp>
        <stp>MARKETCAPQ1</stp>
        <stp>0</stp>
        <stp>0</stp>
        <stp>0</stp>
        <stp>0</stp>
        <stp>0</stp>
        <tr r="C39" s="5"/>
      </tp>
      <tp>
        <v>100</v>
        <stp/>
        <stp>136</stp>
        <stp>AAPL</stp>
        <stp>PCNTRANKMARKETCAPQ1</stp>
        <stp>0</stp>
        <stp>0</stp>
        <stp>0</stp>
        <stp>0</stp>
        <stp>0</stp>
        <tr r="F39" s="5"/>
      </tp>
      <tp t="s">
        <v>Inve$tWare Total Return</v>
        <stp/>
        <stp>137</stp>
        <stp/>
        <stp>INVE$TWARETOTALRETURN</stp>
        <stp>0</stp>
        <stp>0</stp>
        <stp>0</stp>
        <stp>0</stp>
        <stp>0</stp>
        <tr r="B25" s="9"/>
      </tp>
      <tp>
        <v>33.1</v>
        <stp/>
        <stp>136</stp>
        <stp>MSFT</stp>
        <stp>SECTORPRICEPERCFPS1YEARAGO</stp>
        <stp>0</stp>
        <stp>0</stp>
        <stp>0</stp>
        <stp>0</stp>
        <stp>0</stp>
        <tr r="D25" s="6"/>
      </tp>
      <tp>
        <v>1.99</v>
        <stp/>
        <stp>136</stp>
        <stp>MSFT</stp>
        <stp>DCFBSCFQ_X</stp>
        <stp>4</stp>
        <stp>0</stp>
        <stp>0</stp>
        <stp>0</stp>
        <stp>0</stp>
        <tr r="F50" s="1"/>
      </tp>
      <tp>
        <v>15.86</v>
        <stp/>
        <stp>136</stp>
        <stp>MSFT</stp>
        <stp>DCFBSCFQ_X</stp>
        <stp>3</stp>
        <stp>0</stp>
        <stp>0</stp>
        <stp>0</stp>
        <stp>0</stp>
        <tr r="E50" s="1"/>
      </tp>
      <tp>
        <v>-22.21</v>
        <stp/>
        <stp>136</stp>
        <stp>MSFT</stp>
        <stp>DCFBSCFQ_X</stp>
        <stp>2</stp>
        <stp>0</stp>
        <stp>0</stp>
        <stp>0</stp>
        <stp>0</stp>
        <tr r="D50" s="1"/>
      </tp>
      <tp>
        <v>6.86</v>
        <stp/>
        <stp>136</stp>
        <stp>MSFT</stp>
        <stp>DCFBSCFQ_X</stp>
        <stp>1</stp>
        <stp>0</stp>
        <stp>0</stp>
        <stp>0</stp>
        <stp>0</stp>
        <tr r="C50" s="1"/>
      </tp>
      <tp>
        <v>28.3</v>
        <stp/>
        <stp>136</stp>
        <stp>MSFT</stp>
        <stp>OPERATINGMARGINY_X</stp>
        <stp>3</stp>
        <stp>0</stp>
        <stp>0</stp>
        <stp>0</stp>
        <stp>0</stp>
        <tr r="F8" s="7"/>
      </tp>
      <tp>
        <v>30</v>
        <stp/>
        <stp>136</stp>
        <stp>MSFT</stp>
        <stp>OPERATINGMARGINY_X</stp>
        <stp>2</stp>
        <stp>0</stp>
        <stp>0</stp>
        <stp>0</stp>
        <stp>0</stp>
        <tr r="E8" s="7"/>
      </tp>
      <tp>
        <v>31.7</v>
        <stp/>
        <stp>136</stp>
        <stp>MSFT</stp>
        <stp>OPERATINGMARGINY_X</stp>
        <stp>1</stp>
        <stp>0</stp>
        <stp>0</stp>
        <stp>0</stp>
        <stp>0</stp>
        <tr r="D8" s="7"/>
      </tp>
      <tp>
        <v>29.5</v>
        <stp/>
        <stp>136</stp>
        <stp>MSFT</stp>
        <stp>OPERATINGMARGINY_X</stp>
        <stp>7</stp>
        <stp>0</stp>
        <stp>0</stp>
        <stp>0</stp>
        <stp>0</stp>
        <tr r="J8" s="7"/>
      </tp>
      <tp>
        <v>34.1</v>
        <stp/>
        <stp>136</stp>
        <stp>MSFT</stp>
        <stp>OPERATINGMARGINY_X</stp>
        <stp>6</stp>
        <stp>0</stp>
        <stp>0</stp>
        <stp>0</stp>
        <stp>0</stp>
        <tr r="I8" s="7"/>
      </tp>
      <tp>
        <v>31.8</v>
        <stp/>
        <stp>136</stp>
        <stp>MSFT</stp>
        <stp>OPERATINGMARGINY_X</stp>
        <stp>5</stp>
        <stp>0</stp>
        <stp>0</stp>
        <stp>0</stp>
        <stp>0</stp>
        <tr r="H8" s="7"/>
      </tp>
      <tp>
        <v>19.2</v>
        <stp/>
        <stp>136</stp>
        <stp>MSFT</stp>
        <stp>OPERATINGMARGINY_X</stp>
        <stp>4</stp>
        <stp>0</stp>
        <stp>0</stp>
        <stp>0</stp>
        <stp>0</stp>
        <tr r="G8" s="7"/>
      </tp>
      <tp>
        <v>58</v>
        <stp/>
        <stp>136</stp>
        <stp>AAPL</stp>
        <stp>PCNTRANKINSTITUTIONALOWNERSHIPPCNT</stp>
        <stp>0</stp>
        <stp>0</stp>
        <stp>0</stp>
        <stp>0</stp>
        <stp>0</stp>
        <tr r="F28" s="5"/>
      </tp>
      <tp>
        <v>7544</v>
        <stp/>
        <stp>136</stp>
        <stp>MSFT</stp>
        <stp>ACCOUNTSPAYABLEQ_X</stp>
        <stp>1</stp>
        <stp>0</stp>
        <stp>0</stp>
        <stp>0</stp>
        <stp>0</stp>
        <tr r="C71" s="1"/>
      </tp>
      <tp>
        <v>7563</v>
        <stp/>
        <stp>136</stp>
        <stp>MSFT</stp>
        <stp>ACCOUNTSPAYABLEQ_X</stp>
        <stp>2</stp>
        <stp>0</stp>
        <stp>0</stp>
        <stp>0</stp>
        <stp>0</stp>
        <tr r="D71" s="1"/>
      </tp>
      <tp>
        <v>8511</v>
        <stp/>
        <stp>136</stp>
        <stp>MSFT</stp>
        <stp>ACCOUNTSPAYABLEQ_X</stp>
        <stp>3</stp>
        <stp>0</stp>
        <stp>0</stp>
        <stp>0</stp>
        <stp>0</stp>
        <tr r="E71" s="1"/>
      </tp>
      <tp>
        <v>8617</v>
        <stp/>
        <stp>136</stp>
        <stp>MSFT</stp>
        <stp>ACCOUNTSPAYABLEQ_X</stp>
        <stp>4</stp>
        <stp>0</stp>
        <stp>0</stp>
        <stp>0</stp>
        <stp>0</stp>
        <tr r="F71" s="1"/>
      </tp>
      <tp>
        <v>7623</v>
        <stp/>
        <stp>136</stp>
        <stp>MSFT</stp>
        <stp>ACCOUNTSPAYABLEQ_X</stp>
        <stp>5</stp>
        <stp>0</stp>
        <stp>0</stp>
        <stp>0</stp>
        <stp>0</stp>
        <tr r="G71" s="1"/>
      </tp>
      <tp>
        <v>7850</v>
        <stp/>
        <stp>136</stp>
        <stp>MSFT</stp>
        <stp>ACCOUNTSPAYABLEQ_X</stp>
        <stp>6</stp>
        <stp>0</stp>
        <stp>0</stp>
        <stp>0</stp>
        <stp>0</stp>
        <tr r="H71" s="1"/>
      </tp>
      <tp>
        <v>6866</v>
        <stp/>
        <stp>136</stp>
        <stp>MSFT</stp>
        <stp>ACCOUNTSPAYABLEQ_X</stp>
        <stp>7</stp>
        <stp>0</stp>
        <stp>0</stp>
        <stp>0</stp>
        <stp>0</stp>
        <tr r="I71" s="1"/>
      </tp>
      <tp>
        <v>7390</v>
        <stp/>
        <stp>136</stp>
        <stp>MSFT</stp>
        <stp>ACCOUNTSPAYABLEQ_X</stp>
        <stp>8</stp>
        <stp>0</stp>
        <stp>0</stp>
        <stp>0</stp>
        <stp>0</stp>
        <tr r="J71" s="1"/>
      </tp>
      <tp t="s">
        <v>% Rank-Price/CFPS</v>
        <stp/>
        <stp>137</stp>
        <stp/>
        <stp>PCNTRANKPRICEPERCFPS</stp>
        <stp>0</stp>
        <stp>0</stp>
        <stp>0</stp>
        <stp>0</stp>
        <stp>0</stp>
        <tr r="B33" s="6"/>
      </tp>
      <tp t="s">
        <v>Software</v>
        <stp/>
        <stp>136</stp>
        <stp>MSFT</stp>
        <stp>INDUSTRY</stp>
        <stp>0</stp>
        <stp>0</stp>
        <stp>0</stp>
        <stp>0</stp>
        <stp>0</stp>
        <tr r="C13" s="6"/>
        <tr r="C30" s="7"/>
      </tp>
      <tp>
        <v>0</v>
        <stp/>
        <stp>136</stp>
        <stp>MSFT</stp>
        <stp>INTERESTEXPENSEQ_X</stp>
        <stp>8</stp>
        <stp>0</stp>
        <stp>0</stp>
        <stp>0</stp>
        <stp>0</stp>
        <tr r="J13" s="1"/>
      </tp>
      <tp>
        <v>0</v>
        <stp/>
        <stp>136</stp>
        <stp>MSFT</stp>
        <stp>INTERESTEXPENSEQ_X</stp>
        <stp>1</stp>
        <stp>0</stp>
        <stp>0</stp>
        <stp>0</stp>
        <stp>0</stp>
        <tr r="C13" s="1"/>
      </tp>
      <tp>
        <v>0</v>
        <stp/>
        <stp>136</stp>
        <stp>MSFT</stp>
        <stp>INTERESTEXPENSEQ_X</stp>
        <stp>3</stp>
        <stp>0</stp>
        <stp>0</stp>
        <stp>0</stp>
        <stp>0</stp>
        <tr r="E13" s="1"/>
      </tp>
      <tp>
        <v>0</v>
        <stp/>
        <stp>136</stp>
        <stp>MSFT</stp>
        <stp>INTERESTEXPENSEQ_X</stp>
        <stp>2</stp>
        <stp>0</stp>
        <stp>0</stp>
        <stp>0</stp>
        <stp>0</stp>
        <tr r="D13" s="1"/>
      </tp>
      <tp>
        <v>0</v>
        <stp/>
        <stp>136</stp>
        <stp>MSFT</stp>
        <stp>INTERESTEXPENSEQ_X</stp>
        <stp>5</stp>
        <stp>0</stp>
        <stp>0</stp>
        <stp>0</stp>
        <stp>0</stp>
        <tr r="G13" s="1"/>
      </tp>
      <tp>
        <v>0</v>
        <stp/>
        <stp>136</stp>
        <stp>MSFT</stp>
        <stp>INTERESTEXPENSEQ_X</stp>
        <stp>4</stp>
        <stp>0</stp>
        <stp>0</stp>
        <stp>0</stp>
        <stp>0</stp>
        <tr r="F13" s="1"/>
      </tp>
      <tp>
        <v>0</v>
        <stp/>
        <stp>136</stp>
        <stp>MSFT</stp>
        <stp>INTERESTEXPENSEQ_X</stp>
        <stp>7</stp>
        <stp>0</stp>
        <stp>0</stp>
        <stp>0</stp>
        <stp>0</stp>
        <tr r="I13" s="1"/>
      </tp>
      <tp>
        <v>0</v>
        <stp/>
        <stp>136</stp>
        <stp>MSFT</stp>
        <stp>INTERESTEXPENSEQ_X</stp>
        <stp>6</stp>
        <stp>0</stp>
        <stp>0</stp>
        <stp>0</stp>
        <stp>0</stp>
        <tr r="H13" s="1"/>
      </tp>
      <tp>
        <v>2.1589999999999998</v>
        <stp/>
        <stp>136</stp>
        <stp>MSFT</stp>
        <stp>EPSGROWTHESTSTDDEV</stp>
        <stp>0</stp>
        <stp>0</stp>
        <stp>0</stp>
        <stp>0</stp>
        <stp>0</stp>
        <tr r="H9" s="8"/>
      </tp>
      <tp t="s">
        <v>Shares Per ADR</v>
        <stp/>
        <stp>137</stp>
        <stp/>
        <stp>SHARESPERADR</stp>
        <stp>0</stp>
        <stp>0</stp>
        <stp>0</stp>
        <stp>0</stp>
        <stp>0</stp>
        <tr r="B48" s="5"/>
      </tp>
      <tp t="s">
        <v>Industry Inventory turnover</v>
        <stp/>
        <stp>137</stp>
        <stp/>
        <stp>INDUSTRYINVENTORYTURNOVERY_X</stp>
        <stp>0</stp>
        <stp>0</stp>
        <stp>0</stp>
        <stp>0</stp>
        <stp>0</stp>
        <tr r="B53" s="7"/>
      </tp>
      <tp t="s">
        <v>Industry Payout ratio</v>
        <stp/>
        <stp>137</stp>
        <stp/>
        <stp>INDUSTRYPAYOUTRATIOY_X</stp>
        <stp>0</stp>
        <stp>0</stp>
        <stp>0</stp>
        <stp>0</stp>
        <stp>0</stp>
        <tr r="B43" s="7"/>
      </tp>
      <tp>
        <v>9269</v>
        <stp/>
        <stp>136</stp>
        <stp>MSFT</stp>
        <stp>COSTOFGOODSSOLDQ_X</stp>
        <stp>5</stp>
        <stp>0</stp>
        <stp>0</stp>
        <stp>0</stp>
        <stp>0</stp>
        <tr r="G8" s="1"/>
      </tp>
      <tp>
        <v>9742</v>
        <stp/>
        <stp>136</stp>
        <stp>MSFT</stp>
        <stp>COSTOFGOODSSOLDQ_X</stp>
        <stp>4</stp>
        <stp>0</stp>
        <stp>0</stp>
        <stp>0</stp>
        <stp>0</stp>
        <tr r="F8" s="1"/>
      </tp>
      <tp>
        <v>8278</v>
        <stp/>
        <stp>136</stp>
        <stp>MSFT</stp>
        <stp>COSTOFGOODSSOLDQ_X</stp>
        <stp>7</stp>
        <stp>0</stp>
        <stp>0</stp>
        <stp>0</stp>
        <stp>0</stp>
        <tr r="I8" s="1"/>
      </tp>
      <tp>
        <v>11064</v>
        <stp/>
        <stp>136</stp>
        <stp>MSFT</stp>
        <stp>COSTOFGOODSSOLDQ_X</stp>
        <stp>6</stp>
        <stp>0</stp>
        <stp>0</stp>
        <stp>0</stp>
        <stp>0</stp>
        <tr r="H8" s="1"/>
      </tp>
      <tp>
        <v>10170</v>
        <stp/>
        <stp>136</stp>
        <stp>MSFT</stp>
        <stp>COSTOFGOODSSOLDQ_X</stp>
        <stp>1</stp>
        <stp>0</stp>
        <stp>0</stp>
        <stp>0</stp>
        <stp>0</stp>
        <tr r="C8" s="1"/>
      </tp>
      <tp>
        <v>9905</v>
        <stp/>
        <stp>136</stp>
        <stp>MSFT</stp>
        <stp>COSTOFGOODSSOLDQ_X</stp>
        <stp>3</stp>
        <stp>0</stp>
        <stp>0</stp>
        <stp>0</stp>
        <stp>0</stp>
        <tr r="E8" s="1"/>
      </tp>
      <tp>
        <v>12423</v>
        <stp/>
        <stp>136</stp>
        <stp>MSFT</stp>
        <stp>COSTOFGOODSSOLDQ_X</stp>
        <stp>2</stp>
        <stp>0</stp>
        <stp>0</stp>
        <stp>0</stp>
        <stp>0</stp>
        <tr r="D8" s="1"/>
      </tp>
      <tp>
        <v>8456</v>
        <stp/>
        <stp>136</stp>
        <stp>MSFT</stp>
        <stp>COSTOFGOODSSOLDQ_X</stp>
        <stp>8</stp>
        <stp>0</stp>
        <stp>0</stp>
        <stp>0</stp>
        <stp>0</stp>
        <tr r="J8" s="1"/>
      </tp>
      <tp>
        <v>6.8</v>
        <stp/>
        <stp>136</stp>
        <stp>BEAT</stp>
        <stp>SHORTTERMDEBTQ_X</stp>
        <stp>4</stp>
        <stp>0</stp>
        <stp>0</stp>
        <stp>0</stp>
        <stp>0</stp>
        <tr r="I34" s="13"/>
      </tp>
      <tp>
        <v>8.6</v>
        <stp/>
        <stp>136</stp>
        <stp>BEAT</stp>
        <stp>SHORTTERMDEBTQ_X</stp>
        <stp>1</stp>
        <stp>0</stp>
        <stp>0</stp>
        <stp>0</stp>
        <stp>0</stp>
        <tr r="F34" s="13"/>
      </tp>
      <tp>
        <v>6.8</v>
        <stp/>
        <stp>136</stp>
        <stp>BEAT</stp>
        <stp>SHORTTERMDEBTQ_X</stp>
        <stp>2</stp>
        <stp>0</stp>
        <stp>0</stp>
        <stp>0</stp>
        <stp>0</stp>
        <tr r="G34" s="13"/>
      </tp>
      <tp>
        <v>6.6</v>
        <stp/>
        <stp>136</stp>
        <stp>BEAT</stp>
        <stp>SHORTTERMDEBTQ_X</stp>
        <stp>3</stp>
        <stp>0</stp>
        <stp>0</stp>
        <stp>0</stp>
        <stp>0</stp>
        <tr r="H34" s="13"/>
      </tp>
      <tp>
        <v>3.1</v>
        <stp/>
        <stp>136</stp>
        <stp>BOOM</stp>
        <stp>SHORTTERMDEBTQ_X</stp>
        <stp>2</stp>
        <stp>0</stp>
        <stp>0</stp>
        <stp>0</stp>
        <stp>0</stp>
        <tr r="D70" s="11"/>
        <tr r="D70" s="12"/>
      </tp>
      <tp t="s">
        <v>NA</v>
        <stp/>
        <stp>136</stp>
        <stp>BOOM</stp>
        <stp>SHORTTERMDEBTQ_X</stp>
        <stp>3</stp>
        <stp>0</stp>
        <stp>0</stp>
        <stp>0</stp>
        <stp>0</stp>
        <tr r="E70" s="11"/>
        <tr r="E70" s="12"/>
      </tp>
      <tp>
        <v>3.1</v>
        <stp/>
        <stp>136</stp>
        <stp>BOOM</stp>
        <stp>SHORTTERMDEBTQ_X</stp>
        <stp>1</stp>
        <stp>0</stp>
        <stp>0</stp>
        <stp>0</stp>
        <stp>0</stp>
        <tr r="C70" s="11"/>
        <tr r="C70" s="12"/>
      </tp>
      <tp t="s">
        <v>NA</v>
        <stp/>
        <stp>136</stp>
        <stp>BOOM</stp>
        <stp>SHORTTERMDEBTQ_X</stp>
        <stp>6</stp>
        <stp>0</stp>
        <stp>0</stp>
        <stp>0</stp>
        <stp>0</stp>
        <tr r="H70" s="11"/>
        <tr r="H70" s="12"/>
      </tp>
      <tp t="s">
        <v>NA</v>
        <stp/>
        <stp>136</stp>
        <stp>BOOM</stp>
        <stp>SHORTTERMDEBTQ_X</stp>
        <stp>7</stp>
        <stp>0</stp>
        <stp>0</stp>
        <stp>0</stp>
        <stp>0</stp>
        <tr r="I70" s="12"/>
        <tr r="I70" s="11"/>
      </tp>
      <tp t="s">
        <v>NA</v>
        <stp/>
        <stp>136</stp>
        <stp>BOOM</stp>
        <stp>SHORTTERMDEBTQ_X</stp>
        <stp>4</stp>
        <stp>0</stp>
        <stp>0</stp>
        <stp>0</stp>
        <stp>0</stp>
        <tr r="F70" s="11"/>
        <tr r="F70" s="12"/>
      </tp>
      <tp t="s">
        <v>NA</v>
        <stp/>
        <stp>136</stp>
        <stp>BOOM</stp>
        <stp>SHORTTERMDEBTQ_X</stp>
        <stp>5</stp>
        <stp>0</stp>
        <stp>0</stp>
        <stp>0</stp>
        <stp>0</stp>
        <tr r="G70" s="11"/>
        <tr r="G70" s="12"/>
      </tp>
      <tp t="s">
        <v>NA</v>
        <stp/>
        <stp>136</stp>
        <stp>BOOM</stp>
        <stp>SHORTTERMDEBTQ_X</stp>
        <stp>8</stp>
        <stp>0</stp>
        <stp>0</stp>
        <stp>0</stp>
        <stp>0</stp>
        <tr r="J70" s="12"/>
        <tr r="J70" s="11"/>
      </tp>
      <tp>
        <v>81</v>
        <stp/>
        <stp>136</stp>
        <stp>MSFT</stp>
        <stp>PCNTRANKPRICEPERSALESAVE5Y</stp>
        <stp>0</stp>
        <stp>0</stp>
        <stp>0</stp>
        <stp>0</stp>
        <stp>0</stp>
        <tr r="F32" s="6"/>
      </tp>
      <tp>
        <v>81</v>
        <stp/>
        <stp>136</stp>
        <stp>MSFT</stp>
        <stp>PCNTRANKPRICEPERSALESAVE7Y</stp>
        <stp>0</stp>
        <stp>0</stp>
        <stp>0</stp>
        <stp>0</stp>
        <stp>0</stp>
        <tr r="G32" s="6"/>
      </tp>
      <tp>
        <v>83</v>
        <stp/>
        <stp>136</stp>
        <stp>MSFT</stp>
        <stp>PCNTRANKPRICEPERSALESAVE3Y</stp>
        <stp>0</stp>
        <stp>0</stp>
        <stp>0</stp>
        <stp>0</stp>
        <stp>0</stp>
        <tr r="E32" s="6"/>
      </tp>
      <tp>
        <v>34</v>
        <stp/>
        <stp>136</stp>
        <stp>MSFT</stp>
        <stp>PRICEPERFCFPSAVE3Y</stp>
        <stp>0</stp>
        <stp>0</stp>
        <stp>0</stp>
        <stp>0</stp>
        <stp>0</stp>
        <tr r="E10" s="6"/>
      </tp>
      <tp>
        <v>25.6</v>
        <stp/>
        <stp>136</stp>
        <stp>MSFT</stp>
        <stp>PRICEPERFCFPSAVE7Y</stp>
        <stp>0</stp>
        <stp>0</stp>
        <stp>0</stp>
        <stp>0</stp>
        <stp>0</stp>
        <tr r="G10" s="6"/>
      </tp>
      <tp>
        <v>30.4</v>
        <stp/>
        <stp>136</stp>
        <stp>MSFT</stp>
        <stp>PRICEPERFCFPSAVE5Y</stp>
        <stp>0</stp>
        <stp>0</stp>
        <stp>0</stp>
        <stp>0</stp>
        <stp>0</stp>
        <tr r="F10" s="6"/>
      </tp>
      <tp t="s">
        <v>NA</v>
        <stp/>
        <stp>136</stp>
        <stp>BOOM</stp>
        <stp>UNUSUALINCOME12M</stp>
        <stp>0</stp>
        <stp>0</stp>
        <stp>0</stp>
        <stp>0</stp>
        <stp>0</stp>
        <tr r="L12" s="11"/>
        <tr r="L12" s="12"/>
      </tp>
      <tp>
        <v>13.6</v>
        <stp/>
        <stp>136</stp>
        <stp>AAPL</stp>
        <stp>PRICEPERGROWTHFLOW</stp>
        <stp>0</stp>
        <stp>0</stp>
        <stp>0</stp>
        <stp>0</stp>
        <stp>0</stp>
        <tr r="C88" s="5"/>
      </tp>
      <tp>
        <v>0.6</v>
        <stp/>
        <stp>136</stp>
        <stp>MSFT</stp>
        <stp>SECTORNETMARGIN12M</stp>
        <stp>0</stp>
        <stp>0</stp>
        <stp>0</stp>
        <stp>0</stp>
        <stp>0</stp>
        <tr r="C62" s="7"/>
      </tp>
      <tp>
        <v>1.56</v>
        <stp/>
        <stp>136</stp>
        <stp>AAPL</stp>
        <stp>RELATIVESTRENGTH4W</stp>
        <stp>0</stp>
        <stp>0</stp>
        <stp>0</stp>
        <stp>0</stp>
        <stp>0</stp>
        <tr r="C57" s="5"/>
      </tp>
      <tp>
        <v>462.1</v>
        <stp/>
        <stp>136</stp>
        <stp>BOOM</stp>
        <stp>EPSCONTGROWTH12M</stp>
        <stp>0</stp>
        <stp>0</stp>
        <stp>0</stp>
        <stp>0</stp>
        <stp>0</stp>
        <tr r="G12" s="3"/>
      </tp>
      <tp t="s">
        <v>Yield High-Avg 7 Year</v>
        <stp/>
        <stp>137</stp>
        <stp/>
        <stp>YIELDHIGHAVE7Y</stp>
        <stp>0</stp>
        <stp>0</stp>
        <stp>0</stp>
        <stp>0</stp>
        <stp>0</stp>
        <tr r="B98" s="5"/>
      </tp>
      <tp t="s">
        <v>PE to Div Adj EPS Est Growth</v>
        <stp/>
        <stp>137</stp>
        <stp/>
        <stp>PETODIVADJEPSESTGROWTH</stp>
        <stp>0</stp>
        <stp>0</stp>
        <stp>0</stp>
        <stp>0</stp>
        <stp>0</stp>
        <tr r="B89" s="5"/>
      </tp>
      <tp>
        <v>6308</v>
        <stp/>
        <stp>136</stp>
        <stp>AAPL</stp>
        <stp>SECTORVOLUMEAVEMONTHLY3M</stp>
        <stp>0</stp>
        <stp>0</stp>
        <stp>0</stp>
        <stp>0</stp>
        <stp>0</stp>
        <tr r="E26" s="5"/>
      </tp>
      <tp t="s">
        <v>Depreciation &amp; Amortization (CF)</v>
        <stp/>
        <stp>137</stp>
        <stp/>
        <stp>DEPRECIATIONAMORTCFQ_X</stp>
        <stp>0</stp>
        <stp>0</stp>
        <stp>0</stp>
        <stp>0</stp>
        <stp>0</stp>
        <tr r="B43" s="12"/>
        <tr r="B43" s="11"/>
        <tr r="B45" s="1"/>
      </tp>
      <tp>
        <v>4255</v>
        <stp/>
        <stp>136</stp>
        <stp>AAPL</stp>
        <stp>INSTITUTIONSHARESPURCHASED</stp>
        <stp>0</stp>
        <stp>0</stp>
        <stp>0</stp>
        <stp>0</stp>
        <stp>0</stp>
        <tr r="C30" s="5"/>
      </tp>
      <tp t="s">
        <v>Receivables Turnover</v>
        <stp/>
        <stp>137</stp>
        <stp/>
        <stp>RECEIVABLESTURNOVERY_X</stp>
        <stp>0</stp>
        <stp>0</stp>
        <stp>0</stp>
        <stp>0</stp>
        <stp>0</stp>
        <tr r="B25" s="7"/>
      </tp>
      <tp>
        <v>1.9</v>
        <stp/>
        <stp>136</stp>
        <stp>MSFT</stp>
        <stp>SECTORPETOEPSESTGROWTH5Y</stp>
        <stp>0</stp>
        <stp>0</stp>
        <stp>0</stp>
        <stp>0</stp>
        <stp>0</stp>
        <tr r="E40" s="6"/>
      </tp>
      <tp>
        <v>109.57</v>
        <stp/>
        <stp>136</stp>
        <stp>MSFT</stp>
        <stp>VALUATIONPEAANDEST</stp>
        <stp>0</stp>
        <stp>0</stp>
        <stp>0</stp>
        <stp>0</stp>
        <stp>0</stp>
        <tr r="C17" s="9"/>
      </tp>
      <tp t="s">
        <v>Sector Gross margin</v>
        <stp/>
        <stp>137</stp>
        <stp/>
        <stp>SECTORGROSSMARGINY_X</stp>
        <stp>0</stp>
        <stp>0</stp>
        <stp>0</stp>
        <stp>0</stp>
        <stp>0</stp>
        <tr r="B60" s="7"/>
      </tp>
      <tp>
        <v>0</v>
        <stp/>
        <stp>136</stp>
        <stp>BEAT</stp>
        <stp>DIVIDENDSPAIDQ_X</stp>
        <stp>1</stp>
        <stp>0</stp>
        <stp>0</stp>
        <stp>0</stp>
        <stp>0</stp>
        <tr r="F20" s="13"/>
      </tp>
      <tp>
        <v>0</v>
        <stp/>
        <stp>136</stp>
        <stp>BEAT</stp>
        <stp>DIVIDENDSPAIDQ_X</stp>
        <stp>2</stp>
        <stp>0</stp>
        <stp>0</stp>
        <stp>0</stp>
        <stp>0</stp>
        <tr r="G20" s="13"/>
      </tp>
      <tp>
        <v>0</v>
        <stp/>
        <stp>136</stp>
        <stp>BEAT</stp>
        <stp>DIVIDENDSPAIDQ_X</stp>
        <stp>3</stp>
        <stp>0</stp>
        <stp>0</stp>
        <stp>0</stp>
        <stp>0</stp>
        <tr r="H20" s="13"/>
      </tp>
      <tp>
        <v>0</v>
        <stp/>
        <stp>136</stp>
        <stp>BEAT</stp>
        <stp>DIVIDENDSPAIDQ_X</stp>
        <stp>4</stp>
        <stp>0</stp>
        <stp>0</stp>
        <stp>0</stp>
        <stp>0</stp>
        <tr r="I20" s="13"/>
      </tp>
      <tp>
        <v>13.8</v>
        <stp/>
        <stp>136</stp>
        <stp>BEAT</stp>
        <stp>ACCOUNTSPAYABLEQ_X</stp>
        <stp>4</stp>
        <stp>0</stp>
        <stp>0</stp>
        <stp>0</stp>
        <stp>0</stp>
        <tr r="I33" s="13"/>
      </tp>
      <tp>
        <v>15.5</v>
        <stp/>
        <stp>136</stp>
        <stp>BEAT</stp>
        <stp>ACCOUNTSPAYABLEQ_X</stp>
        <stp>3</stp>
        <stp>0</stp>
        <stp>0</stp>
        <stp>0</stp>
        <stp>0</stp>
        <tr r="H33" s="13"/>
      </tp>
      <tp>
        <v>18.2</v>
        <stp/>
        <stp>136</stp>
        <stp>BEAT</stp>
        <stp>ACCOUNTSPAYABLEQ_X</stp>
        <stp>2</stp>
        <stp>0</stp>
        <stp>0</stp>
        <stp>0</stp>
        <stp>0</stp>
        <tr r="G33" s="13"/>
      </tp>
      <tp>
        <v>26.4</v>
        <stp/>
        <stp>136</stp>
        <stp>BEAT</stp>
        <stp>ACCOUNTSPAYABLEQ_X</stp>
        <stp>1</stp>
        <stp>0</stp>
        <stp>0</stp>
        <stp>0</stp>
        <stp>0</stp>
        <tr r="F33" s="13"/>
      </tp>
      <tp t="s">
        <v>Price/CFPS</v>
        <stp/>
        <stp>137</stp>
        <stp/>
        <stp>PRICEPERCFPS</stp>
        <stp>0</stp>
        <stp>0</stp>
        <stp>0</stp>
        <stp>0</stp>
        <stp>0</stp>
        <tr r="B9" s="6"/>
      </tp>
      <tp t="s">
        <v>Adjustments To Income</v>
        <stp/>
        <stp>137</stp>
        <stp/>
        <stp>ADJTOINCOMEQ_X</stp>
        <stp>0</stp>
        <stp>0</stp>
        <stp>0</stp>
        <stp>0</stp>
        <stp>0</stp>
        <tr r="B24" s="11"/>
        <tr r="B24" s="12"/>
        <tr r="B26" s="1"/>
      </tp>
      <tp t="s">
        <v>Industry Total assets</v>
        <stp/>
        <stp>137</stp>
        <stp/>
        <stp>INDUSTRYTOTALASSETSY_X</stp>
        <stp>0</stp>
        <stp>0</stp>
        <stp>0</stp>
        <stp>0</stp>
        <stp>0</stp>
        <tr r="B36" s="7"/>
      </tp>
      <tp>
        <v>0</v>
        <stp/>
        <stp>136</stp>
        <stp>BEAT</stp>
        <stp>INTERESTEXPENSEQ_X</stp>
        <stp>4</stp>
        <stp>0</stp>
        <stp>0</stp>
        <stp>0</stp>
        <stp>0</stp>
        <tr r="I16" s="13"/>
      </tp>
      <tp>
        <v>0</v>
        <stp/>
        <stp>136</stp>
        <stp>BEAT</stp>
        <stp>INTERESTEXPENSEQ_X</stp>
        <stp>2</stp>
        <stp>0</stp>
        <stp>0</stp>
        <stp>0</stp>
        <stp>0</stp>
        <tr r="G16" s="13"/>
      </tp>
      <tp>
        <v>0</v>
        <stp/>
        <stp>136</stp>
        <stp>BEAT</stp>
        <stp>INTERESTEXPENSEQ_X</stp>
        <stp>3</stp>
        <stp>0</stp>
        <stp>0</stp>
        <stp>0</stp>
        <stp>0</stp>
        <tr r="H16" s="13"/>
      </tp>
      <tp>
        <v>0</v>
        <stp/>
        <stp>136</stp>
        <stp>BEAT</stp>
        <stp>INTERESTEXPENSEQ_X</stp>
        <stp>1</stp>
        <stp>0</stp>
        <stp>0</stp>
        <stp>0</stp>
        <stp>0</stp>
        <tr r="F16" s="13"/>
      </tp>
      <tp>
        <v>1.0169999999999999</v>
        <stp/>
        <stp>136</stp>
        <stp>BOOM</stp>
        <stp>EPSCONTINUINGQ_X</stp>
        <stp>1</stp>
        <stp>0</stp>
        <stp>0</stp>
        <stp>0</stp>
        <stp>0</stp>
        <tr r="C30" s="11"/>
        <tr r="C30" s="12"/>
      </tp>
      <tp>
        <v>0.32900000000000001</v>
        <stp/>
        <stp>136</stp>
        <stp>BOOM</stp>
        <stp>EPSCONTINUINGQ_X</stp>
        <stp>3</stp>
        <stp>0</stp>
        <stp>0</stp>
        <stp>0</stp>
        <stp>0</stp>
        <tr r="E30" s="12"/>
        <tr r="E30" s="11"/>
      </tp>
      <tp>
        <v>1.0840000000000001</v>
        <stp/>
        <stp>136</stp>
        <stp>BOOM</stp>
        <stp>EPSCONTINUINGQ_X</stp>
        <stp>2</stp>
        <stp>0</stp>
        <stp>0</stp>
        <stp>0</stp>
        <stp>0</stp>
        <tr r="D30" s="11"/>
        <tr r="D30" s="12"/>
      </tp>
      <tp>
        <v>0.245</v>
        <stp/>
        <stp>136</stp>
        <stp>BOOM</stp>
        <stp>EPSCONTINUINGQ_X</stp>
        <stp>5</stp>
        <stp>0</stp>
        <stp>0</stp>
        <stp>0</stp>
        <stp>0</stp>
        <tr r="G30" s="12"/>
        <tr r="G30" s="11"/>
      </tp>
      <tp>
        <v>0.67300000000000004</v>
        <stp/>
        <stp>136</stp>
        <stp>BOOM</stp>
        <stp>EPSCONTINUINGQ_X</stp>
        <stp>4</stp>
        <stp>0</stp>
        <stp>0</stp>
        <stp>0</stp>
        <stp>0</stp>
        <tr r="F30" s="11"/>
        <tr r="F30" s="12"/>
      </tp>
      <tp>
        <v>-0.97899999999999998</v>
        <stp/>
        <stp>136</stp>
        <stp>BOOM</stp>
        <stp>EPSCONTINUINGQ_X</stp>
        <stp>7</stp>
        <stp>0</stp>
        <stp>0</stp>
        <stp>0</stp>
        <stp>0</stp>
        <tr r="I30" s="12"/>
        <tr r="I30" s="11"/>
      </tp>
      <tp>
        <v>-7.0999999999999994E-2</v>
        <stp/>
        <stp>136</stp>
        <stp>BOOM</stp>
        <stp>EPSCONTINUINGQ_X</stp>
        <stp>6</stp>
        <stp>0</stp>
        <stp>0</stp>
        <stp>0</stp>
        <stp>0</stp>
        <tr r="H30" s="11"/>
        <tr r="H30" s="12"/>
      </tp>
      <tp>
        <v>-0.19700000000000001</v>
        <stp/>
        <stp>136</stp>
        <stp>BOOM</stp>
        <stp>EPSCONTINUINGQ_X</stp>
        <stp>8</stp>
        <stp>0</stp>
        <stp>0</stp>
        <stp>0</stp>
        <stp>0</stp>
        <tr r="J30" s="12"/>
        <tr r="J30" s="11"/>
      </tp>
      <tp t="s">
        <v>Valuation-Avg P/FCF</v>
        <stp/>
        <stp>137</stp>
        <stp/>
        <stp>VALUATIONAVEPRICEFCF</stp>
        <stp>0</stp>
        <stp>0</stp>
        <stp>0</stp>
        <stp>0</stp>
        <stp>0</stp>
        <tr r="B14" s="9"/>
      </tp>
      <tp>
        <v>44.5</v>
        <stp/>
        <stp>136</stp>
        <stp>MSFT</stp>
        <stp>INDUSTRYPE</stp>
        <stp>0</stp>
        <stp>0</stp>
        <stp>0</stp>
        <stp>0</stp>
        <stp>0</stp>
        <tr r="C14" s="6"/>
      </tp>
      <tp>
        <v>59</v>
        <stp/>
        <stp>136</stp>
        <stp>MSFT</stp>
        <stp>PCNTRANKPELOWAVE7Y</stp>
        <stp>0</stp>
        <stp>0</stp>
        <stp>0</stp>
        <stp>0</stp>
        <stp>0</stp>
        <tr r="F50" s="6"/>
      </tp>
      <tp>
        <v>66</v>
        <stp/>
        <stp>136</stp>
        <stp>MSFT</stp>
        <stp>PCNTRANKPELOWAVE5Y</stp>
        <stp>0</stp>
        <stp>0</stp>
        <stp>0</stp>
        <stp>0</stp>
        <stp>0</stp>
        <tr r="F49" s="6"/>
      </tp>
      <tp>
        <v>67</v>
        <stp/>
        <stp>136</stp>
        <stp>MSFT</stp>
        <stp>PCNTRANKPELOWAVE3Y</stp>
        <stp>0</stp>
        <stp>0</stp>
        <stp>0</stp>
        <stp>0</stp>
        <stp>0</stp>
        <tr r="F48" s="6"/>
      </tp>
      <tp>
        <v>5.74</v>
        <stp/>
        <stp>136</stp>
        <stp>AAPL</stp>
        <stp>EARNINGSYIELD12M</stp>
        <stp>0</stp>
        <stp>0</stp>
        <stp>0</stp>
        <stp>0</stp>
        <stp>0</stp>
        <tr r="C90" s="5"/>
      </tp>
      <tp>
        <v>122211</v>
        <stp/>
        <stp>136</stp>
        <stp>MSFT</stp>
        <stp>SALES12M</stp>
        <stp>0</stp>
        <stp>0</stp>
        <stp>0</stp>
        <stp>0</stp>
        <stp>0</stp>
        <tr r="L7" s="1"/>
      </tp>
      <tp t="s">
        <v>Gross Margin 12 Month</v>
        <stp/>
        <stp>137</stp>
        <stp/>
        <stp>GROSSMARGIN12M</stp>
        <stp>0</stp>
        <stp>0</stp>
        <stp>0</stp>
        <stp>0</stp>
        <stp>0</stp>
        <tr r="D61" s="13"/>
      </tp>
      <tp>
        <v>132.19999999999999</v>
        <stp/>
        <stp>136</stp>
        <stp>BOOM</stp>
        <stp>CURRENTASSETSQ_X</stp>
        <stp>2</stp>
        <stp>0</stp>
        <stp>0</stp>
        <stp>0</stp>
        <stp>0</stp>
        <tr r="D60" s="11"/>
        <tr r="D60" s="12"/>
      </tp>
      <tp>
        <v>139.9</v>
        <stp/>
        <stp>136</stp>
        <stp>BOOM</stp>
        <stp>CURRENTASSETSQ_X</stp>
        <stp>3</stp>
        <stp>0</stp>
        <stp>0</stp>
        <stp>0</stp>
        <stp>0</stp>
        <tr r="E60" s="12"/>
        <tr r="E60" s="11"/>
      </tp>
      <tp>
        <v>146</v>
        <stp/>
        <stp>136</stp>
        <stp>BOOM</stp>
        <stp>CURRENTASSETSQ_X</stp>
        <stp>1</stp>
        <stp>0</stp>
        <stp>0</stp>
        <stp>0</stp>
        <stp>0</stp>
        <tr r="C60" s="12"/>
        <tr r="C60" s="11"/>
      </tp>
      <tp>
        <v>100</v>
        <stp/>
        <stp>136</stp>
        <stp>BOOM</stp>
        <stp>CURRENTASSETSQ_X</stp>
        <stp>6</stp>
        <stp>0</stp>
        <stp>0</stp>
        <stp>0</stp>
        <stp>0</stp>
        <tr r="H60" s="12"/>
        <tr r="H60" s="11"/>
      </tp>
      <tp>
        <v>91.1</v>
        <stp/>
        <stp>136</stp>
        <stp>BOOM</stp>
        <stp>CURRENTASSETSQ_X</stp>
        <stp>7</stp>
        <stp>0</stp>
        <stp>0</stp>
        <stp>0</stp>
        <stp>0</stp>
        <tr r="I60" s="11"/>
        <tr r="I60" s="12"/>
      </tp>
      <tp>
        <v>129.6</v>
        <stp/>
        <stp>136</stp>
        <stp>BOOM</stp>
        <stp>CURRENTASSETSQ_X</stp>
        <stp>4</stp>
        <stp>0</stp>
        <stp>0</stp>
        <stp>0</stp>
        <stp>0</stp>
        <tr r="F60" s="11"/>
        <tr r="F60" s="12"/>
      </tp>
      <tp>
        <v>125.2</v>
        <stp/>
        <stp>136</stp>
        <stp>BOOM</stp>
        <stp>CURRENTASSETSQ_X</stp>
        <stp>5</stp>
        <stp>0</stp>
        <stp>0</stp>
        <stp>0</stp>
        <stp>0</stp>
        <tr r="G60" s="11"/>
        <tr r="G60" s="12"/>
      </tp>
      <tp>
        <v>83.8</v>
        <stp/>
        <stp>136</stp>
        <stp>BOOM</stp>
        <stp>CURRENTASSETSQ_X</stp>
        <stp>8</stp>
        <stp>0</stp>
        <stp>0</stp>
        <stp>0</stp>
        <stp>0</stp>
        <tr r="J60" s="12"/>
        <tr r="J60" s="11"/>
      </tp>
      <tp t="s">
        <v>DCF</v>
        <stp/>
        <stp>137</stp>
        <stp/>
        <stp>DCFQ_X</stp>
        <stp>0</stp>
        <stp>0</stp>
        <stp>0</stp>
        <stp>0</stp>
        <stp>0</stp>
        <tr r="B50" s="11"/>
        <tr r="B52" s="1"/>
        <tr r="B50" s="12"/>
      </tp>
      <tp>
        <v>105.2</v>
        <stp/>
        <stp>136</stp>
        <stp>BEAT</stp>
        <stp>CURRENTASSETSQ_X</stp>
        <stp>4</stp>
        <stp>0</stp>
        <stp>0</stp>
        <stp>0</stp>
        <stp>0</stp>
        <tr r="I32" s="13"/>
      </tp>
      <tp>
        <v>121.4</v>
        <stp/>
        <stp>136</stp>
        <stp>BEAT</stp>
        <stp>CURRENTASSETSQ_X</stp>
        <stp>1</stp>
        <stp>0</stp>
        <stp>0</stp>
        <stp>0</stp>
        <stp>0</stp>
        <tr r="F32" s="13"/>
      </tp>
      <tp>
        <v>146.69999999999999</v>
        <stp/>
        <stp>136</stp>
        <stp>BEAT</stp>
        <stp>CURRENTASSETSQ_X</stp>
        <stp>2</stp>
        <stp>0</stp>
        <stp>0</stp>
        <stp>0</stp>
        <stp>0</stp>
        <tr r="G32" s="13"/>
      </tp>
      <tp>
        <v>134</v>
        <stp/>
        <stp>136</stp>
        <stp>BEAT</stp>
        <stp>CURRENTASSETSQ_X</stp>
        <stp>3</stp>
        <stp>0</stp>
        <stp>0</stp>
        <stp>0</stp>
        <stp>0</stp>
        <tr r="H32" s="13"/>
      </tp>
      <tp t="s">
        <v>% Rank-Receivables Turnoverd</v>
        <stp/>
        <stp>137</stp>
        <stp/>
        <stp>PCNTRANKRECEIVABLESTURNOVERY_X</stp>
        <stp>0</stp>
        <stp>0</stp>
        <stp>0</stp>
        <stp>0</stp>
        <stp>0</stp>
        <tr r="B106" s="7"/>
      </tp>
      <tp>
        <v>142</v>
        <stp/>
        <stp>136</stp>
        <stp>AAPL</stp>
        <stp>52WEEKLOW</stp>
        <stp>0</stp>
        <stp>0</stp>
        <stp>0</stp>
        <stp>0</stp>
        <stp>0</stp>
        <tr r="C24" s="5"/>
      </tp>
      <tp>
        <v>227.8</v>
        <stp/>
        <stp>136</stp>
        <stp>MSFT</stp>
        <stp>INDUSTRYSALESY_X</stp>
        <stp>1</stp>
        <stp>0</stp>
        <stp>0</stp>
        <stp>0</stp>
        <stp>0</stp>
        <tr r="D32" s="7"/>
      </tp>
      <tp>
        <v>124.4</v>
        <stp/>
        <stp>136</stp>
        <stp>MSFT</stp>
        <stp>INDUSTRYSALESY_X</stp>
        <stp>2</stp>
        <stp>0</stp>
        <stp>0</stp>
        <stp>0</stp>
        <stp>0</stp>
        <tr r="E32" s="7"/>
      </tp>
      <tp>
        <v>101.3</v>
        <stp/>
        <stp>136</stp>
        <stp>MSFT</stp>
        <stp>INDUSTRYSALESY_X</stp>
        <stp>3</stp>
        <stp>0</stp>
        <stp>0</stp>
        <stp>0</stp>
        <stp>0</stp>
        <tr r="F32" s="7"/>
      </tp>
      <tp>
        <v>83.6</v>
        <stp/>
        <stp>136</stp>
        <stp>MSFT</stp>
        <stp>INDUSTRYSALESY_X</stp>
        <stp>4</stp>
        <stp>0</stp>
        <stp>0</stp>
        <stp>0</stp>
        <stp>0</stp>
        <tr r="G32" s="7"/>
      </tp>
      <tp>
        <v>62.6</v>
        <stp/>
        <stp>136</stp>
        <stp>MSFT</stp>
        <stp>INDUSTRYSALESY_X</stp>
        <stp>5</stp>
        <stp>0</stp>
        <stp>0</stp>
        <stp>0</stp>
        <stp>0</stp>
        <tr r="H32" s="7"/>
      </tp>
      <tp>
        <v>58.9</v>
        <stp/>
        <stp>136</stp>
        <stp>MSFT</stp>
        <stp>INDUSTRYSALESY_X</stp>
        <stp>6</stp>
        <stp>0</stp>
        <stp>0</stp>
        <stp>0</stp>
        <stp>0</stp>
        <tr r="I32" s="7"/>
      </tp>
      <tp>
        <v>53.4</v>
        <stp/>
        <stp>136</stp>
        <stp>MSFT</stp>
        <stp>INDUSTRYSALESY_X</stp>
        <stp>7</stp>
        <stp>0</stp>
        <stp>0</stp>
        <stp>0</stp>
        <stp>0</stp>
        <tr r="J32" s="7"/>
      </tp>
      <tp>
        <v>2</v>
        <stp/>
        <stp>136</stp>
        <stp>MSFT</stp>
        <stp>SECTOROPERATINGMARGIN12M</stp>
        <stp>0</stp>
        <stp>0</stp>
        <stp>0</stp>
        <stp>0</stp>
        <stp>0</stp>
        <tr r="C61" s="7"/>
      </tp>
      <tp>
        <v>19.899999999999999</v>
        <stp/>
        <stp>136</stp>
        <stp>MSFT</stp>
        <stp>PELOWAVE5Y</stp>
        <stp>0</stp>
        <stp>0</stp>
        <stp>0</stp>
        <stp>0</stp>
        <stp>0</stp>
        <tr r="C49" s="6"/>
      </tp>
      <tp>
        <v>17.5</v>
        <stp/>
        <stp>136</stp>
        <stp>MSFT</stp>
        <stp>PELOWAVE7Y</stp>
        <stp>0</stp>
        <stp>0</stp>
        <stp>0</stp>
        <stp>0</stp>
        <stp>0</stp>
        <tr r="C50" s="6"/>
      </tp>
      <tp>
        <v>19.8</v>
        <stp/>
        <stp>136</stp>
        <stp>MSFT</stp>
        <stp>PELOWAVE3Y</stp>
        <stp>0</stp>
        <stp>0</stp>
        <stp>0</stp>
        <stp>0</stp>
        <stp>0</stp>
        <tr r="C48" s="6"/>
      </tp>
      <tp>
        <v>4</v>
        <stp/>
        <stp>136</stp>
        <stp>MSFT</stp>
        <stp>EPSGROWTHESTNUMBER</stp>
        <stp>0</stp>
        <stp>0</stp>
        <stp>0</stp>
        <stp>0</stp>
        <stp>0</stp>
        <tr r="H10" s="8"/>
      </tp>
      <tp t="s">
        <v>Inventory Turnover</v>
        <stp/>
        <stp>137</stp>
        <stp/>
        <stp>INVENTORYTURNOVERY_X</stp>
        <stp>0</stp>
        <stp>0</stp>
        <stp>0</stp>
        <stp>0</stp>
        <stp>0</stp>
        <tr r="B26" s="7"/>
      </tp>
      <tp>
        <v>78</v>
        <stp/>
        <stp>136</stp>
        <stp>MSFT</stp>
        <stp>PCNTRANKPEAVEY_X</stp>
        <stp>4</stp>
        <stp>0</stp>
        <stp>0</stp>
        <stp>0</stp>
        <stp>0</stp>
        <tr r="K30" s="6"/>
      </tp>
      <tp>
        <v>35</v>
        <stp/>
        <stp>136</stp>
        <stp>MSFT</stp>
        <stp>PCNTRANKPEAVEY_X</stp>
        <stp>5</stp>
        <stp>0</stp>
        <stp>0</stp>
        <stp>0</stp>
        <stp>0</stp>
        <tr r="L30" s="6"/>
      </tp>
      <tp t="s">
        <v>NA</v>
        <stp/>
        <stp>136</stp>
        <stp>MSFT</stp>
        <stp>PCNTRANKPEAVEY_X</stp>
        <stp>6</stp>
        <stp>0</stp>
        <stp>0</stp>
        <stp>0</stp>
        <stp>0</stp>
        <tr r="M30" s="6"/>
      </tp>
      <tp t="s">
        <v>NA</v>
        <stp/>
        <stp>136</stp>
        <stp>MSFT</stp>
        <stp>PCNTRANKPEAVEY_X</stp>
        <stp>7</stp>
        <stp>0</stp>
        <stp>0</stp>
        <stp>0</stp>
        <stp>0</stp>
        <tr r="N30" s="6"/>
      </tp>
      <tp>
        <v>67</v>
        <stp/>
        <stp>136</stp>
        <stp>MSFT</stp>
        <stp>PCNTRANKPEAVEY_X</stp>
        <stp>1</stp>
        <stp>0</stp>
        <stp>0</stp>
        <stp>0</stp>
        <stp>0</stp>
        <tr r="H30" s="6"/>
      </tp>
      <tp>
        <v>58</v>
        <stp/>
        <stp>136</stp>
        <stp>MSFT</stp>
        <stp>PCNTRANKPEAVEY_X</stp>
        <stp>2</stp>
        <stp>0</stp>
        <stp>0</stp>
        <stp>0</stp>
        <stp>0</stp>
        <tr r="I30" s="6"/>
      </tp>
      <tp>
        <v>60</v>
        <stp/>
        <stp>136</stp>
        <stp>MSFT</stp>
        <stp>PCNTRANKPEAVEY_X</stp>
        <stp>3</stp>
        <stp>0</stp>
        <stp>0</stp>
        <stp>0</stp>
        <stp>0</stp>
        <tr r="J30" s="6"/>
      </tp>
      <tp>
        <v>42.6</v>
        <stp/>
        <stp>136</stp>
        <stp>BOOM</stp>
        <stp>INCOMEAFTERTAXES12M</stp>
        <stp>0</stp>
        <stp>0</stp>
        <stp>0</stp>
        <stp>0</stp>
        <stp>0</stp>
        <tr r="L22" s="11"/>
        <tr r="L22" s="12"/>
      </tp>
      <tp>
        <v>6.4</v>
        <stp/>
        <stp>136</stp>
        <stp>MSFT</stp>
        <stp>SECTORLTDEBTTOTALCAPITALY_X</stp>
        <stp>2</stp>
        <stp>0</stp>
        <stp>0</stp>
        <stp>0</stp>
        <stp>0</stp>
        <tr r="E75" s="7"/>
      </tp>
      <tp>
        <v>7.3</v>
        <stp/>
        <stp>136</stp>
        <stp>MSFT</stp>
        <stp>SECTORLTDEBTTOTALCAPITALY_X</stp>
        <stp>3</stp>
        <stp>0</stp>
        <stp>0</stp>
        <stp>0</stp>
        <stp>0</stp>
        <tr r="F75" s="7"/>
      </tp>
      <tp>
        <v>9</v>
        <stp/>
        <stp>136</stp>
        <stp>MSFT</stp>
        <stp>SECTORLTDEBTTOTALCAPITALY_X</stp>
        <stp>1</stp>
        <stp>0</stp>
        <stp>0</stp>
        <stp>0</stp>
        <stp>0</stp>
        <tr r="D75" s="7"/>
      </tp>
      <tp>
        <v>0.5</v>
        <stp/>
        <stp>136</stp>
        <stp>MSFT</stp>
        <stp>SECTORLTDEBTTOTALCAPITALY_X</stp>
        <stp>6</stp>
        <stp>0</stp>
        <stp>0</stp>
        <stp>0</stp>
        <stp>0</stp>
        <tr r="I75" s="7"/>
      </tp>
      <tp>
        <v>0.4</v>
        <stp/>
        <stp>136</stp>
        <stp>MSFT</stp>
        <stp>SECTORLTDEBTTOTALCAPITALY_X</stp>
        <stp>7</stp>
        <stp>0</stp>
        <stp>0</stp>
        <stp>0</stp>
        <stp>0</stp>
        <tr r="J75" s="7"/>
      </tp>
      <tp>
        <v>3.9</v>
        <stp/>
        <stp>136</stp>
        <stp>MSFT</stp>
        <stp>SECTORLTDEBTTOTALCAPITALY_X</stp>
        <stp>4</stp>
        <stp>0</stp>
        <stp>0</stp>
        <stp>0</stp>
        <stp>0</stp>
        <tr r="G75" s="7"/>
      </tp>
      <tp>
        <v>1</v>
        <stp/>
        <stp>136</stp>
        <stp>MSFT</stp>
        <stp>SECTORLTDEBTTOTALCAPITALY_X</stp>
        <stp>5</stp>
        <stp>0</stp>
        <stp>0</stp>
        <stp>0</stp>
        <stp>0</stp>
        <tr r="H75" s="7"/>
      </tp>
      <tp>
        <v>2.9</v>
        <stp/>
        <stp>136</stp>
        <stp>MSFT</stp>
        <stp>BUFFETTPRICEGROWTHEPSGROWTH</stp>
        <stp>0</stp>
        <stp>0</stp>
        <stp>0</stp>
        <stp>0</stp>
        <stp>0</stp>
        <tr r="C18" s="9"/>
      </tp>
      <tp>
        <v>469851.28700000001</v>
        <stp/>
        <stp>136</stp>
        <stp>MSFT</stp>
        <stp>PRICEVOLUMEM_X</stp>
        <stp>25</stp>
        <stp>0</stp>
        <stp>0</stp>
        <stp>0</stp>
        <stp>0</stp>
        <tr r="G40" s="4"/>
      </tp>
      <tp>
        <v>442761.9</v>
        <stp/>
        <stp>136</stp>
        <stp>MSFT</stp>
        <stp>PRICEVOLUMEM_X</stp>
        <stp>24</stp>
        <stp>0</stp>
        <stp>0</stp>
        <stp>0</stp>
        <stp>0</stp>
        <tr r="G39" s="4"/>
      </tp>
      <tp>
        <v>517291.49</v>
        <stp/>
        <stp>136</stp>
        <stp>MSFT</stp>
        <stp>PRICEVOLUMEM_X</stp>
        <stp>27</stp>
        <stp>0</stp>
        <stp>0</stp>
        <stp>0</stp>
        <stp>0</stp>
        <tr r="G42" s="4"/>
      </tp>
      <tp>
        <v>629716.62699999998</v>
        <stp/>
        <stp>136</stp>
        <stp>MSFT</stp>
        <stp>PRICEVOLUMEM_X</stp>
        <stp>26</stp>
        <stp>0</stp>
        <stp>0</stp>
        <stp>0</stp>
        <stp>0</stp>
        <tr r="G41" s="4"/>
      </tp>
      <tp>
        <v>421925.86900000001</v>
        <stp/>
        <stp>136</stp>
        <stp>MSFT</stp>
        <stp>PRICEVOLUMEM_X</stp>
        <stp>21</stp>
        <stp>0</stp>
        <stp>0</stp>
        <stp>0</stp>
        <stp>0</stp>
        <tr r="G36" s="4"/>
      </tp>
      <tp>
        <v>466203.34299999999</v>
        <stp/>
        <stp>136</stp>
        <stp>MSFT</stp>
        <stp>PRICEVOLUMEM_X</stp>
        <stp>20</stp>
        <stp>0</stp>
        <stp>0</stp>
        <stp>0</stp>
        <stp>0</stp>
        <tr r="G35" s="4"/>
      </tp>
      <tp>
        <v>376670.21</v>
        <stp/>
        <stp>136</stp>
        <stp>MSFT</stp>
        <stp>PRICEVOLUMEM_X</stp>
        <stp>23</stp>
        <stp>0</stp>
        <stp>0</stp>
        <stp>0</stp>
        <stp>0</stp>
        <tr r="G38" s="4"/>
      </tp>
      <tp>
        <v>449949.98200000002</v>
        <stp/>
        <stp>136</stp>
        <stp>MSFT</stp>
        <stp>PRICEVOLUMEM_X</stp>
        <stp>22</stp>
        <stp>0</stp>
        <stp>0</stp>
        <stp>0</stp>
        <stp>0</stp>
        <tr r="G37" s="4"/>
      </tp>
      <tp>
        <v>489173.22499999998</v>
        <stp/>
        <stp>136</stp>
        <stp>MSFT</stp>
        <stp>PRICEVOLUMEM_X</stp>
        <stp>29</stp>
        <stp>0</stp>
        <stp>0</stp>
        <stp>0</stp>
        <stp>0</stp>
        <tr r="G44" s="4"/>
      </tp>
      <tp>
        <v>433191.19099999999</v>
        <stp/>
        <stp>136</stp>
        <stp>MSFT</stp>
        <stp>PRICEVOLUMEM_X</stp>
        <stp>28</stp>
        <stp>0</stp>
        <stp>0</stp>
        <stp>0</stp>
        <stp>0</stp>
        <tr r="G43" s="4"/>
      </tp>
      <tp>
        <v>526855.09</v>
        <stp/>
        <stp>136</stp>
        <stp>MSFT</stp>
        <stp>PRICEVOLUMEM_X</stp>
        <stp>35</stp>
        <stp>0</stp>
        <stp>0</stp>
        <stp>0</stp>
        <stp>0</stp>
        <tr r="G50" s="4"/>
      </tp>
      <tp>
        <v>614841.76500000001</v>
        <stp/>
        <stp>136</stp>
        <stp>MSFT</stp>
        <stp>PRICEVOLUMEM_X</stp>
        <stp>34</stp>
        <stp>0</stp>
        <stp>0</stp>
        <stp>0</stp>
        <stp>0</stp>
        <tr r="G49" s="4"/>
      </tp>
      <tp>
        <v>647587.65399999998</v>
        <stp/>
        <stp>136</stp>
        <stp>MSFT</stp>
        <stp>PRICEVOLUMEM_X</stp>
        <stp>37</stp>
        <stp>0</stp>
        <stp>0</stp>
        <stp>0</stp>
        <stp>0</stp>
        <tr r="G52" s="4"/>
      </tp>
      <tp>
        <v>467079.01500000001</v>
        <stp/>
        <stp>136</stp>
        <stp>MSFT</stp>
        <stp>PRICEVOLUMEM_X</stp>
        <stp>36</stp>
        <stp>0</stp>
        <stp>0</stp>
        <stp>0</stp>
        <stp>0</stp>
        <tr r="G51" s="4"/>
      </tp>
      <tp>
        <v>494435.84000000003</v>
        <stp/>
        <stp>136</stp>
        <stp>MSFT</stp>
        <stp>PRICEVOLUMEM_X</stp>
        <stp>31</stp>
        <stp>0</stp>
        <stp>0</stp>
        <stp>0</stp>
        <stp>0</stp>
        <tr r="G46" s="4"/>
      </tp>
      <tp>
        <v>440744.04800000001</v>
        <stp/>
        <stp>136</stp>
        <stp>MSFT</stp>
        <stp>PRICEVOLUMEM_X</stp>
        <stp>30</stp>
        <stp>0</stp>
        <stp>0</stp>
        <stp>0</stp>
        <stp>0</stp>
        <tr r="G45" s="4"/>
      </tp>
      <tp>
        <v>613056.96900000004</v>
        <stp/>
        <stp>136</stp>
        <stp>MSFT</stp>
        <stp>PRICEVOLUMEM_X</stp>
        <stp>33</stp>
        <stp>0</stp>
        <stp>0</stp>
        <stp>0</stp>
        <stp>0</stp>
        <tr r="G48" s="4"/>
      </tp>
      <tp>
        <v>513579.43400000001</v>
        <stp/>
        <stp>136</stp>
        <stp>MSFT</stp>
        <stp>PRICEVOLUMEM_X</stp>
        <stp>32</stp>
        <stp>0</stp>
        <stp>0</stp>
        <stp>0</stp>
        <stp>0</stp>
        <tr r="G47" s="4"/>
      </tp>
      <tp>
        <v>530869.35800000001</v>
        <stp/>
        <stp>136</stp>
        <stp>MSFT</stp>
        <stp>PRICEVOLUMEM_X</stp>
        <stp>39</stp>
        <stp>0</stp>
        <stp>0</stp>
        <stp>0</stp>
        <stp>0</stp>
        <tr r="G54" s="4"/>
      </tp>
      <tp>
        <v>823987.54799999995</v>
        <stp/>
        <stp>136</stp>
        <stp>MSFT</stp>
        <stp>PRICEVOLUMEM_X</stp>
        <stp>38</stp>
        <stp>0</stp>
        <stp>0</stp>
        <stp>0</stp>
        <stp>0</stp>
        <tr r="G53" s="4"/>
      </tp>
      <tp>
        <v>509418.12699999998</v>
        <stp/>
        <stp>136</stp>
        <stp>MSFT</stp>
        <stp>PRICEVOLUMEM_X</stp>
        <stp>15</stp>
        <stp>0</stp>
        <stp>0</stp>
        <stp>0</stp>
        <stp>0</stp>
        <tr r="G30" s="4"/>
      </tp>
      <tp>
        <v>602585.32499999995</v>
        <stp/>
        <stp>136</stp>
        <stp>MSFT</stp>
        <stp>PRICEVOLUMEM_X</stp>
        <stp>14</stp>
        <stp>0</stp>
        <stp>0</stp>
        <stp>0</stp>
        <stp>0</stp>
        <tr r="G29" s="4"/>
      </tp>
      <tp>
        <v>750754.89800000004</v>
        <stp/>
        <stp>136</stp>
        <stp>MSFT</stp>
        <stp>PRICEVOLUMEM_X</stp>
        <stp>17</stp>
        <stp>0</stp>
        <stp>0</stp>
        <stp>0</stp>
        <stp>0</stp>
        <tr r="G32" s="4"/>
      </tp>
      <tp>
        <v>668258.57900000003</v>
        <stp/>
        <stp>136</stp>
        <stp>MSFT</stp>
        <stp>PRICEVOLUMEM_X</stp>
        <stp>16</stp>
        <stp>0</stp>
        <stp>0</stp>
        <stp>0</stp>
        <stp>0</stp>
        <tr r="G31" s="4"/>
      </tp>
      <tp>
        <v>480255.67200000002</v>
        <stp/>
        <stp>136</stp>
        <stp>MSFT</stp>
        <stp>PRICEVOLUMEM_X</stp>
        <stp>11</stp>
        <stp>0</stp>
        <stp>0</stp>
        <stp>0</stp>
        <stp>0</stp>
        <tr r="G26" s="4"/>
      </tp>
      <tp>
        <v>927547.97199999995</v>
        <stp/>
        <stp>136</stp>
        <stp>MSFT</stp>
        <stp>PRICEVOLUMEM_X</stp>
        <stp>10</stp>
        <stp>0</stp>
        <stp>0</stp>
        <stp>0</stp>
        <stp>0</stp>
        <tr r="G25" s="4"/>
      </tp>
      <tp>
        <v>569501.58100000001</v>
        <stp/>
        <stp>136</stp>
        <stp>MSFT</stp>
        <stp>PRICEVOLUMEM_X</stp>
        <stp>13</stp>
        <stp>0</stp>
        <stp>0</stp>
        <stp>0</stp>
        <stp>0</stp>
        <tr r="G28" s="4"/>
      </tp>
      <tp>
        <v>456630.72499999998</v>
        <stp/>
        <stp>136</stp>
        <stp>MSFT</stp>
        <stp>PRICEVOLUMEM_X</stp>
        <stp>12</stp>
        <stp>0</stp>
        <stp>0</stp>
        <stp>0</stp>
        <stp>0</stp>
        <tr r="G27" s="4"/>
      </tp>
      <tp>
        <v>574258.51699999999</v>
        <stp/>
        <stp>136</stp>
        <stp>MSFT</stp>
        <stp>PRICEVOLUMEM_X</stp>
        <stp>19</stp>
        <stp>0</stp>
        <stp>0</stp>
        <stp>0</stp>
        <stp>0</stp>
        <tr r="G34" s="4"/>
      </tp>
      <tp>
        <v>725663.24199999997</v>
        <stp/>
        <stp>136</stp>
        <stp>MSFT</stp>
        <stp>PRICEVOLUMEM_X</stp>
        <stp>18</stp>
        <stp>0</stp>
        <stp>0</stp>
        <stp>0</stp>
        <stp>0</stp>
        <tr r="G33" s="4"/>
      </tp>
      <tp>
        <v>778550.18900000001</v>
        <stp/>
        <stp>136</stp>
        <stp>MSFT</stp>
        <stp>PRICEVOLUMEM_X</stp>
        <stp>65</stp>
        <stp>0</stp>
        <stp>0</stp>
        <stp>0</stp>
        <stp>0</stp>
        <tr r="G80" s="4"/>
      </tp>
      <tp>
        <v>746148.674</v>
        <stp/>
        <stp>136</stp>
        <stp>MSFT</stp>
        <stp>PRICEVOLUMEM_X</stp>
        <stp>64</stp>
        <stp>0</stp>
        <stp>0</stp>
        <stp>0</stp>
        <stp>0</stp>
        <tr r="G79" s="4"/>
      </tp>
      <tp>
        <v>932087.92</v>
        <stp/>
        <stp>136</stp>
        <stp>MSFT</stp>
        <stp>PRICEVOLUMEM_X</stp>
        <stp>67</stp>
        <stp>0</stp>
        <stp>0</stp>
        <stp>0</stp>
        <stp>0</stp>
        <tr r="G82" s="4"/>
      </tp>
      <tp>
        <v>718232.06200000003</v>
        <stp/>
        <stp>136</stp>
        <stp>MSFT</stp>
        <stp>PRICEVOLUMEM_X</stp>
        <stp>66</stp>
        <stp>0</stp>
        <stp>0</stp>
        <stp>0</stp>
        <stp>0</stp>
        <tr r="G81" s="4"/>
      </tp>
      <tp>
        <v>731659.97199999995</v>
        <stp/>
        <stp>136</stp>
        <stp>MSFT</stp>
        <stp>PRICEVOLUMEM_X</stp>
        <stp>61</stp>
        <stp>0</stp>
        <stp>0</stp>
        <stp>0</stp>
        <stp>0</stp>
        <tr r="G76" s="4"/>
      </tp>
      <tp>
        <v>513934.74599999998</v>
        <stp/>
        <stp>136</stp>
        <stp>MSFT</stp>
        <stp>PRICEVOLUMEM_X</stp>
        <stp>60</stp>
        <stp>0</stp>
        <stp>0</stp>
        <stp>0</stp>
        <stp>0</stp>
        <tr r="G75" s="4"/>
      </tp>
      <tp>
        <v>574399.70400000003</v>
        <stp/>
        <stp>136</stp>
        <stp>MSFT</stp>
        <stp>PRICEVOLUMEM_X</stp>
        <stp>63</stp>
        <stp>0</stp>
        <stp>0</stp>
        <stp>0</stp>
        <stp>0</stp>
        <tr r="G78" s="4"/>
      </tp>
      <tp>
        <v>555812.19700000004</v>
        <stp/>
        <stp>136</stp>
        <stp>MSFT</stp>
        <stp>PRICEVOLUMEM_X</stp>
        <stp>62</stp>
        <stp>0</stp>
        <stp>0</stp>
        <stp>0</stp>
        <stp>0</stp>
        <tr r="G77" s="4"/>
      </tp>
      <tp>
        <v>800462.86300000001</v>
        <stp/>
        <stp>136</stp>
        <stp>MSFT</stp>
        <stp>PRICEVOLUMEM_X</stp>
        <stp>69</stp>
        <stp>0</stp>
        <stp>0</stp>
        <stp>0</stp>
        <stp>0</stp>
        <tr r="G84" s="4"/>
      </tp>
      <tp>
        <v>826638.24399999995</v>
        <stp/>
        <stp>136</stp>
        <stp>MSFT</stp>
        <stp>PRICEVOLUMEM_X</stp>
        <stp>68</stp>
        <stp>0</stp>
        <stp>0</stp>
        <stp>0</stp>
        <stp>0</stp>
        <tr r="G83" s="4"/>
      </tp>
      <tp>
        <v>1071952.325</v>
        <stp/>
        <stp>136</stp>
        <stp>MSFT</stp>
        <stp>PRICEVOLUMEM_X</stp>
        <stp>75</stp>
        <stp>0</stp>
        <stp>0</stp>
        <stp>0</stp>
        <stp>0</stp>
        <tr r="G90" s="4"/>
      </tp>
      <tp>
        <v>945223.60100000002</v>
        <stp/>
        <stp>136</stp>
        <stp>MSFT</stp>
        <stp>PRICEVOLUMEM_X</stp>
        <stp>74</stp>
        <stp>0</stp>
        <stp>0</stp>
        <stp>0</stp>
        <stp>0</stp>
        <tr r="G89" s="4"/>
      </tp>
      <tp>
        <v>845032.55</v>
        <stp/>
        <stp>136</stp>
        <stp>MSFT</stp>
        <stp>PRICEVOLUMEM_X</stp>
        <stp>77</stp>
        <stp>0</stp>
        <stp>0</stp>
        <stp>0</stp>
        <stp>0</stp>
        <tr r="G92" s="4"/>
      </tp>
      <tp>
        <v>1465815.05</v>
        <stp/>
        <stp>136</stp>
        <stp>MSFT</stp>
        <stp>PRICEVOLUMEM_X</stp>
        <stp>76</stp>
        <stp>0</stp>
        <stp>0</stp>
        <stp>0</stp>
        <stp>0</stp>
        <tr r="G91" s="4"/>
      </tp>
      <tp>
        <v>1245168.3759999999</v>
        <stp/>
        <stp>136</stp>
        <stp>MSFT</stp>
        <stp>PRICEVOLUMEM_X</stp>
        <stp>71</stp>
        <stp>0</stp>
        <stp>0</stp>
        <stp>0</stp>
        <stp>0</stp>
        <tr r="G86" s="4"/>
      </tp>
      <tp>
        <v>965360.04399999999</v>
        <stp/>
        <stp>136</stp>
        <stp>MSFT</stp>
        <stp>PRICEVOLUMEM_X</stp>
        <stp>70</stp>
        <stp>0</stp>
        <stp>0</stp>
        <stp>0</stp>
        <stp>0</stp>
        <tr r="G85" s="4"/>
      </tp>
      <tp>
        <v>1111194.429</v>
        <stp/>
        <stp>136</stp>
        <stp>MSFT</stp>
        <stp>PRICEVOLUMEM_X</stp>
        <stp>73</stp>
        <stp>0</stp>
        <stp>0</stp>
        <stp>0</stp>
        <stp>0</stp>
        <tr r="G88" s="4"/>
      </tp>
      <tp>
        <v>1051312.023</v>
        <stp/>
        <stp>136</stp>
        <stp>MSFT</stp>
        <stp>PRICEVOLUMEM_X</stp>
        <stp>72</stp>
        <stp>0</stp>
        <stp>0</stp>
        <stp>0</stp>
        <stp>0</stp>
        <tr r="G87" s="4"/>
      </tp>
      <tp>
        <v>1145114.9939999999</v>
        <stp/>
        <stp>136</stp>
        <stp>MSFT</stp>
        <stp>PRICEVOLUMEM_X</stp>
        <stp>79</stp>
        <stp>0</stp>
        <stp>0</stp>
        <stp>0</stp>
        <stp>0</stp>
        <tr r="G94" s="4"/>
      </tp>
      <tp>
        <v>780654.25300000003</v>
        <stp/>
        <stp>136</stp>
        <stp>MSFT</stp>
        <stp>PRICEVOLUMEM_X</stp>
        <stp>78</stp>
        <stp>0</stp>
        <stp>0</stp>
        <stp>0</stp>
        <stp>0</stp>
        <tr r="G93" s="4"/>
      </tp>
      <tp>
        <v>662626.72699999996</v>
        <stp/>
        <stp>136</stp>
        <stp>MSFT</stp>
        <stp>PRICEVOLUMEM_X</stp>
        <stp>45</stp>
        <stp>0</stp>
        <stp>0</stp>
        <stp>0</stp>
        <stp>0</stp>
        <tr r="G60" s="4"/>
      </tp>
      <tp>
        <v>793070.03500000003</v>
        <stp/>
        <stp>136</stp>
        <stp>MSFT</stp>
        <stp>PRICEVOLUMEM_X</stp>
        <stp>44</stp>
        <stp>0</stp>
        <stp>0</stp>
        <stp>0</stp>
        <stp>0</stp>
        <tr r="G59" s="4"/>
      </tp>
      <tp>
        <v>673079.85900000005</v>
        <stp/>
        <stp>136</stp>
        <stp>MSFT</stp>
        <stp>PRICEVOLUMEM_X</stp>
        <stp>47</stp>
        <stp>0</stp>
        <stp>0</stp>
        <stp>0</stp>
        <stp>0</stp>
        <tr r="G62" s="4"/>
      </tp>
      <tp>
        <v>857330.68700000003</v>
        <stp/>
        <stp>136</stp>
        <stp>MSFT</stp>
        <stp>PRICEVOLUMEM_X</stp>
        <stp>46</stp>
        <stp>0</stp>
        <stp>0</stp>
        <stp>0</stp>
        <stp>0</stp>
        <tr r="G61" s="4"/>
      </tp>
      <tp>
        <v>641131.94400000002</v>
        <stp/>
        <stp>136</stp>
        <stp>MSFT</stp>
        <stp>PRICEVOLUMEM_X</stp>
        <stp>41</stp>
        <stp>0</stp>
        <stp>0</stp>
        <stp>0</stp>
        <stp>0</stp>
        <tr r="G56" s="4"/>
      </tp>
      <tp>
        <v>699025.63699999999</v>
        <stp/>
        <stp>136</stp>
        <stp>MSFT</stp>
        <stp>PRICEVOLUMEM_X</stp>
        <stp>40</stp>
        <stp>0</stp>
        <stp>0</stp>
        <stp>0</stp>
        <stp>0</stp>
        <tr r="G55" s="4"/>
      </tp>
      <tp>
        <v>927914.48699999996</v>
        <stp/>
        <stp>136</stp>
        <stp>MSFT</stp>
        <stp>PRICEVOLUMEM_X</stp>
        <stp>43</stp>
        <stp>0</stp>
        <stp>0</stp>
        <stp>0</stp>
        <stp>0</stp>
        <tr r="G58" s="4"/>
      </tp>
      <tp>
        <v>814770.78599999996</v>
        <stp/>
        <stp>136</stp>
        <stp>MSFT</stp>
        <stp>PRICEVOLUMEM_X</stp>
        <stp>42</stp>
        <stp>0</stp>
        <stp>0</stp>
        <stp>0</stp>
        <stp>0</stp>
        <tr r="G57" s="4"/>
      </tp>
      <tp>
        <v>725458.11199999996</v>
        <stp/>
        <stp>136</stp>
        <stp>MSFT</stp>
        <stp>PRICEVOLUMEM_X</stp>
        <stp>49</stp>
        <stp>0</stp>
        <stp>0</stp>
        <stp>0</stp>
        <stp>0</stp>
        <tr r="G64" s="4"/>
      </tp>
      <tp>
        <v>776497.51599999995</v>
        <stp/>
        <stp>136</stp>
        <stp>MSFT</stp>
        <stp>PRICEVOLUMEM_X</stp>
        <stp>48</stp>
        <stp>0</stp>
        <stp>0</stp>
        <stp>0</stp>
        <stp>0</stp>
        <tr r="G63" s="4"/>
      </tp>
      <tp>
        <v>918966.53700000001</v>
        <stp/>
        <stp>136</stp>
        <stp>MSFT</stp>
        <stp>PRICEVOLUMEM_X</stp>
        <stp>55</stp>
        <stp>0</stp>
        <stp>0</stp>
        <stp>0</stp>
        <stp>0</stp>
        <tr r="G70" s="4"/>
      </tp>
      <tp>
        <v>656509.83700000006</v>
        <stp/>
        <stp>136</stp>
        <stp>MSFT</stp>
        <stp>PRICEVOLUMEM_X</stp>
        <stp>54</stp>
        <stp>0</stp>
        <stp>0</stp>
        <stp>0</stp>
        <stp>0</stp>
        <tr r="G69" s="4"/>
      </tp>
      <tp>
        <v>523008.24400000001</v>
        <stp/>
        <stp>136</stp>
        <stp>MSFT</stp>
        <stp>PRICEVOLUMEM_X</stp>
        <stp>57</stp>
        <stp>0</stp>
        <stp>0</stp>
        <stp>0</stp>
        <stp>0</stp>
        <tr r="G72" s="4"/>
      </tp>
      <tp>
        <v>626810.61699999997</v>
        <stp/>
        <stp>136</stp>
        <stp>MSFT</stp>
        <stp>PRICEVOLUMEM_X</stp>
        <stp>56</stp>
        <stp>0</stp>
        <stp>0</stp>
        <stp>0</stp>
        <stp>0</stp>
        <tr r="G71" s="4"/>
      </tp>
      <tp>
        <v>633072.75699999998</v>
        <stp/>
        <stp>136</stp>
        <stp>MSFT</stp>
        <stp>PRICEVOLUMEM_X</stp>
        <stp>51</stp>
        <stp>0</stp>
        <stp>0</stp>
        <stp>0</stp>
        <stp>0</stp>
        <tr r="G66" s="4"/>
      </tp>
      <tp>
        <v>664853.34699999995</v>
        <stp/>
        <stp>136</stp>
        <stp>MSFT</stp>
        <stp>PRICEVOLUMEM_X</stp>
        <stp>50</stp>
        <stp>0</stp>
        <stp>0</stp>
        <stp>0</stp>
        <stp>0</stp>
        <tr r="G65" s="4"/>
      </tp>
      <tp>
        <v>824335.32400000002</v>
        <stp/>
        <stp>136</stp>
        <stp>MSFT</stp>
        <stp>PRICEVOLUMEM_X</stp>
        <stp>53</stp>
        <stp>0</stp>
        <stp>0</stp>
        <stp>0</stp>
        <stp>0</stp>
        <tr r="G68" s="4"/>
      </tp>
      <tp>
        <v>874535.13399999996</v>
        <stp/>
        <stp>136</stp>
        <stp>MSFT</stp>
        <stp>PRICEVOLUMEM_X</stp>
        <stp>52</stp>
        <stp>0</stp>
        <stp>0</stp>
        <stp>0</stp>
        <stp>0</stp>
        <tr r="G67" s="4"/>
      </tp>
      <tp>
        <v>860844.098</v>
        <stp/>
        <stp>136</stp>
        <stp>MSFT</stp>
        <stp>PRICEVOLUMEM_X</stp>
        <stp>59</stp>
        <stp>0</stp>
        <stp>0</stp>
        <stp>0</stp>
        <stp>0</stp>
        <tr r="G74" s="4"/>
      </tp>
      <tp>
        <v>853297.02300000004</v>
        <stp/>
        <stp>136</stp>
        <stp>MSFT</stp>
        <stp>PRICEVOLUMEM_X</stp>
        <stp>58</stp>
        <stp>0</stp>
        <stp>0</stp>
        <stp>0</stp>
        <stp>0</stp>
        <tr r="G73" s="4"/>
      </tp>
      <tp>
        <v>846549.36499999999</v>
        <stp/>
        <stp>136</stp>
        <stp>MSFT</stp>
        <stp>PRICEVOLUMEM_X</stp>
        <stp>85</stp>
        <stp>0</stp>
        <stp>0</stp>
        <stp>0</stp>
        <stp>0</stp>
        <tr r="G100" s="4"/>
      </tp>
      <tp>
        <v>671795.43900000001</v>
        <stp/>
        <stp>136</stp>
        <stp>MSFT</stp>
        <stp>PRICEVOLUMEM_X</stp>
        <stp>84</stp>
        <stp>0</stp>
        <stp>0</stp>
        <stp>0</stp>
        <stp>0</stp>
        <tr r="G99" s="4"/>
      </tp>
      <tp>
        <v>1014429.259</v>
        <stp/>
        <stp>136</stp>
        <stp>MSFT</stp>
        <stp>PRICEVOLUMEM_X</stp>
        <stp>87</stp>
        <stp>0</stp>
        <stp>0</stp>
        <stp>0</stp>
        <stp>0</stp>
        <tr r="G102" s="4"/>
      </tp>
      <tp>
        <v>973170.82799999998</v>
        <stp/>
        <stp>136</stp>
        <stp>MSFT</stp>
        <stp>PRICEVOLUMEM_X</stp>
        <stp>86</stp>
        <stp>0</stp>
        <stp>0</stp>
        <stp>0</stp>
        <stp>0</stp>
        <tr r="G101" s="4"/>
      </tp>
      <tp>
        <v>1310567.236</v>
        <stp/>
        <stp>136</stp>
        <stp>MSFT</stp>
        <stp>PRICEVOLUMEM_X</stp>
        <stp>81</stp>
        <stp>0</stp>
        <stp>0</stp>
        <stp>0</stp>
        <stp>0</stp>
        <tr r="G96" s="4"/>
      </tp>
      <tp>
        <v>947413.38500000001</v>
        <stp/>
        <stp>136</stp>
        <stp>MSFT</stp>
        <stp>PRICEVOLUMEM_X</stp>
        <stp>80</stp>
        <stp>0</stp>
        <stp>0</stp>
        <stp>0</stp>
        <stp>0</stp>
        <tr r="G95" s="4"/>
      </tp>
      <tp>
        <v>893165.23400000005</v>
        <stp/>
        <stp>136</stp>
        <stp>MSFT</stp>
        <stp>PRICEVOLUMEM_X</stp>
        <stp>83</stp>
        <stp>0</stp>
        <stp>0</stp>
        <stp>0</stp>
        <stp>0</stp>
        <tr r="G98" s="4"/>
      </tp>
      <tp>
        <v>1105486.922</v>
        <stp/>
        <stp>136</stp>
        <stp>MSFT</stp>
        <stp>PRICEVOLUMEM_X</stp>
        <stp>82</stp>
        <stp>0</stp>
        <stp>0</stp>
        <stp>0</stp>
        <stp>0</stp>
        <tr r="G97" s="4"/>
      </tp>
      <tp>
        <v>942419.522</v>
        <stp/>
        <stp>136</stp>
        <stp>MSFT</stp>
        <stp>PRICEVOLUMEM_X</stp>
        <stp>89</stp>
        <stp>0</stp>
        <stp>0</stp>
        <stp>0</stp>
        <stp>0</stp>
        <tr r="G104" s="4"/>
      </tp>
      <tp>
        <v>940485.99</v>
        <stp/>
        <stp>136</stp>
        <stp>MSFT</stp>
        <stp>PRICEVOLUMEM_X</stp>
        <stp>88</stp>
        <stp>0</stp>
        <stp>0</stp>
        <stp>0</stp>
        <stp>0</stp>
        <tr r="G103" s="4"/>
      </tp>
      <tp>
        <v>1279992.1740000001</v>
        <stp/>
        <stp>136</stp>
        <stp>MSFT</stp>
        <stp>PRICEVOLUMEM_X</stp>
        <stp>95</stp>
        <stp>0</stp>
        <stp>0</stp>
        <stp>0</stp>
        <stp>0</stp>
        <tr r="G110" s="4"/>
      </tp>
      <tp>
        <v>1218182.844</v>
        <stp/>
        <stp>136</stp>
        <stp>MSFT</stp>
        <stp>PRICEVOLUMEM_X</stp>
        <stp>94</stp>
        <stp>0</stp>
        <stp>0</stp>
        <stp>0</stp>
        <stp>0</stp>
        <tr r="G109" s="4"/>
      </tp>
      <tp>
        <v>1259090.3049999999</v>
        <stp/>
        <stp>136</stp>
        <stp>MSFT</stp>
        <stp>PRICEVOLUMEM_X</stp>
        <stp>97</stp>
        <stp>0</stp>
        <stp>0</stp>
        <stp>0</stp>
        <stp>0</stp>
        <tr r="G112" s="4"/>
      </tp>
      <tp>
        <v>1719389.7339999999</v>
        <stp/>
        <stp>136</stp>
        <stp>MSFT</stp>
        <stp>PRICEVOLUMEM_X</stp>
        <stp>96</stp>
        <stp>0</stp>
        <stp>0</stp>
        <stp>0</stp>
        <stp>0</stp>
        <tr r="G111" s="4"/>
      </tp>
      <tp>
        <v>1354912.3389999999</v>
        <stp/>
        <stp>136</stp>
        <stp>MSFT</stp>
        <stp>PRICEVOLUMEM_X</stp>
        <stp>91</stp>
        <stp>0</stp>
        <stp>0</stp>
        <stp>0</stp>
        <stp>0</stp>
        <tr r="G106" s="4"/>
      </tp>
      <tp>
        <v>984398.223</v>
        <stp/>
        <stp>136</stp>
        <stp>MSFT</stp>
        <stp>PRICEVOLUMEM_X</stp>
        <stp>90</stp>
        <stp>0</stp>
        <stp>0</stp>
        <stp>0</stp>
        <stp>0</stp>
        <tr r="G105" s="4"/>
      </tp>
      <tp>
        <v>1046244.198</v>
        <stp/>
        <stp>136</stp>
        <stp>MSFT</stp>
        <stp>PRICEVOLUMEM_X</stp>
        <stp>93</stp>
        <stp>0</stp>
        <stp>0</stp>
        <stp>0</stp>
        <stp>0</stp>
        <tr r="G108" s="4"/>
      </tp>
      <tp>
        <v>1007182.022</v>
        <stp/>
        <stp>136</stp>
        <stp>MSFT</stp>
        <stp>PRICEVOLUMEM_X</stp>
        <stp>92</stp>
        <stp>0</stp>
        <stp>0</stp>
        <stp>0</stp>
        <stp>0</stp>
        <tr r="G107" s="4"/>
      </tp>
      <tp>
        <v>1364178.7919999999</v>
        <stp/>
        <stp>136</stp>
        <stp>MSFT</stp>
        <stp>PRICEVOLUMEM_X</stp>
        <stp>99</stp>
        <stp>0</stp>
        <stp>0</stp>
        <stp>0</stp>
        <stp>0</stp>
        <tr r="G114" s="4"/>
      </tp>
      <tp>
        <v>1297829.9080000001</v>
        <stp/>
        <stp>136</stp>
        <stp>MSFT</stp>
        <stp>PRICEVOLUMEM_X</stp>
        <stp>98</stp>
        <stp>0</stp>
        <stp>0</stp>
        <stp>0</stp>
        <stp>0</stp>
        <tr r="G113" s="4"/>
      </tp>
      <tp>
        <v>16</v>
        <stp/>
        <stp>136</stp>
        <stp>BEAT</stp>
        <stp>RETURNONEQUITY12M</stp>
        <stp>0</stp>
        <stp>0</stp>
        <stp>0</stp>
        <stp>0</stp>
        <stp>0</stp>
        <tr r="F59" s="13"/>
      </tp>
      <tp>
        <v>23.9</v>
        <stp/>
        <stp>136</stp>
        <stp>BOOM</stp>
        <stp>LTDEBTQ_X</stp>
        <stp>8</stp>
        <stp>0</stp>
        <stp>0</stp>
        <stp>0</stp>
        <stp>0</stp>
        <tr r="J74" s="12"/>
        <tr r="J74" s="11"/>
      </tp>
      <tp>
        <v>29.4</v>
        <stp/>
        <stp>136</stp>
        <stp>BOOM</stp>
        <stp>LTDEBTQ_X</stp>
        <stp>5</stp>
        <stp>0</stp>
        <stp>0</stp>
        <stp>0</stp>
        <stp>0</stp>
        <tr r="G74" s="11"/>
        <tr r="G74" s="12"/>
      </tp>
      <tp>
        <v>34.6</v>
        <stp/>
        <stp>136</stp>
        <stp>BOOM</stp>
        <stp>LTDEBTQ_X</stp>
        <stp>4</stp>
        <stp>0</stp>
        <stp>0</stp>
        <stp>0</stp>
        <stp>0</stp>
        <tr r="F74" s="12"/>
        <tr r="F74" s="11"/>
      </tp>
      <tp>
        <v>22</v>
        <stp/>
        <stp>136</stp>
        <stp>BOOM</stp>
        <stp>LTDEBTQ_X</stp>
        <stp>7</stp>
        <stp>0</stp>
        <stp>0</stp>
        <stp>0</stp>
        <stp>0</stp>
        <tr r="I74" s="12"/>
        <tr r="I74" s="11"/>
      </tp>
      <tp>
        <v>18</v>
        <stp/>
        <stp>136</stp>
        <stp>BOOM</stp>
        <stp>LTDEBTQ_X</stp>
        <stp>6</stp>
        <stp>0</stp>
        <stp>0</stp>
        <stp>0</stp>
        <stp>0</stp>
        <tr r="H74" s="11"/>
        <tr r="H74" s="12"/>
      </tp>
      <tp>
        <v>40.200000000000003</v>
        <stp/>
        <stp>136</stp>
        <stp>BOOM</stp>
        <stp>LTDEBTQ_X</stp>
        <stp>1</stp>
        <stp>0</stp>
        <stp>0</stp>
        <stp>0</stp>
        <stp>0</stp>
        <tr r="C74" s="12"/>
        <tr r="C74" s="11"/>
      </tp>
      <tp>
        <v>41.5</v>
        <stp/>
        <stp>136</stp>
        <stp>BOOM</stp>
        <stp>LTDEBTQ_X</stp>
        <stp>3</stp>
        <stp>0</stp>
        <stp>0</stp>
        <stp>0</stp>
        <stp>0</stp>
        <tr r="E74" s="12"/>
        <tr r="E74" s="11"/>
      </tp>
      <tp>
        <v>38.200000000000003</v>
        <stp/>
        <stp>136</stp>
        <stp>BOOM</stp>
        <stp>LTDEBTQ_X</stp>
        <stp>2</stp>
        <stp>0</stp>
        <stp>0</stp>
        <stp>0</stp>
        <stp>0</stp>
        <tr r="D74" s="12"/>
        <tr r="D74" s="11"/>
      </tp>
      <tp t="s">
        <v>NA</v>
        <stp/>
        <stp>136</stp>
        <stp>AAPL</stp>
        <stp>FLASHEPSDILUTEDCONTINUING</stp>
        <stp>0</stp>
        <stp>0</stp>
        <stp>0</stp>
        <stp>0</stp>
        <stp>0</stp>
        <tr r="C78" s="5"/>
      </tp>
      <tp>
        <v>5.5</v>
        <stp/>
        <stp>136</stp>
        <stp>MSFT</stp>
        <stp>SECTORRETURNONEQUITYAVE5Y</stp>
        <stp>0</stp>
        <stp>0</stp>
        <stp>0</stp>
        <stp>0</stp>
        <stp>0</stp>
        <tr r="K65" s="7"/>
      </tp>
      <tp>
        <v>0</v>
        <stp/>
        <stp>136</stp>
        <stp>MSFT</stp>
        <stp>PREFERREDSTOCKQ_X</stp>
        <stp>3</stp>
        <stp>0</stp>
        <stp>0</stp>
        <stp>0</stp>
        <stp>0</stp>
        <tr r="E80" s="1"/>
      </tp>
      <tp>
        <v>0</v>
        <stp/>
        <stp>136</stp>
        <stp>MSFT</stp>
        <stp>PREFERREDSTOCKQ_X</stp>
        <stp>2</stp>
        <stp>0</stp>
        <stp>0</stp>
        <stp>0</stp>
        <stp>0</stp>
        <tr r="D80" s="1"/>
      </tp>
      <tp>
        <v>0</v>
        <stp/>
        <stp>136</stp>
        <stp>MSFT</stp>
        <stp>PREFERREDSTOCKQ_X</stp>
        <stp>1</stp>
        <stp>0</stp>
        <stp>0</stp>
        <stp>0</stp>
        <stp>0</stp>
        <tr r="C80" s="1"/>
      </tp>
      <tp>
        <v>0</v>
        <stp/>
        <stp>136</stp>
        <stp>MSFT</stp>
        <stp>PREFERREDSTOCKQ_X</stp>
        <stp>7</stp>
        <stp>0</stp>
        <stp>0</stp>
        <stp>0</stp>
        <stp>0</stp>
        <tr r="I80" s="1"/>
      </tp>
      <tp>
        <v>0</v>
        <stp/>
        <stp>136</stp>
        <stp>MSFT</stp>
        <stp>PREFERREDSTOCKQ_X</stp>
        <stp>6</stp>
        <stp>0</stp>
        <stp>0</stp>
        <stp>0</stp>
        <stp>0</stp>
        <tr r="H80" s="1"/>
      </tp>
      <tp>
        <v>0</v>
        <stp/>
        <stp>136</stp>
        <stp>MSFT</stp>
        <stp>PREFERREDSTOCKQ_X</stp>
        <stp>5</stp>
        <stp>0</stp>
        <stp>0</stp>
        <stp>0</stp>
        <stp>0</stp>
        <tr r="G80" s="1"/>
      </tp>
      <tp>
        <v>0</v>
        <stp/>
        <stp>136</stp>
        <stp>MSFT</stp>
        <stp>PREFERREDSTOCKQ_X</stp>
        <stp>4</stp>
        <stp>0</stp>
        <stp>0</stp>
        <stp>0</stp>
        <stp>0</stp>
        <tr r="F80" s="1"/>
      </tp>
      <tp>
        <v>0</v>
        <stp/>
        <stp>136</stp>
        <stp>MSFT</stp>
        <stp>PREFERREDSTOCKQ_X</stp>
        <stp>8</stp>
        <stp>0</stp>
        <stp>0</stp>
        <stp>0</stp>
        <stp>0</stp>
        <tr r="J80" s="1"/>
      </tp>
      <tp>
        <v>39523</v>
        <stp/>
        <stp>136</stp>
        <stp>MSFT</stp>
        <stp>NETFIXEDASSETSQ_X</stp>
        <stp>2</stp>
        <stp>0</stp>
        <stp>0</stp>
        <stp>0</stp>
        <stp>0</stp>
        <tr r="D64" s="1"/>
      </tp>
      <tp>
        <v>38164</v>
        <stp/>
        <stp>136</stp>
        <stp>MSFT</stp>
        <stp>NETFIXEDASSETSQ_X</stp>
        <stp>3</stp>
        <stp>0</stp>
        <stp>0</stp>
        <stp>0</stp>
        <stp>0</stp>
        <tr r="E64" s="1"/>
      </tp>
      <tp>
        <v>40769</v>
        <stp/>
        <stp>136</stp>
        <stp>MSFT</stp>
        <stp>NETFIXEDASSETSQ_X</stp>
        <stp>1</stp>
        <stp>0</stp>
        <stp>0</stp>
        <stp>0</stp>
        <stp>0</stp>
        <tr r="C64" s="1"/>
      </tp>
      <tp>
        <v>33053</v>
        <stp/>
        <stp>136</stp>
        <stp>MSFT</stp>
        <stp>NETFIXEDASSETSQ_X</stp>
        <stp>6</stp>
        <stp>0</stp>
        <stp>0</stp>
        <stp>0</stp>
        <stp>0</stp>
        <tr r="H64" s="1"/>
      </tp>
      <tp>
        <v>31653</v>
        <stp/>
        <stp>136</stp>
        <stp>MSFT</stp>
        <stp>NETFIXEDASSETSQ_X</stp>
        <stp>7</stp>
        <stp>0</stp>
        <stp>0</stp>
        <stp>0</stp>
        <stp>0</stp>
        <tr r="I64" s="1"/>
      </tp>
      <tp>
        <v>36146</v>
        <stp/>
        <stp>136</stp>
        <stp>MSFT</stp>
        <stp>NETFIXEDASSETSQ_X</stp>
        <stp>4</stp>
        <stp>0</stp>
        <stp>0</stp>
        <stp>0</stp>
        <stp>0</stp>
        <tr r="F64" s="1"/>
      </tp>
      <tp>
        <v>34788</v>
        <stp/>
        <stp>136</stp>
        <stp>MSFT</stp>
        <stp>NETFIXEDASSETSQ_X</stp>
        <stp>5</stp>
        <stp>0</stp>
        <stp>0</stp>
        <stp>0</stp>
        <stp>0</stp>
        <tr r="G64" s="1"/>
      </tp>
      <tp>
        <v>30289</v>
        <stp/>
        <stp>136</stp>
        <stp>MSFT</stp>
        <stp>NETFIXEDASSETSQ_X</stp>
        <stp>8</stp>
        <stp>0</stp>
        <stp>0</stp>
        <stp>0</stp>
        <stp>0</stp>
        <tr r="J64" s="1"/>
      </tp>
      <tp>
        <v>5.4</v>
        <stp/>
        <stp>136</stp>
        <stp>BOOM</stp>
        <stp>SECTORGROSSINCOMEGROWTH5Y</stp>
        <stp>0</stp>
        <stp>0</stp>
        <stp>0</stp>
        <stp>0</stp>
        <stp>0</stp>
        <tr r="E35" s="3"/>
      </tp>
      <tp>
        <v>2.8</v>
        <stp/>
        <stp>136</stp>
        <stp>BOOM</stp>
        <stp>SECTORGROSSINCOMEGROWTH7Y</stp>
        <stp>0</stp>
        <stp>0</stp>
        <stp>0</stp>
        <stp>0</stp>
        <stp>0</stp>
        <tr r="F35" s="3"/>
      </tp>
      <tp>
        <v>9.1</v>
        <stp/>
        <stp>136</stp>
        <stp>BOOM</stp>
        <stp>SECTORGROSSINCOMEGROWTH1Y</stp>
        <stp>0</stp>
        <stp>0</stp>
        <stp>0</stp>
        <stp>0</stp>
        <stp>0</stp>
        <tr r="C35" s="3"/>
      </tp>
      <tp>
        <v>9.8000000000000007</v>
        <stp/>
        <stp>136</stp>
        <stp>BOOM</stp>
        <stp>SECTORGROSSINCOMEGROWTH3Y</stp>
        <stp>0</stp>
        <stp>0</stp>
        <stp>0</stp>
        <stp>0</stp>
        <stp>0</stp>
        <tr r="D35" s="3"/>
      </tp>
      <tp>
        <v>5.8819999999999997</v>
        <stp/>
        <stp>136</stp>
        <stp>MSFT</stp>
        <stp>EPSESTY2</stp>
        <stp>4</stp>
        <stp>0</stp>
        <stp>0</stp>
        <stp>0</stp>
        <stp>0</stp>
        <tr r="G6" s="8"/>
      </tp>
      <tp>
        <v>1</v>
        <stp/>
        <stp>136</stp>
        <stp>MSFT</stp>
        <stp>INDUSTRYRETURNONEQUITYAVE5Y</stp>
        <stp>0</stp>
        <stp>0</stp>
        <stp>0</stp>
        <stp>0</stp>
        <stp>0</stp>
        <tr r="K38" s="7"/>
      </tp>
      <tp>
        <v>135.51</v>
        <stp/>
        <stp>136</stp>
        <stp>MSFT</stp>
        <stp>VALUATIONPE</stp>
        <stp>0</stp>
        <stp>0</stp>
        <stp>0</stp>
        <stp>0</stp>
        <stp>0</stp>
        <tr r="C7" s="9"/>
      </tp>
      <tp>
        <v>0.39</v>
        <stp/>
        <stp>136</stp>
        <stp>MSFT</stp>
        <stp>DIVIDENDQ_X</stp>
        <stp>8</stp>
        <stp>0</stp>
        <stp>0</stp>
        <stp>0</stp>
        <stp>0</stp>
        <tr r="J35" s="1"/>
      </tp>
      <tp>
        <v>0.42</v>
        <stp/>
        <stp>136</stp>
        <stp>MSFT</stp>
        <stp>DIVIDENDQ_X</stp>
        <stp>3</stp>
        <stp>0</stp>
        <stp>0</stp>
        <stp>0</stp>
        <stp>0</stp>
        <tr r="E35" s="1"/>
      </tp>
      <tp>
        <v>0.46</v>
        <stp/>
        <stp>136</stp>
        <stp>MSFT</stp>
        <stp>DIVIDENDQ_X</stp>
        <stp>2</stp>
        <stp>0</stp>
        <stp>0</stp>
        <stp>0</stp>
        <stp>0</stp>
        <tr r="D35" s="1"/>
      </tp>
      <tp>
        <v>0.46</v>
        <stp/>
        <stp>136</stp>
        <stp>MSFT</stp>
        <stp>DIVIDENDQ_X</stp>
        <stp>1</stp>
        <stp>0</stp>
        <stp>0</stp>
        <stp>0</stp>
        <stp>0</stp>
        <tr r="C35" s="1"/>
      </tp>
      <tp>
        <v>0.39</v>
        <stp/>
        <stp>136</stp>
        <stp>MSFT</stp>
        <stp>DIVIDENDQ_X</stp>
        <stp>7</stp>
        <stp>0</stp>
        <stp>0</stp>
        <stp>0</stp>
        <stp>0</stp>
        <tr r="I35" s="1"/>
      </tp>
      <tp>
        <v>0.42</v>
        <stp/>
        <stp>136</stp>
        <stp>MSFT</stp>
        <stp>DIVIDENDQ_X</stp>
        <stp>6</stp>
        <stp>0</stp>
        <stp>0</stp>
        <stp>0</stp>
        <stp>0</stp>
        <tr r="H35" s="1"/>
      </tp>
      <tp>
        <v>0.42</v>
        <stp/>
        <stp>136</stp>
        <stp>MSFT</stp>
        <stp>DIVIDENDQ_X</stp>
        <stp>5</stp>
        <stp>0</stp>
        <stp>0</stp>
        <stp>0</stp>
        <stp>0</stp>
        <tr r="G35" s="1"/>
      </tp>
      <tp>
        <v>0.42</v>
        <stp/>
        <stp>136</stp>
        <stp>MSFT</stp>
        <stp>DIVIDENDQ_X</stp>
        <stp>4</stp>
        <stp>0</stp>
        <stp>0</stp>
        <stp>0</stp>
        <stp>0</stp>
        <tr r="F35" s="1"/>
      </tp>
      <tp t="s">
        <v>500</v>
        <stp/>
        <stp>136</stp>
        <stp>AAPL</stp>
        <stp>SPCOMPONENT</stp>
        <stp>0</stp>
        <stp>0</stp>
        <stp>0</stp>
        <stp>0</stp>
        <stp>0</stp>
        <tr r="G7" s="5"/>
      </tp>
      <tp>
        <v>132000</v>
        <stp/>
        <stp>136</stp>
        <stp>AAPL</stp>
        <stp>EMPLOYEES</stp>
        <stp>0</stp>
        <stp>0</stp>
        <stp>0</stp>
        <stp>0</stp>
        <stp>0</stp>
        <tr r="G10" s="5"/>
      </tp>
      <tp t="s">
        <v>NA</v>
        <stp/>
        <stp>136</stp>
        <stp>MSFT</stp>
        <stp>PCNTRANKRETURNONEQUITYY_X</stp>
        <stp>6</stp>
        <stp>0</stp>
        <stp>0</stp>
        <stp>0</stp>
        <stp>0</stp>
        <tr r="I92" s="7"/>
      </tp>
      <tp t="s">
        <v>NA</v>
        <stp/>
        <stp>136</stp>
        <stp>MSFT</stp>
        <stp>PCNTRANKRETURNONEQUITYY_X</stp>
        <stp>7</stp>
        <stp>0</stp>
        <stp>0</stp>
        <stp>0</stp>
        <stp>0</stp>
        <tr r="J92" s="7"/>
      </tp>
      <tp>
        <v>70</v>
        <stp/>
        <stp>136</stp>
        <stp>MSFT</stp>
        <stp>PCNTRANKRETURNONEQUITYY_X</stp>
        <stp>4</stp>
        <stp>0</stp>
        <stp>0</stp>
        <stp>0</stp>
        <stp>0</stp>
        <tr r="G92" s="7"/>
      </tp>
      <tp>
        <v>82</v>
        <stp/>
        <stp>136</stp>
        <stp>MSFT</stp>
        <stp>PCNTRANKRETURNONEQUITYY_X</stp>
        <stp>5</stp>
        <stp>0</stp>
        <stp>0</stp>
        <stp>0</stp>
        <stp>0</stp>
        <tr r="H92" s="7"/>
      </tp>
      <tp>
        <v>83</v>
        <stp/>
        <stp>136</stp>
        <stp>MSFT</stp>
        <stp>PCNTRANKRETURNONEQUITYY_X</stp>
        <stp>2</stp>
        <stp>0</stp>
        <stp>0</stp>
        <stp>0</stp>
        <stp>0</stp>
        <tr r="E92" s="7"/>
      </tp>
      <tp>
        <v>83</v>
        <stp/>
        <stp>136</stp>
        <stp>MSFT</stp>
        <stp>PCNTRANKRETURNONEQUITYY_X</stp>
        <stp>3</stp>
        <stp>0</stp>
        <stp>0</stp>
        <stp>0</stp>
        <stp>0</stp>
        <tr r="F92" s="7"/>
      </tp>
      <tp>
        <v>76</v>
        <stp/>
        <stp>136</stp>
        <stp>MSFT</stp>
        <stp>PCNTRANKRETURNONEQUITYY_X</stp>
        <stp>1</stp>
        <stp>0</stp>
        <stp>0</stp>
        <stp>0</stp>
        <stp>0</stp>
        <tr r="D92" s="7"/>
      </tp>
      <tp t="s">
        <v>Industry LT debt/total capital</v>
        <stp/>
        <stp>137</stp>
        <stp/>
        <stp>INDUSTRYLTDEBTTOTALCAPITALY_X</stp>
        <stp>0</stp>
        <stp>0</stp>
        <stp>0</stp>
        <stp>0</stp>
        <stp>0</stp>
        <tr r="B48" s="7"/>
      </tp>
      <tp>
        <v>7</v>
        <stp/>
        <stp>136</stp>
        <stp>AAPL</stp>
        <stp>FSCORETTM</stp>
        <stp>0</stp>
        <stp>0</stp>
        <stp>0</stp>
        <stp>0</stp>
        <stp>0</stp>
        <tr r="C105" s="5"/>
      </tp>
      <tp>
        <v>203.3</v>
        <stp/>
        <stp>136</stp>
        <stp>AAPL</stp>
        <stp>LASTPRICE</stp>
        <stp>0</stp>
        <stp>0</stp>
        <stp>0</stp>
        <stp>0</stp>
        <stp>0</stp>
        <tr r="C22" s="5"/>
      </tp>
      <tp>
        <v>5.1120000000000001</v>
        <stp/>
        <stp>136</stp>
        <stp>MSFT</stp>
        <stp>EPSESTY1</stp>
        <stp>3</stp>
        <stp>0</stp>
        <stp>0</stp>
        <stp>0</stp>
        <stp>0</stp>
        <tr r="F6" s="8"/>
      </tp>
      <tp>
        <v>1.1890000000000001</v>
        <stp/>
        <stp>136</stp>
        <stp>MSFT</stp>
        <stp>EPSESTQ1</stp>
        <stp>0</stp>
        <stp>0</stp>
        <stp>0</stp>
        <stp>0</stp>
        <stp>0</stp>
        <tr r="D6" s="8"/>
      </tp>
      <tp>
        <v>30.6</v>
        <stp/>
        <stp>136</stp>
        <stp>MSFT</stp>
        <stp>SECTORPRICEPERFCFPS</stp>
        <stp>0</stp>
        <stp>0</stp>
        <stp>0</stp>
        <stp>0</stp>
        <stp>0</stp>
        <tr r="C26" s="6"/>
      </tp>
      <tp t="s">
        <v>R&amp;D as % of Sales 12 Month</v>
        <stp/>
        <stp>137</stp>
        <stp/>
        <stp>RANDDASPCNTOFSALES12M</stp>
        <stp>0</stp>
        <stp>0</stp>
        <stp>0</stp>
        <stp>0</stp>
        <stp>0</stp>
        <tr r="B101" s="5"/>
      </tp>
      <tp t="s">
        <v>NA</v>
        <stp/>
        <stp>136</stp>
        <stp>AAPL</stp>
        <stp>FLASHGROSSOPERATINGINCOME</stp>
        <stp>0</stp>
        <stp>0</stp>
        <stp>0</stp>
        <stp>0</stp>
        <stp>0</stp>
        <tr r="C79" s="5"/>
      </tp>
      <tp t="s">
        <v>Accounts Receivable</v>
        <stp/>
        <stp>137</stp>
        <stp/>
        <stp>ACCOUNTSRECEIVABLEQ_X</stp>
        <stp>0</stp>
        <stp>0</stp>
        <stp>0</stp>
        <stp>0</stp>
        <stp>0</stp>
        <tr r="D29" s="13"/>
        <tr r="B57" s="12"/>
        <tr r="B57" s="11"/>
        <tr r="B59" s="1"/>
      </tp>
      <tp>
        <v>4.5890000000000004</v>
        <stp/>
        <stp>136</stp>
        <stp>MSFT</stp>
        <stp>EPSESTY0</stp>
        <stp>2</stp>
        <stp>0</stp>
        <stp>0</stp>
        <stp>0</stp>
        <stp>0</stp>
        <tr r="E6" s="8"/>
      </tp>
      <tp>
        <v>1.21</v>
        <stp/>
        <stp>136</stp>
        <stp>MSFT</stp>
        <stp>EPSESTQ0</stp>
        <stp>0</stp>
        <stp>0</stp>
        <stp>0</stp>
        <stp>0</stp>
        <stp>0</stp>
        <tr r="C6" s="8"/>
      </tp>
      <tp>
        <v>1110339.29</v>
        <stp/>
        <stp>136</stp>
        <stp>MSFT</stp>
        <stp>PRICEVOLUMEM_X</stp>
        <stp>113</stp>
        <stp>0</stp>
        <stp>0</stp>
        <stp>0</stp>
        <stp>0</stp>
        <tr r="G128" s="4"/>
      </tp>
      <tp>
        <v>1319076.466</v>
        <stp/>
        <stp>136</stp>
        <stp>MSFT</stp>
        <stp>PRICEVOLUMEM_X</stp>
        <stp>112</stp>
        <stp>0</stp>
        <stp>0</stp>
        <stp>0</stp>
        <stp>0</stp>
        <tr r="G127" s="4"/>
      </tp>
      <tp>
        <v>1720356.7409999999</v>
        <stp/>
        <stp>136</stp>
        <stp>MSFT</stp>
        <stp>PRICEVOLUMEM_X</stp>
        <stp>111</stp>
        <stp>0</stp>
        <stp>0</stp>
        <stp>0</stp>
        <stp>0</stp>
        <tr r="G126" s="4"/>
      </tp>
      <tp>
        <v>1671888.432</v>
        <stp/>
        <stp>136</stp>
        <stp>MSFT</stp>
        <stp>PRICEVOLUMEM_X</stp>
        <stp>110</stp>
        <stp>0</stp>
        <stp>0</stp>
        <stp>0</stp>
        <stp>0</stp>
        <tr r="G125" s="4"/>
      </tp>
      <tp>
        <v>1018302.33</v>
        <stp/>
        <stp>136</stp>
        <stp>MSFT</stp>
        <stp>PRICEVOLUMEM_X</stp>
        <stp>117</stp>
        <stp>0</stp>
        <stp>0</stp>
        <stp>0</stp>
        <stp>0</stp>
        <tr r="G132" s="4"/>
      </tp>
      <tp>
        <v>920649.304</v>
        <stp/>
        <stp>136</stp>
        <stp>MSFT</stp>
        <stp>PRICEVOLUMEM_X</stp>
        <stp>116</stp>
        <stp>0</stp>
        <stp>0</stp>
        <stp>0</stp>
        <stp>0</stp>
        <tr r="G131" s="4"/>
      </tp>
      <tp>
        <v>1359724.814</v>
        <stp/>
        <stp>136</stp>
        <stp>MSFT</stp>
        <stp>PRICEVOLUMEM_X</stp>
        <stp>115</stp>
        <stp>0</stp>
        <stp>0</stp>
        <stp>0</stp>
        <stp>0</stp>
        <tr r="G130" s="4"/>
      </tp>
      <tp>
        <v>1074677.912</v>
        <stp/>
        <stp>136</stp>
        <stp>MSFT</stp>
        <stp>PRICEVOLUMEM_X</stp>
        <stp>114</stp>
        <stp>0</stp>
        <stp>0</stp>
        <stp>0</stp>
        <stp>0</stp>
        <tr r="G129" s="4"/>
      </tp>
      <tp>
        <v>1039017.853</v>
        <stp/>
        <stp>136</stp>
        <stp>MSFT</stp>
        <stp>PRICEVOLUMEM_X</stp>
        <stp>119</stp>
        <stp>0</stp>
        <stp>0</stp>
        <stp>0</stp>
        <stp>0</stp>
        <tr r="G134" s="4"/>
      </tp>
      <tp>
        <v>1523468.04</v>
        <stp/>
        <stp>136</stp>
        <stp>MSFT</stp>
        <stp>PRICEVOLUMEM_X</stp>
        <stp>118</stp>
        <stp>0</stp>
        <stp>0</stp>
        <stp>0</stp>
        <stp>0</stp>
        <tr r="G133" s="4"/>
      </tp>
      <tp>
        <v>1361326.9509999999</v>
        <stp/>
        <stp>136</stp>
        <stp>MSFT</stp>
        <stp>PRICEVOLUMEM_X</stp>
        <stp>103</stp>
        <stp>0</stp>
        <stp>0</stp>
        <stp>0</stp>
        <stp>0</stp>
        <tr r="G118" s="4"/>
      </tp>
      <tp>
        <v>1114408.9609999999</v>
        <stp/>
        <stp>136</stp>
        <stp>MSFT</stp>
        <stp>PRICEVOLUMEM_X</stp>
        <stp>102</stp>
        <stp>0</stp>
        <stp>0</stp>
        <stp>0</stp>
        <stp>0</stp>
        <tr r="G117" s="4"/>
      </tp>
      <tp>
        <v>1311028.936</v>
        <stp/>
        <stp>136</stp>
        <stp>MSFT</stp>
        <stp>PRICEVOLUMEM_X</stp>
        <stp>101</stp>
        <stp>0</stp>
        <stp>0</stp>
        <stp>0</stp>
        <stp>0</stp>
        <tr r="G116" s="4"/>
      </tp>
      <tp>
        <v>1313886.977</v>
        <stp/>
        <stp>136</stp>
        <stp>MSFT</stp>
        <stp>PRICEVOLUMEM_X</stp>
        <stp>100</stp>
        <stp>0</stp>
        <stp>0</stp>
        <stp>0</stp>
        <stp>0</stp>
        <tr r="G115" s="4"/>
      </tp>
      <tp>
        <v>1273583.8700000001</v>
        <stp/>
        <stp>136</stp>
        <stp>MSFT</stp>
        <stp>PRICEVOLUMEM_X</stp>
        <stp>107</stp>
        <stp>0</stp>
        <stp>0</stp>
        <stp>0</stp>
        <stp>0</stp>
        <tr r="G122" s="4"/>
      </tp>
      <tp>
        <v>1281541.4779999999</v>
        <stp/>
        <stp>136</stp>
        <stp>MSFT</stp>
        <stp>PRICEVOLUMEM_X</stp>
        <stp>106</stp>
        <stp>0</stp>
        <stp>0</stp>
        <stp>0</stp>
        <stp>0</stp>
        <tr r="G121" s="4"/>
      </tp>
      <tp>
        <v>1361330.7549999999</v>
        <stp/>
        <stp>136</stp>
        <stp>MSFT</stp>
        <stp>PRICEVOLUMEM_X</stp>
        <stp>105</stp>
        <stp>0</stp>
        <stp>0</stp>
        <stp>0</stp>
        <stp>0</stp>
        <tr r="G120" s="4"/>
      </tp>
      <tp>
        <v>1033857.06</v>
        <stp/>
        <stp>136</stp>
        <stp>MSFT</stp>
        <stp>PRICEVOLUMEM_X</stp>
        <stp>104</stp>
        <stp>0</stp>
        <stp>0</stp>
        <stp>0</stp>
        <stp>0</stp>
        <tr r="G119" s="4"/>
      </tp>
      <tp>
        <v>1410631.898</v>
        <stp/>
        <stp>136</stp>
        <stp>MSFT</stp>
        <stp>PRICEVOLUMEM_X</stp>
        <stp>109</stp>
        <stp>0</stp>
        <stp>0</stp>
        <stp>0</stp>
        <stp>0</stp>
        <tr r="G124" s="4"/>
      </tp>
      <tp>
        <v>1279579.7180000001</v>
        <stp/>
        <stp>136</stp>
        <stp>MSFT</stp>
        <stp>PRICEVOLUMEM_X</stp>
        <stp>108</stp>
        <stp>0</stp>
        <stp>0</stp>
        <stp>0</stp>
        <stp>0</stp>
        <tr r="G123" s="4"/>
      </tp>
      <tp>
        <v>993305.67299999995</v>
        <stp/>
        <stp>136</stp>
        <stp>MSFT</stp>
        <stp>PRICEVOLUMEM_X</stp>
        <stp>120</stp>
        <stp>0</stp>
        <stp>0</stp>
        <stp>0</stp>
        <stp>0</stp>
        <tr r="G135" s="4"/>
      </tp>
      <tp t="s">
        <v>Liabilities And Equity</v>
        <stp/>
        <stp>137</stp>
        <stp/>
        <stp>LIABILITIESANDEQUITYQ_X</stp>
        <stp>0</stp>
        <stp>0</stp>
        <stp>0</stp>
        <stp>0</stp>
        <stp>0</stp>
        <tr r="B80" s="12"/>
        <tr r="B80" s="11"/>
        <tr r="B82" s="1"/>
      </tp>
      <tp>
        <v>30.1</v>
        <stp/>
        <stp>136</stp>
        <stp>MSFT</stp>
        <stp>RETURNONEQUITYY_X</stp>
        <stp>6</stp>
        <stp>0</stp>
        <stp>0</stp>
        <stp>0</stp>
        <stp>0</stp>
        <tr r="I11" s="7"/>
      </tp>
      <tp>
        <v>27.5</v>
        <stp/>
        <stp>136</stp>
        <stp>MSFT</stp>
        <stp>RETURNONEQUITYY_X</stp>
        <stp>7</stp>
        <stp>0</stp>
        <stp>0</stp>
        <stp>0</stp>
        <stp>0</stp>
        <tr r="J11" s="7"/>
      </tp>
      <tp>
        <v>14.4</v>
        <stp/>
        <stp>136</stp>
        <stp>MSFT</stp>
        <stp>RETURNONEQUITYY_X</stp>
        <stp>4</stp>
        <stp>0</stp>
        <stp>0</stp>
        <stp>0</stp>
        <stp>0</stp>
        <tr r="G11" s="7"/>
      </tp>
      <tp>
        <v>26.2</v>
        <stp/>
        <stp>136</stp>
        <stp>MSFT</stp>
        <stp>RETURNONEQUITYY_X</stp>
        <stp>5</stp>
        <stp>0</stp>
        <stp>0</stp>
        <stp>0</stp>
        <stp>0</stp>
        <tr r="H11" s="7"/>
      </tp>
      <tp>
        <v>31.9</v>
        <stp/>
        <stp>136</stp>
        <stp>MSFT</stp>
        <stp>RETURNONEQUITYY_X</stp>
        <stp>2</stp>
        <stp>0</stp>
        <stp>0</stp>
        <stp>0</stp>
        <stp>0</stp>
        <tr r="E11" s="7"/>
      </tp>
      <tp>
        <v>27</v>
        <stp/>
        <stp>136</stp>
        <stp>MSFT</stp>
        <stp>RETURNONEQUITYY_X</stp>
        <stp>3</stp>
        <stp>0</stp>
        <stp>0</stp>
        <stp>0</stp>
        <stp>0</stp>
        <tr r="F11" s="7"/>
      </tp>
      <tp>
        <v>19.399999999999999</v>
        <stp/>
        <stp>136</stp>
        <stp>MSFT</stp>
        <stp>RETURNONEQUITYY_X</stp>
        <stp>1</stp>
        <stp>0</stp>
        <stp>0</stp>
        <stp>0</stp>
        <stp>0</stp>
        <tr r="D11" s="7"/>
      </tp>
      <tp t="s">
        <v>Industry Price/FCFPS</v>
        <stp/>
        <stp>137</stp>
        <stp/>
        <stp>INDUSTRYPRICEPERFCFPS</stp>
        <stp>0</stp>
        <stp>0</stp>
        <stp>0</stp>
        <stp>0</stp>
        <stp>0</stp>
        <tr r="B18" s="6"/>
      </tp>
      <tp>
        <v>6</v>
        <stp/>
        <stp>136</stp>
        <stp>AAPL</stp>
        <stp>FSCOREY1</stp>
        <stp>0</stp>
        <stp>0</stp>
        <stp>0</stp>
        <stp>0</stp>
        <stp>0</stp>
        <tr r="C106" s="5"/>
      </tp>
      <tp>
        <v>32.200000000000003</v>
        <stp/>
        <stp>136</stp>
        <stp>BOOM</stp>
        <stp>INDUSTRYGROSSINCOMEGROWTH1Y</stp>
        <stp>0</stp>
        <stp>0</stp>
        <stp>0</stp>
        <stp>0</stp>
        <stp>0</stp>
        <tr r="C21" s="3"/>
      </tp>
      <tp>
        <v>18.2</v>
        <stp/>
        <stp>136</stp>
        <stp>BOOM</stp>
        <stp>INDUSTRYGROSSINCOMEGROWTH3Y</stp>
        <stp>0</stp>
        <stp>0</stp>
        <stp>0</stp>
        <stp>0</stp>
        <stp>0</stp>
        <tr r="D21" s="3"/>
      </tp>
      <tp>
        <v>6.5</v>
        <stp/>
        <stp>136</stp>
        <stp>BOOM</stp>
        <stp>INDUSTRYGROSSINCOMEGROWTH5Y</stp>
        <stp>0</stp>
        <stp>0</stp>
        <stp>0</stp>
        <stp>0</stp>
        <stp>0</stp>
        <tr r="E21" s="3"/>
      </tp>
      <tp>
        <v>4.4000000000000004</v>
        <stp/>
        <stp>136</stp>
        <stp>BOOM</stp>
        <stp>INDUSTRYGROSSINCOMEGROWTH7Y</stp>
        <stp>0</stp>
        <stp>0</stp>
        <stp>0</stp>
        <stp>0</stp>
        <stp>0</stp>
        <tr r="F21" s="3"/>
      </tp>
      <tp>
        <v>441.6</v>
        <stp/>
        <stp>136</stp>
        <stp>BOOM</stp>
        <stp>EPSCONTGROWTHQ8TOQ4</stp>
        <stp>0</stp>
        <stp>0</stp>
        <stp>0</stp>
        <stp>0</stp>
        <stp>0</stp>
        <tr r="K12" s="3"/>
      </tp>
      <tp>
        <v>-20.38</v>
        <stp/>
        <stp>136</stp>
        <stp>AAPL</stp>
        <stp>INDUSTRYRELATIVESTRENGTH13W</stp>
        <stp>0</stp>
        <stp>0</stp>
        <stp>0</stp>
        <stp>0</stp>
        <stp>0</stp>
        <tr r="D58" s="5"/>
      </tp>
      <tp>
        <v>-31.32</v>
        <stp/>
        <stp>136</stp>
        <stp>AAPL</stp>
        <stp>INDUSTRYRELATIVESTRENGTH26W</stp>
        <stp>0</stp>
        <stp>0</stp>
        <stp>0</stp>
        <stp>0</stp>
        <stp>0</stp>
        <tr r="E58" s="5"/>
      </tp>
      <tp>
        <v>-39.590000000000003</v>
        <stp/>
        <stp>136</stp>
        <stp>AAPL</stp>
        <stp>INDUSTRYRELATIVESTRENGTH52W</stp>
        <stp>0</stp>
        <stp>0</stp>
        <stp>0</stp>
        <stp>0</stp>
        <stp>0</stp>
        <tr r="F58" s="5"/>
      </tp>
      <tp t="s">
        <v>NA</v>
        <stp/>
        <stp>136</stp>
        <stp>BOOM</stp>
        <stp>OPERATINGINCOMEGROWTHQ8TOQ4</stp>
        <stp>0</stp>
        <stp>0</stp>
        <stp>0</stp>
        <stp>0</stp>
        <stp>0</stp>
        <tr r="K9" s="3"/>
      </tp>
      <tp t="s">
        <v>Cash From Operations</v>
        <stp/>
        <stp>137</stp>
        <stp/>
        <stp>CASHFROMOPERATIONSQ_X</stp>
        <stp>0</stp>
        <stp>0</stp>
        <stp>0</stp>
        <stp>0</stp>
        <stp>0</stp>
        <tr r="D18" s="13"/>
        <tr r="B39" s="1"/>
        <tr r="B37" s="11"/>
        <tr r="B37" s="12"/>
      </tp>
      <tp>
        <v>2769</v>
        <stp/>
        <stp>136</stp>
        <stp>MSFT</stp>
        <stp>RESEARCHANDDEVELOPMENTQ_X</stp>
        <stp>8</stp>
        <stp>0</stp>
        <stp>0</stp>
        <stp>0</stp>
        <stp>0</stp>
        <tr r="J12" s="1"/>
      </tp>
      <tp>
        <v>3933</v>
        <stp/>
        <stp>136</stp>
        <stp>MSFT</stp>
        <stp>RESEARCHANDDEVELOPMENTQ_X</stp>
        <stp>4</stp>
        <stp>0</stp>
        <stp>0</stp>
        <stp>0</stp>
        <stp>0</stp>
        <tr r="F12" s="1"/>
      </tp>
      <tp>
        <v>3715</v>
        <stp/>
        <stp>136</stp>
        <stp>MSFT</stp>
        <stp>RESEARCHANDDEVELOPMENTQ_X</stp>
        <stp>5</stp>
        <stp>0</stp>
        <stp>0</stp>
        <stp>0</stp>
        <stp>0</stp>
        <tr r="G12" s="1"/>
      </tp>
      <tp>
        <v>3504</v>
        <stp/>
        <stp>136</stp>
        <stp>MSFT</stp>
        <stp>RESEARCHANDDEVELOPMENTQ_X</stp>
        <stp>6</stp>
        <stp>0</stp>
        <stp>0</stp>
        <stp>0</stp>
        <stp>0</stp>
        <tr r="H12" s="1"/>
      </tp>
      <tp>
        <v>3574</v>
        <stp/>
        <stp>136</stp>
        <stp>MSFT</stp>
        <stp>RESEARCHANDDEVELOPMENTQ_X</stp>
        <stp>7</stp>
        <stp>0</stp>
        <stp>0</stp>
        <stp>0</stp>
        <stp>0</stp>
        <tr r="I12" s="1"/>
      </tp>
      <tp>
        <v>4316</v>
        <stp/>
        <stp>136</stp>
        <stp>MSFT</stp>
        <stp>RESEARCHANDDEVELOPMENTQ_X</stp>
        <stp>1</stp>
        <stp>0</stp>
        <stp>0</stp>
        <stp>0</stp>
        <stp>0</stp>
        <tr r="C12" s="1"/>
      </tp>
      <tp>
        <v>4070</v>
        <stp/>
        <stp>136</stp>
        <stp>MSFT</stp>
        <stp>RESEARCHANDDEVELOPMENTQ_X</stp>
        <stp>2</stp>
        <stp>0</stp>
        <stp>0</stp>
        <stp>0</stp>
        <stp>0</stp>
        <tr r="D12" s="1"/>
      </tp>
      <tp>
        <v>3977</v>
        <stp/>
        <stp>136</stp>
        <stp>MSFT</stp>
        <stp>RESEARCHANDDEVELOPMENTQ_X</stp>
        <stp>3</stp>
        <stp>0</stp>
        <stp>0</stp>
        <stp>0</stp>
        <stp>0</stp>
        <tr r="E12" s="1"/>
      </tp>
      <tp t="s">
        <v>Yield</v>
        <stp/>
        <stp>137</stp>
        <stp/>
        <stp>YIELD</stp>
        <stp>0</stp>
        <stp>0</stp>
        <stp>0</stp>
        <stp>0</stp>
        <stp>0</stp>
        <tr r="B11" s="6"/>
      </tp>
      <tp>
        <v>8.1999999999999993</v>
        <stp/>
        <stp>136</stp>
        <stp>BEAT</stp>
        <stp>RETURNONASSETS12M</stp>
        <stp>0</stp>
        <stp>0</stp>
        <stp>0</stp>
        <stp>0</stp>
        <stp>0</stp>
        <tr r="F60" s="13"/>
      </tp>
      <tp t="s">
        <v>NA</v>
        <stp/>
        <stp>136</stp>
        <stp>MSFT</stp>
        <stp>PRICEPERCFPSAVE5Y</stp>
        <stp>0</stp>
        <stp>0</stp>
        <stp>0</stp>
        <stp>0</stp>
        <stp>0</stp>
        <tr r="F9" s="6"/>
      </tp>
      <tp t="s">
        <v>NA</v>
        <stp/>
        <stp>136</stp>
        <stp>MSFT</stp>
        <stp>PRICEPERCFPSAVE7Y</stp>
        <stp>0</stp>
        <stp>0</stp>
        <stp>0</stp>
        <stp>0</stp>
        <stp>0</stp>
        <tr r="G9" s="6"/>
      </tp>
      <tp>
        <v>393.5</v>
        <stp/>
        <stp>136</stp>
        <stp>MSFT</stp>
        <stp>PRICEPERCFPSAVE3Y</stp>
        <stp>0</stp>
        <stp>0</stp>
        <stp>0</stp>
        <stp>0</stp>
        <stp>0</stp>
        <tr r="E9" s="6"/>
      </tp>
      <tp>
        <v>233.47</v>
        <stp/>
        <stp>136</stp>
        <stp>AAPL</stp>
        <stp>52WEEKHIGH</stp>
        <stp>0</stp>
        <stp>0</stp>
        <stp>0</stp>
        <stp>0</stp>
        <stp>0</stp>
        <tr r="C23" s="5"/>
      </tp>
      <tp>
        <v>-35.4</v>
        <stp/>
        <stp>136</stp>
        <stp>BEAT</stp>
        <stp>CASHFLOWQ_X</stp>
        <stp>1</stp>
        <stp>0</stp>
        <stp>0</stp>
        <stp>0</stp>
        <stp>0</stp>
        <tr r="F25" s="13"/>
      </tp>
      <tp>
        <v>17.8</v>
        <stp/>
        <stp>136</stp>
        <stp>BEAT</stp>
        <stp>CASHFLOWQ_X</stp>
        <stp>2</stp>
        <stp>0</stp>
        <stp>0</stp>
        <stp>0</stp>
        <stp>0</stp>
        <tr r="G25" s="13"/>
      </tp>
      <tp>
        <v>23.7</v>
        <stp/>
        <stp>136</stp>
        <stp>BEAT</stp>
        <stp>CASHFLOWQ_X</stp>
        <stp>3</stp>
        <stp>0</stp>
        <stp>0</stp>
        <stp>0</stp>
        <stp>0</stp>
        <tr r="H25" s="13"/>
      </tp>
      <tp>
        <v>3.1</v>
        <stp/>
        <stp>136</stp>
        <stp>BEAT</stp>
        <stp>CASHFLOWQ_X</stp>
        <stp>4</stp>
        <stp>0</stp>
        <stp>0</stp>
        <stp>0</stp>
        <stp>0</stp>
        <tr r="I25" s="13"/>
      </tp>
      <tp>
        <v>0.77</v>
        <stp/>
        <stp>136</stp>
        <stp>MSFT</stp>
        <stp>CASHFLOWPERSHAREQ_X</stp>
        <stp>6</stp>
        <stp>0</stp>
        <stp>0</stp>
        <stp>0</stp>
        <stp>0</stp>
        <tr r="H48" s="1"/>
      </tp>
      <tp>
        <v>-0.1</v>
        <stp/>
        <stp>136</stp>
        <stp>MSFT</stp>
        <stp>CASHFLOWPERSHAREQ_X</stp>
        <stp>7</stp>
        <stp>0</stp>
        <stp>0</stp>
        <stp>0</stp>
        <stp>0</stp>
        <tr r="I48" s="1"/>
      </tp>
      <tp>
        <v>0.35</v>
        <stp/>
        <stp>136</stp>
        <stp>MSFT</stp>
        <stp>CASHFLOWPERSHAREQ_X</stp>
        <stp>4</stp>
        <stp>0</stp>
        <stp>0</stp>
        <stp>0</stp>
        <stp>0</stp>
        <tr r="F48" s="1"/>
      </tp>
      <tp>
        <v>-0.47</v>
        <stp/>
        <stp>136</stp>
        <stp>MSFT</stp>
        <stp>CASHFLOWPERSHAREQ_X</stp>
        <stp>5</stp>
        <stp>0</stp>
        <stp>0</stp>
        <stp>0</stp>
        <stp>0</stp>
        <tr r="G48" s="1"/>
      </tp>
      <tp>
        <v>-1.0900000000000001</v>
        <stp/>
        <stp>136</stp>
        <stp>MSFT</stp>
        <stp>CASHFLOWPERSHAREQ_X</stp>
        <stp>2</stp>
        <stp>0</stp>
        <stp>0</stp>
        <stp>0</stp>
        <stp>0</stp>
        <tr r="D48" s="1"/>
      </tp>
      <tp>
        <v>0.41</v>
        <stp/>
        <stp>136</stp>
        <stp>MSFT</stp>
        <stp>CASHFLOWPERSHAREQ_X</stp>
        <stp>3</stp>
        <stp>0</stp>
        <stp>0</stp>
        <stp>0</stp>
        <stp>0</stp>
        <tr r="E48" s="1"/>
      </tp>
      <tp>
        <v>0.59</v>
        <stp/>
        <stp>136</stp>
        <stp>MSFT</stp>
        <stp>CASHFLOWPERSHAREQ_X</stp>
        <stp>1</stp>
        <stp>0</stp>
        <stp>0</stp>
        <stp>0</stp>
        <stp>0</stp>
        <tr r="C48" s="1"/>
      </tp>
      <tp>
        <v>0.12</v>
        <stp/>
        <stp>136</stp>
        <stp>MSFT</stp>
        <stp>CASHFLOWPERSHAREQ_X</stp>
        <stp>8</stp>
        <stp>0</stp>
        <stp>0</stp>
        <stp>0</stp>
        <stp>0</stp>
        <tr r="J48" s="1"/>
      </tp>
      <tp>
        <v>32.1</v>
        <stp/>
        <stp>136</stp>
        <stp>MSFT</stp>
        <stp>PRICEPERFCFPSAVEY_X</stp>
        <stp>3</stp>
        <stp>0</stp>
        <stp>0</stp>
        <stp>0</stp>
        <stp>0</stp>
        <tr r="J10" s="6"/>
      </tp>
      <tp>
        <v>30</v>
        <stp/>
        <stp>136</stp>
        <stp>MSFT</stp>
        <stp>PRICEPERFCFPSAVEY_X</stp>
        <stp>2</stp>
        <stp>0</stp>
        <stp>0</stp>
        <stp>0</stp>
        <stp>0</stp>
        <tr r="I10" s="6"/>
      </tp>
      <tp>
        <v>39.9</v>
        <stp/>
        <stp>136</stp>
        <stp>MSFT</stp>
        <stp>PRICEPERFCFPSAVEY_X</stp>
        <stp>1</stp>
        <stp>0</stp>
        <stp>0</stp>
        <stp>0</stp>
        <stp>0</stp>
        <tr r="H10" s="6"/>
      </tp>
      <tp>
        <v>11</v>
        <stp/>
        <stp>136</stp>
        <stp>MSFT</stp>
        <stp>PRICEPERFCFPSAVEY_X</stp>
        <stp>7</stp>
        <stp>0</stp>
        <stp>0</stp>
        <stp>0</stp>
        <stp>0</stp>
        <tr r="N10" s="6"/>
      </tp>
      <tp>
        <v>16.100000000000001</v>
        <stp/>
        <stp>136</stp>
        <stp>MSFT</stp>
        <stp>PRICEPERFCFPSAVEY_X</stp>
        <stp>6</stp>
        <stp>0</stp>
        <stp>0</stp>
        <stp>0</stp>
        <stp>0</stp>
        <tr r="M10" s="6"/>
      </tp>
      <tp>
        <v>19.899999999999999</v>
        <stp/>
        <stp>136</stp>
        <stp>MSFT</stp>
        <stp>PRICEPERFCFPSAVEY_X</stp>
        <stp>5</stp>
        <stp>0</stp>
        <stp>0</stp>
        <stp>0</stp>
        <stp>0</stp>
        <tr r="L10" s="6"/>
      </tp>
      <tp>
        <v>30.1</v>
        <stp/>
        <stp>136</stp>
        <stp>MSFT</stp>
        <stp>PRICEPERFCFPSAVEY_X</stp>
        <stp>4</stp>
        <stp>0</stp>
        <stp>0</stp>
        <stp>0</stp>
        <stp>0</stp>
        <tr r="K10" s="6"/>
      </tp>
      <tp>
        <v>33.799999999999997</v>
        <stp/>
        <stp>136</stp>
        <stp>BOOM</stp>
        <stp>EPSGROWTH5Y</stp>
        <stp>0</stp>
        <stp>0</stp>
        <stp>0</stp>
        <stp>0</stp>
        <stp>0</stp>
        <tr r="E11" s="3"/>
      </tp>
      <tp>
        <v>11.9</v>
        <stp/>
        <stp>136</stp>
        <stp>BOOM</stp>
        <stp>EPSGROWTH7Y</stp>
        <stp>0</stp>
        <stp>0</stp>
        <stp>0</stp>
        <stp>0</stp>
        <stp>0</stp>
        <tr r="F11" s="3"/>
      </tp>
      <tp>
        <v>256</v>
        <stp/>
        <stp>136</stp>
        <stp>BOOM</stp>
        <stp>EPSGROWTH1Y</stp>
        <stp>0</stp>
        <stp>0</stp>
        <stp>0</stp>
        <stp>0</stp>
        <stp>0</stp>
        <tr r="C11" s="3"/>
      </tp>
      <tp>
        <v>47.2</v>
        <stp/>
        <stp>136</stp>
        <stp>BOOM</stp>
        <stp>EPSGROWTH3Y</stp>
        <stp>0</stp>
        <stp>0</stp>
        <stp>0</stp>
        <stp>0</stp>
        <stp>0</stp>
        <tr r="D11" s="3"/>
      </tp>
      <tp>
        <v>950</v>
        <stp/>
        <stp>136</stp>
        <stp>MSFT</stp>
        <stp>CASHFLOWQ_X</stp>
        <stp>8</stp>
        <stp>0</stp>
        <stp>0</stp>
        <stp>0</stp>
        <stp>0</stp>
        <tr r="J43" s="1"/>
      </tp>
      <tp>
        <v>5975</v>
        <stp/>
        <stp>136</stp>
        <stp>MSFT</stp>
        <stp>CASHFLOWQ_X</stp>
        <stp>6</stp>
        <stp>0</stp>
        <stp>0</stp>
        <stp>0</stp>
        <stp>0</stp>
        <tr r="H43" s="1"/>
      </tp>
      <tp>
        <v>-779</v>
        <stp/>
        <stp>136</stp>
        <stp>MSFT</stp>
        <stp>CASHFLOWQ_X</stp>
        <stp>7</stp>
        <stp>0</stp>
        <stp>0</stp>
        <stp>0</stp>
        <stp>0</stp>
        <tr r="I43" s="1"/>
      </tp>
      <tp>
        <v>2725</v>
        <stp/>
        <stp>136</stp>
        <stp>MSFT</stp>
        <stp>CASHFLOWQ_X</stp>
        <stp>4</stp>
        <stp>0</stp>
        <stp>0</stp>
        <stp>0</stp>
        <stp>0</stp>
        <tr r="F43" s="1"/>
      </tp>
      <tp>
        <v>-3638</v>
        <stp/>
        <stp>136</stp>
        <stp>MSFT</stp>
        <stp>CASHFLOWQ_X</stp>
        <stp>5</stp>
        <stp>0</stp>
        <stp>0</stp>
        <stp>0</stp>
        <stp>0</stp>
        <tr r="G43" s="1"/>
      </tp>
      <tp>
        <v>-8499</v>
        <stp/>
        <stp>136</stp>
        <stp>MSFT</stp>
        <stp>CASHFLOWQ_X</stp>
        <stp>2</stp>
        <stp>0</stp>
        <stp>0</stp>
        <stp>0</stp>
        <stp>0</stp>
        <tr r="D43" s="1"/>
      </tp>
      <tp>
        <v>3191</v>
        <stp/>
        <stp>136</stp>
        <stp>MSFT</stp>
        <stp>CASHFLOWQ_X</stp>
        <stp>3</stp>
        <stp>0</stp>
        <stp>0</stp>
        <stp>0</stp>
        <stp>0</stp>
        <tr r="E43" s="1"/>
      </tp>
      <tp>
        <v>4574</v>
        <stp/>
        <stp>136</stp>
        <stp>MSFT</stp>
        <stp>CASHFLOWQ_X</stp>
        <stp>1</stp>
        <stp>0</stp>
        <stp>0</stp>
        <stp>0</stp>
        <stp>0</stp>
        <tr r="C43" s="1"/>
      </tp>
      <tp t="s">
        <v>Inve$tWare Relative Value</v>
        <stp/>
        <stp>137</stp>
        <stp/>
        <stp>INVE$TWARERELATIVEVALUE</stp>
        <stp>0</stp>
        <stp>0</stp>
        <stp>0</stp>
        <stp>0</stp>
        <stp>0</stp>
        <tr r="B27" s="9"/>
      </tp>
      <tp>
        <v>61</v>
        <stp/>
        <stp>136</stp>
        <stp>BOOM</stp>
        <stp>PCNTRANKEPSGROWTH7Y</stp>
        <stp>0</stp>
        <stp>0</stp>
        <stp>0</stp>
        <stp>0</stp>
        <stp>0</stp>
        <tr r="F53" s="3"/>
      </tp>
      <tp>
        <v>85</v>
        <stp/>
        <stp>136</stp>
        <stp>BOOM</stp>
        <stp>PCNTRANKEPSGROWTH5Y</stp>
        <stp>0</stp>
        <stp>0</stp>
        <stp>0</stp>
        <stp>0</stp>
        <stp>0</stp>
        <tr r="E53" s="3"/>
      </tp>
      <tp>
        <v>85</v>
        <stp/>
        <stp>136</stp>
        <stp>BOOM</stp>
        <stp>PCNTRANKEPSGROWTH3Y</stp>
        <stp>0</stp>
        <stp>0</stp>
        <stp>0</stp>
        <stp>0</stp>
        <stp>0</stp>
        <tr r="D53" s="3"/>
      </tp>
      <tp>
        <v>95</v>
        <stp/>
        <stp>136</stp>
        <stp>BOOM</stp>
        <stp>PCNTRANKEPSGROWTH1Y</stp>
        <stp>0</stp>
        <stp>0</stp>
        <stp>0</stp>
        <stp>0</stp>
        <stp>0</stp>
        <tr r="C53" s="3"/>
      </tp>
      <tp>
        <v>79</v>
        <stp/>
        <stp>136</stp>
        <stp>MSFT</stp>
        <stp>PCNTRANKRETURNONASSETSY_X</stp>
        <stp>1</stp>
        <stp>0</stp>
        <stp>0</stp>
        <stp>0</stp>
        <stp>0</stp>
        <tr r="D91" s="7"/>
      </tp>
      <tp>
        <v>91</v>
        <stp/>
        <stp>136</stp>
        <stp>MSFT</stp>
        <stp>PCNTRANKRETURNONASSETSY_X</stp>
        <stp>2</stp>
        <stp>0</stp>
        <stp>0</stp>
        <stp>0</stp>
        <stp>0</stp>
        <tr r="E91" s="7"/>
      </tp>
      <tp>
        <v>91</v>
        <stp/>
        <stp>136</stp>
        <stp>MSFT</stp>
        <stp>PCNTRANKRETURNONASSETSY_X</stp>
        <stp>3</stp>
        <stp>0</stp>
        <stp>0</stp>
        <stp>0</stp>
        <stp>0</stp>
        <tr r="F91" s="7"/>
      </tp>
      <tp>
        <v>82</v>
        <stp/>
        <stp>136</stp>
        <stp>MSFT</stp>
        <stp>PCNTRANKRETURNONASSETSY_X</stp>
        <stp>4</stp>
        <stp>0</stp>
        <stp>0</stp>
        <stp>0</stp>
        <stp>0</stp>
        <tr r="G91" s="7"/>
      </tp>
      <tp>
        <v>93</v>
        <stp/>
        <stp>136</stp>
        <stp>MSFT</stp>
        <stp>PCNTRANKRETURNONASSETSY_X</stp>
        <stp>5</stp>
        <stp>0</stp>
        <stp>0</stp>
        <stp>0</stp>
        <stp>0</stp>
        <tr r="H91" s="7"/>
      </tp>
      <tp t="s">
        <v>NA</v>
        <stp/>
        <stp>136</stp>
        <stp>MSFT</stp>
        <stp>PCNTRANKRETURNONASSETSY_X</stp>
        <stp>6</stp>
        <stp>0</stp>
        <stp>0</stp>
        <stp>0</stp>
        <stp>0</stp>
        <tr r="I91" s="7"/>
      </tp>
      <tp t="s">
        <v>NA</v>
        <stp/>
        <stp>136</stp>
        <stp>MSFT</stp>
        <stp>PCNTRANKRETURNONASSETSY_X</stp>
        <stp>7</stp>
        <stp>0</stp>
        <stp>0</stp>
        <stp>0</stp>
        <stp>0</stp>
        <tr r="J91" s="7"/>
      </tp>
      <tp>
        <v>48.7</v>
        <stp/>
        <stp>136</stp>
        <stp>BOOM</stp>
        <stp>SALESGROWTHQ5TOQ1</stp>
        <stp>0</stp>
        <stp>0</stp>
        <stp>0</stp>
        <stp>0</stp>
        <stp>0</stp>
        <tr r="H6" s="3"/>
      </tp>
      <tp>
        <v>65.7</v>
        <stp/>
        <stp>136</stp>
        <stp>BOOM</stp>
        <stp>SALESGROWTHQ6TOQ2</stp>
        <stp>0</stp>
        <stp>0</stp>
        <stp>0</stp>
        <stp>0</stp>
        <stp>0</stp>
        <tr r="I6" s="3"/>
      </tp>
      <tp>
        <v>68.400000000000006</v>
        <stp/>
        <stp>136</stp>
        <stp>BOOM</stp>
        <stp>SALESGROWTHQ7TOQ3</stp>
        <stp>0</stp>
        <stp>0</stp>
        <stp>0</stp>
        <stp>0</stp>
        <stp>0</stp>
        <tr r="J6" s="3"/>
      </tp>
      <tp>
        <v>29.91</v>
        <stp/>
        <stp>136</stp>
        <stp>MSFT</stp>
        <stp>PEHIGHY_X</stp>
        <stp>1</stp>
        <stp>0</stp>
        <stp>0</stp>
        <stp>0</stp>
        <stp>0</stp>
        <tr r="C53" s="6"/>
      </tp>
      <tp>
        <v>26.89</v>
        <stp/>
        <stp>136</stp>
        <stp>MSFT</stp>
        <stp>PEHIGHY_X</stp>
        <stp>2</stp>
        <stp>0</stp>
        <stp>0</stp>
        <stp>0</stp>
        <stp>0</stp>
        <tr r="D53" s="6"/>
      </tp>
      <tp>
        <v>25.01</v>
        <stp/>
        <stp>136</stp>
        <stp>MSFT</stp>
        <stp>PEHIGHY_X</stp>
        <stp>3</stp>
        <stp>0</stp>
        <stp>0</stp>
        <stp>0</stp>
        <stp>0</stp>
        <tr r="E53" s="6"/>
      </tp>
      <tp>
        <v>38.479999999999997</v>
        <stp/>
        <stp>136</stp>
        <stp>MSFT</stp>
        <stp>PEHIGHY_X</stp>
        <stp>4</stp>
        <stp>0</stp>
        <stp>0</stp>
        <stp>0</stp>
        <stp>0</stp>
        <tr r="F53" s="6"/>
      </tp>
      <tp>
        <v>19.04</v>
        <stp/>
        <stp>136</stp>
        <stp>MSFT</stp>
        <stp>PEHIGHY_X</stp>
        <stp>5</stp>
        <stp>0</stp>
        <stp>0</stp>
        <stp>0</stp>
        <stp>0</stp>
        <tr r="G53" s="6"/>
      </tp>
      <tp>
        <v>1500</v>
        <stp/>
        <stp>136</stp>
        <stp>BEAT</stp>
        <stp>EMPLOYEES</stp>
        <stp>0</stp>
        <stp>0</stp>
        <stp>0</stp>
        <stp>0</stp>
        <stp>0</stp>
        <tr r="E5" s="13"/>
      </tp>
      <tp>
        <v>6.18</v>
        <stp/>
        <stp>136</stp>
        <stp>MSFT</stp>
        <stp>PRICEPERBOOKAVE5Y</stp>
        <stp>0</stp>
        <stp>0</stp>
        <stp>0</stp>
        <stp>0</stp>
        <stp>0</stp>
        <tr r="F7" s="6"/>
      </tp>
      <tp>
        <v>5.45</v>
        <stp/>
        <stp>136</stp>
        <stp>MSFT</stp>
        <stp>PRICEPERBOOKAVE7Y</stp>
        <stp>0</stp>
        <stp>0</stp>
        <stp>0</stp>
        <stp>0</stp>
        <stp>0</stp>
        <tr r="G7" s="6"/>
      </tp>
      <tp>
        <v>7.36</v>
        <stp/>
        <stp>136</stp>
        <stp>MSFT</stp>
        <stp>PRICEPERBOOKAVE3Y</stp>
        <stp>0</stp>
        <stp>0</stp>
        <stp>0</stp>
        <stp>0</stp>
        <stp>0</stp>
        <tr r="E7" s="6"/>
      </tp>
      <tp t="s">
        <v>Gross Operating Income</v>
        <stp/>
        <stp>137</stp>
        <stp/>
        <stp>GROSSOPERATINGINCOMEQ_X</stp>
        <stp>0</stp>
        <stp>0</stp>
        <stp>0</stp>
        <stp>0</stp>
        <stp>0</stp>
        <tr r="D14" s="13"/>
        <tr r="B15" s="12"/>
        <tr r="B17" s="1"/>
        <tr r="B15" s="11"/>
      </tp>
      <tp t="s">
        <v>Current Ratio</v>
        <stp/>
        <stp>137</stp>
        <stp/>
        <stp>CURRENTRATIOY_X</stp>
        <stp>0</stp>
        <stp>0</stp>
        <stp>0</stp>
        <stp>0</stp>
        <stp>0</stp>
        <tr r="B15" s="7"/>
      </tp>
      <tp>
        <v>7</v>
        <stp/>
        <stp>136</stp>
        <stp>AAPL</stp>
        <stp>SPLITFACTOR</stp>
        <stp>0</stp>
        <stp>0</stp>
        <stp>0</stp>
        <stp>0</stp>
        <stp>0</stp>
        <tr r="C18" s="5"/>
      </tp>
      <tp t="s">
        <v>% Rank-Current Ratio</v>
        <stp/>
        <stp>137</stp>
        <stp/>
        <stp>PCNTRANKCURRENTRATIOY_X</stp>
        <stp>0</stp>
        <stp>0</stp>
        <stp>0</stp>
        <stp>0</stp>
        <stp>0</stp>
        <tr r="B96" s="7"/>
      </tp>
      <tp>
        <v>154.27000000000001</v>
        <stp/>
        <stp>136</stp>
        <stp>AAPL</stp>
        <stp>PERELATIVEVALUATION</stp>
        <stp>0</stp>
        <stp>0</stp>
        <stp>0</stp>
        <stp>0</stp>
        <stp>0</stp>
        <tr r="C95" s="5"/>
      </tp>
      <tp>
        <v>-2.6</v>
        <stp/>
        <stp>136</stp>
        <stp>BOOM</stp>
        <stp>SECTORFREECASHFLOWGROWTH12M</stp>
        <stp>0</stp>
        <stp>0</stp>
        <stp>0</stp>
        <stp>0</stp>
        <stp>0</stp>
        <tr r="G44" s="3"/>
      </tp>
      <tp>
        <v>30.5</v>
        <stp/>
        <stp>136</stp>
        <stp>MSFT</stp>
        <stp>SECTORPEHIGHAVE7Y</stp>
        <stp>0</stp>
        <stp>0</stp>
        <stp>0</stp>
        <stp>0</stp>
        <stp>0</stp>
        <tr r="E46" s="6"/>
      </tp>
      <tp>
        <v>32.4</v>
        <stp/>
        <stp>136</stp>
        <stp>MSFT</stp>
        <stp>SECTORPEHIGHAVE5Y</stp>
        <stp>0</stp>
        <stp>0</stp>
        <stp>0</stp>
        <stp>0</stp>
        <stp>0</stp>
        <tr r="E45" s="6"/>
      </tp>
      <tp>
        <v>31.7</v>
        <stp/>
        <stp>136</stp>
        <stp>MSFT</stp>
        <stp>SECTORPEHIGHAVE3Y</stp>
        <stp>0</stp>
        <stp>0</stp>
        <stp>0</stp>
        <stp>0</stp>
        <stp>0</stp>
        <tr r="E44" s="6"/>
      </tp>
      <tp t="s">
        <v>% Rank-Yield</v>
        <stp/>
        <stp>137</stp>
        <stp/>
        <stp>PCNTRANKYIELD</stp>
        <stp>0</stp>
        <stp>0</stp>
        <stp>0</stp>
        <stp>0</stp>
        <stp>0</stp>
        <tr r="B35" s="6"/>
      </tp>
      <tp>
        <v>97</v>
        <stp/>
        <stp>136</stp>
        <stp>MSFT</stp>
        <stp>PCNTRANKPRICEPERCFPSAVE3Y</stp>
        <stp>0</stp>
        <stp>0</stp>
        <stp>0</stp>
        <stp>0</stp>
        <stp>0</stp>
        <tr r="E33" s="6"/>
      </tp>
      <tp t="s">
        <v>NA</v>
        <stp/>
        <stp>136</stp>
        <stp>MSFT</stp>
        <stp>PCNTRANKPRICEPERCFPSAVE7Y</stp>
        <stp>0</stp>
        <stp>0</stp>
        <stp>0</stp>
        <stp>0</stp>
        <stp>0</stp>
        <tr r="G33" s="6"/>
      </tp>
      <tp t="s">
        <v>NA</v>
        <stp/>
        <stp>136</stp>
        <stp>MSFT</stp>
        <stp>PCNTRANKPRICEPERCFPSAVE5Y</stp>
        <stp>0</stp>
        <stp>0</stp>
        <stp>0</stp>
        <stp>0</stp>
        <stp>0</stp>
        <tr r="F33" s="6"/>
      </tp>
      <tp>
        <v>13.1</v>
        <stp/>
        <stp>136</stp>
        <stp>AAPL</stp>
        <stp>SECTORLTDEBTWORKINGCAPQ1</stp>
        <stp>0</stp>
        <stp>0</stp>
        <stp>0</stp>
        <stp>0</stp>
        <stp>0</stp>
        <tr r="E53" s="5"/>
      </tp>
      <tp>
        <v>87</v>
        <stp/>
        <stp>136</stp>
        <stp>AAPL</stp>
        <stp>52WEEKHIGHPRICEPCNT</stp>
        <stp>0</stp>
        <stp>0</stp>
        <stp>0</stp>
        <stp>0</stp>
        <stp>0</stp>
        <tr r="C25" s="5"/>
      </tp>
      <tp>
        <v>42</v>
        <stp/>
        <stp>136</stp>
        <stp>MSFT</stp>
        <stp>INDUSTRYPEHIGHAVE5Y</stp>
        <stp>0</stp>
        <stp>0</stp>
        <stp>0</stp>
        <stp>0</stp>
        <stp>0</stp>
        <tr r="D45" s="6"/>
      </tp>
      <tp>
        <v>41.8</v>
        <stp/>
        <stp>136</stp>
        <stp>MSFT</stp>
        <stp>INDUSTRYPEHIGHAVE7Y</stp>
        <stp>0</stp>
        <stp>0</stp>
        <stp>0</stp>
        <stp>0</stp>
        <stp>0</stp>
        <tr r="D46" s="6"/>
      </tp>
      <tp>
        <v>45.1</v>
        <stp/>
        <stp>136</stp>
        <stp>MSFT</stp>
        <stp>INDUSTRYPEHIGHAVE3Y</stp>
        <stp>0</stp>
        <stp>0</stp>
        <stp>0</stp>
        <stp>0</stp>
        <stp>0</stp>
        <tr r="D44" s="6"/>
      </tp>
      <tp t="s">
        <v>Current Liabilities</v>
        <stp/>
        <stp>137</stp>
        <stp/>
        <stp>CURRENTLIABILITIESQ_X</stp>
        <stp>0</stp>
        <stp>0</stp>
        <stp>0</stp>
        <stp>0</stp>
        <stp>0</stp>
        <tr r="D36" s="13"/>
        <tr r="B72" s="11"/>
        <tr r="B72" s="12"/>
        <tr r="B74" s="1"/>
      </tp>
      <tp>
        <v>5.3</v>
        <stp/>
        <stp>136</stp>
        <stp>BOOM</stp>
        <stp>INDUSTRYNETINCOMEGROWTH7Y</stp>
        <stp>0</stp>
        <stp>0</stp>
        <stp>0</stp>
        <stp>0</stp>
        <stp>0</stp>
        <tr r="F24" s="3"/>
      </tp>
      <tp>
        <v>20.6</v>
        <stp/>
        <stp>136</stp>
        <stp>BOOM</stp>
        <stp>INDUSTRYNETINCOMEGROWTH5Y</stp>
        <stp>0</stp>
        <stp>0</stp>
        <stp>0</stp>
        <stp>0</stp>
        <stp>0</stp>
        <tr r="E24" s="3"/>
      </tp>
      <tp>
        <v>38.299999999999997</v>
        <stp/>
        <stp>136</stp>
        <stp>BOOM</stp>
        <stp>INDUSTRYNETINCOMEGROWTH3Y</stp>
        <stp>0</stp>
        <stp>0</stp>
        <stp>0</stp>
        <stp>0</stp>
        <stp>0</stp>
        <tr r="D24" s="3"/>
      </tp>
      <tp>
        <v>54.8</v>
        <stp/>
        <stp>136</stp>
        <stp>BOOM</stp>
        <stp>INDUSTRYNETINCOMEGROWTH1Y</stp>
        <stp>0</stp>
        <stp>0</stp>
        <stp>0</stp>
        <stp>0</stp>
        <stp>0</stp>
        <tr r="C24" s="3"/>
      </tp>
      <tp>
        <v>6.5</v>
        <stp/>
        <stp>136</stp>
        <stp>MSFT</stp>
        <stp>RETURNONASSETSY_X</stp>
        <stp>1</stp>
        <stp>0</stp>
        <stp>0</stp>
        <stp>0</stp>
        <stp>0</stp>
        <tr r="D10" s="7"/>
      </tp>
      <tp>
        <v>11.5</v>
        <stp/>
        <stp>136</stp>
        <stp>MSFT</stp>
        <stp>RETURNONASSETSY_X</stp>
        <stp>2</stp>
        <stp>0</stp>
        <stp>0</stp>
        <stp>0</stp>
        <stp>0</stp>
        <tr r="E10" s="7"/>
      </tp>
      <tp>
        <v>11.2</v>
        <stp/>
        <stp>136</stp>
        <stp>MSFT</stp>
        <stp>RETURNONASSETSY_X</stp>
        <stp>3</stp>
        <stp>0</stp>
        <stp>0</stp>
        <stp>0</stp>
        <stp>0</stp>
        <tr r="F10" s="7"/>
      </tp>
      <tp>
        <v>7</v>
        <stp/>
        <stp>136</stp>
        <stp>MSFT</stp>
        <stp>RETURNONASSETSY_X</stp>
        <stp>4</stp>
        <stp>0</stp>
        <stp>0</stp>
        <stp>0</stp>
        <stp>0</stp>
        <tr r="G10" s="7"/>
      </tp>
      <tp>
        <v>14</v>
        <stp/>
        <stp>136</stp>
        <stp>MSFT</stp>
        <stp>RETURNONASSETSY_X</stp>
        <stp>5</stp>
        <stp>0</stp>
        <stp>0</stp>
        <stp>0</stp>
        <stp>0</stp>
        <tr r="H10" s="7"/>
      </tp>
      <tp>
        <v>16.600000000000001</v>
        <stp/>
        <stp>136</stp>
        <stp>MSFT</stp>
        <stp>RETURNONASSETSY_X</stp>
        <stp>6</stp>
        <stp>0</stp>
        <stp>0</stp>
        <stp>0</stp>
        <stp>0</stp>
        <tr r="I10" s="7"/>
      </tp>
      <tp>
        <v>14.8</v>
        <stp/>
        <stp>136</stp>
        <stp>MSFT</stp>
        <stp>RETURNONASSETSY_X</stp>
        <stp>7</stp>
        <stp>0</stp>
        <stp>0</stp>
        <stp>0</stp>
        <stp>0</stp>
        <tr r="J10" s="7"/>
      </tp>
      <tp>
        <v>89</v>
        <stp/>
        <stp>136</stp>
        <stp>MSFT</stp>
        <stp>PCNTRANKPRICEPERBOOKAVE3Y</stp>
        <stp>0</stp>
        <stp>0</stp>
        <stp>0</stp>
        <stp>0</stp>
        <stp>0</stp>
        <tr r="E31" s="6"/>
      </tp>
      <tp>
        <v>87</v>
        <stp/>
        <stp>136</stp>
        <stp>MSFT</stp>
        <stp>PCNTRANKPRICEPERBOOKAVE7Y</stp>
        <stp>0</stp>
        <stp>0</stp>
        <stp>0</stp>
        <stp>0</stp>
        <stp>0</stp>
        <tr r="G31" s="6"/>
      </tp>
      <tp>
        <v>88</v>
        <stp/>
        <stp>136</stp>
        <stp>MSFT</stp>
        <stp>PCNTRANKPRICEPERBOOKAVE5Y</stp>
        <stp>0</stp>
        <stp>0</stp>
        <stp>0</stp>
        <stp>0</stp>
        <stp>0</stp>
        <tr r="F31" s="6"/>
      </tp>
      <tp>
        <v>0</v>
        <stp/>
        <stp>136</stp>
        <stp>MSFT</stp>
        <stp>EPSESTPCNTREVLASTMONTHY0</stp>
        <stp>0</stp>
        <stp>0</stp>
        <stp>0</stp>
        <stp>0</stp>
        <stp>0</stp>
        <tr r="E16" s="8"/>
      </tp>
      <tp>
        <v>-0.1</v>
        <stp/>
        <stp>136</stp>
        <stp>MSFT</stp>
        <stp>EPSESTPCNTREVLASTMONTHQ0</stp>
        <stp>0</stp>
        <stp>0</stp>
        <stp>0</stp>
        <stp>0</stp>
        <stp>0</stp>
        <tr r="C16" s="8"/>
      </tp>
      <tp t="s">
        <v>LT Debt/Working Capital</v>
        <stp/>
        <stp>137</stp>
        <stp/>
        <stp>LTDEBTWORKINGCAPITALQ1</stp>
        <stp>1</stp>
        <stp>0</stp>
        <stp>0</stp>
        <stp>0</stp>
        <stp>0</stp>
        <tr r="B53" s="5"/>
      </tp>
      <tp>
        <v>64</v>
        <stp/>
        <stp>136</stp>
        <stp>MSFT</stp>
        <stp>TOTALLIABILITIESASSETSQ1</stp>
        <stp>0</stp>
        <stp>0</stp>
        <stp>0</stp>
        <stp>0</stp>
        <stp>0</stp>
        <tr r="C20" s="7"/>
      </tp>
      <tp>
        <v>38.799999999999997</v>
        <stp/>
        <stp>136</stp>
        <stp>AAPL</stp>
        <stp>SECTORFLOAT</stp>
        <stp>0</stp>
        <stp>0</stp>
        <stp>0</stp>
        <stp>0</stp>
        <stp>0</stp>
        <tr r="E37" s="5"/>
      </tp>
      <tp t="s">
        <v>Pre-Tax Income</v>
        <stp/>
        <stp>137</stp>
        <stp/>
        <stp>PRETAXINCOMEQ_X</stp>
        <stp>0</stp>
        <stp>0</stp>
        <stp>0</stp>
        <stp>0</stp>
        <stp>0</stp>
        <tr r="B19" s="11"/>
        <tr r="B19" s="12"/>
        <tr r="B21" s="1"/>
      </tp>
      <tp>
        <v>-7.4</v>
        <stp/>
        <stp>136</stp>
        <stp>MSFT</stp>
        <stp>INDUSTRYRETURNONASSETS12M</stp>
        <stp>0</stp>
        <stp>0</stp>
        <stp>0</stp>
        <stp>0</stp>
        <stp>0</stp>
        <tr r="C37" s="7"/>
      </tp>
      <tp t="s">
        <v>Industry Quick ratio</v>
        <stp/>
        <stp>137</stp>
        <stp/>
        <stp>INDUSTRYQUICKRATIOY_X</stp>
        <stp>0</stp>
        <stp>0</stp>
        <stp>0</stp>
        <stp>0</stp>
        <stp>0</stp>
        <tr r="B41" s="7"/>
      </tp>
      <tp t="s">
        <v>EPS-Diluted</v>
        <stp/>
        <stp>137</stp>
        <stp/>
        <stp>EPSDILUTEDQ_X</stp>
        <stp>0</stp>
        <stp>0</stp>
        <stp>0</stp>
        <stp>0</stp>
        <stp>0</stp>
        <tr r="B33" s="1"/>
        <tr r="B31" s="12"/>
        <tr r="B31" s="11"/>
      </tp>
      <tp>
        <v>-100</v>
        <stp/>
        <stp>136</stp>
        <stp>BOOM</stp>
        <stp>DIVIDENDGROWTH12M</stp>
        <stp>0</stp>
        <stp>0</stp>
        <stp>0</stp>
        <stp>0</stp>
        <stp>0</stp>
        <tr r="G17" s="3"/>
      </tp>
      <tp t="s">
        <v>Sector LT Debt/equity</v>
        <stp/>
        <stp>137</stp>
        <stp/>
        <stp>SECTORLTDEBTEQUITYY_X</stp>
        <stp>0</stp>
        <stp>0</stp>
        <stp>0</stp>
        <stp>0</stp>
        <stp>0</stp>
        <tr r="B76" s="7"/>
      </tp>
      <tp>
        <v>0</v>
        <stp/>
        <stp>136</stp>
        <stp>MSFT</stp>
        <stp>EPSESTPCNTREVLASTMONTHY1</stp>
        <stp>0</stp>
        <stp>0</stp>
        <stp>0</stp>
        <stp>0</stp>
        <stp>0</stp>
        <tr r="F16" s="8"/>
      </tp>
      <tp>
        <v>-0.6</v>
        <stp/>
        <stp>136</stp>
        <stp>MSFT</stp>
        <stp>EPSESTPCNTREVLASTMONTHQ1</stp>
        <stp>0</stp>
        <stp>0</stp>
        <stp>0</stp>
        <stp>0</stp>
        <stp>0</stp>
        <tr r="D16" s="8"/>
      </tp>
      <tp t="s">
        <v>NA</v>
        <stp/>
        <stp>136</stp>
        <stp>BOOM</stp>
        <stp>CASHFLOW12M</stp>
        <stp>0</stp>
        <stp>0</stp>
        <stp>0</stp>
        <stp>0</stp>
        <stp>0</stp>
        <tr r="L41" s="12"/>
        <tr r="L41" s="11"/>
      </tp>
      <tp t="s">
        <v>NA</v>
        <stp/>
        <stp>136</stp>
        <stp>BOOM</stp>
        <stp>CASHFLOWPERSHARE12M</stp>
        <stp>0</stp>
        <stp>0</stp>
        <stp>0</stp>
        <stp>0</stp>
        <stp>0</stp>
        <tr r="L46" s="11"/>
        <tr r="L46" s="12"/>
      </tp>
      <tp t="s">
        <v>NO</v>
        <stp/>
        <stp>136</stp>
        <stp>AAPL</stp>
        <stp>DRP</stp>
        <stp>0</stp>
        <stp>0</stp>
        <stp>0</stp>
        <stp>0</stp>
        <stp>0</stp>
        <tr r="G5" s="5"/>
      </tp>
      <tp>
        <v>1.8</v>
        <stp/>
        <stp>136</stp>
        <stp>MSFT</stp>
        <stp>SECTORQUICKRATIOY_X</stp>
        <stp>7</stp>
        <stp>0</stp>
        <stp>0</stp>
        <stp>0</stp>
        <stp>0</stp>
        <tr r="J68" s="7"/>
      </tp>
      <tp>
        <v>1.8</v>
        <stp/>
        <stp>136</stp>
        <stp>MSFT</stp>
        <stp>SECTORQUICKRATIOY_X</stp>
        <stp>6</stp>
        <stp>0</stp>
        <stp>0</stp>
        <stp>0</stp>
        <stp>0</stp>
        <tr r="I68" s="7"/>
      </tp>
      <tp t="s">
        <v>95014-0642</v>
        <stp/>
        <stp>136</stp>
        <stp>AAPL</stp>
        <stp>ZIP</stp>
        <stp>0</stp>
        <stp>0</stp>
        <stp>0</stp>
        <stp>0</stp>
        <stp>0</stp>
        <tr r="C8" s="5"/>
      </tp>
      <tp>
        <v>1.8</v>
        <stp/>
        <stp>136</stp>
        <stp>MSFT</stp>
        <stp>SECTORQUICKRATIOY_X</stp>
        <stp>5</stp>
        <stp>0</stp>
        <stp>0</stp>
        <stp>0</stp>
        <stp>0</stp>
        <tr r="H68" s="7"/>
      </tp>
      <tp>
        <v>1.7</v>
        <stp/>
        <stp>136</stp>
        <stp>MSFT</stp>
        <stp>SECTORQUICKRATIOY_X</stp>
        <stp>4</stp>
        <stp>0</stp>
        <stp>0</stp>
        <stp>0</stp>
        <stp>0</stp>
        <tr r="G68" s="7"/>
      </tp>
      <tp>
        <v>1.6</v>
        <stp/>
        <stp>136</stp>
        <stp>MSFT</stp>
        <stp>SECTORQUICKRATIOY_X</stp>
        <stp>3</stp>
        <stp>0</stp>
        <stp>0</stp>
        <stp>0</stp>
        <stp>0</stp>
        <tr r="F68" s="7"/>
      </tp>
      <tp>
        <v>1.5</v>
        <stp/>
        <stp>136</stp>
        <stp>MSFT</stp>
        <stp>SECTORQUICKRATIOY_X</stp>
        <stp>2</stp>
        <stp>0</stp>
        <stp>0</stp>
        <stp>0</stp>
        <stp>0</stp>
        <tr r="E68" s="7"/>
      </tp>
      <tp>
        <v>1.5</v>
        <stp/>
        <stp>136</stp>
        <stp>MSFT</stp>
        <stp>SECTORQUICKRATIOY_X</stp>
        <stp>1</stp>
        <stp>0</stp>
        <stp>0</stp>
        <stp>0</stp>
        <stp>0</stp>
        <tr r="D68" s="7"/>
      </tp>
      <tp>
        <v>45.3</v>
        <stp/>
        <stp>136</stp>
        <stp>MSFT</stp>
        <stp>TOTALLIABILITIESASSETSY_X</stp>
        <stp>7</stp>
        <stp>0</stp>
        <stp>0</stp>
        <stp>0</stp>
        <stp>0</stp>
        <tr r="J20" s="7"/>
      </tp>
      <tp>
        <v>44.6</v>
        <stp/>
        <stp>136</stp>
        <stp>MSFT</stp>
        <stp>TOTALLIABILITIESASSETSY_X</stp>
        <stp>6</stp>
        <stp>0</stp>
        <stp>0</stp>
        <stp>0</stp>
        <stp>0</stp>
        <tr r="I20" s="7"/>
      </tp>
      <tp>
        <v>47.9</v>
        <stp/>
        <stp>136</stp>
        <stp>MSFT</stp>
        <stp>TOTALLIABILITIESASSETSY_X</stp>
        <stp>5</stp>
        <stp>0</stp>
        <stp>0</stp>
        <stp>0</stp>
        <stp>0</stp>
        <tr r="H20" s="7"/>
      </tp>
      <tp>
        <v>54.1</v>
        <stp/>
        <stp>136</stp>
        <stp>MSFT</stp>
        <stp>TOTALLIABILITIESASSETSY_X</stp>
        <stp>4</stp>
        <stp>0</stp>
        <stp>0</stp>
        <stp>0</stp>
        <stp>0</stp>
        <tr r="G20" s="7"/>
      </tp>
      <tp>
        <v>62.8</v>
        <stp/>
        <stp>136</stp>
        <stp>MSFT</stp>
        <stp>TOTALLIABILITIESASSETSY_X</stp>
        <stp>3</stp>
        <stp>0</stp>
        <stp>0</stp>
        <stp>0</stp>
        <stp>0</stp>
        <tr r="F20" s="7"/>
      </tp>
      <tp>
        <v>65</v>
        <stp/>
        <stp>136</stp>
        <stp>MSFT</stp>
        <stp>TOTALLIABILITIESASSETSY_X</stp>
        <stp>2</stp>
        <stp>0</stp>
        <stp>0</stp>
        <stp>0</stp>
        <stp>0</stp>
        <tr r="E20" s="7"/>
      </tp>
      <tp>
        <v>68</v>
        <stp/>
        <stp>136</stp>
        <stp>MSFT</stp>
        <stp>TOTALLIABILITIESASSETSY_X</stp>
        <stp>1</stp>
        <stp>0</stp>
        <stp>0</stp>
        <stp>0</stp>
        <stp>0</stp>
        <tr r="D20" s="7"/>
      </tp>
      <tp>
        <v>142.13999999999999</v>
        <stp/>
        <stp>136</stp>
        <stp>MSFT</stp>
        <stp>VALUATIONPEANDEST</stp>
        <stp>0</stp>
        <stp>0</stp>
        <stp>0</stp>
        <stp>0</stp>
        <stp>0</stp>
        <tr r="C16" s="9"/>
      </tp>
      <tp t="s">
        <v>NA</v>
        <stp/>
        <stp>136</stp>
        <stp>AAPL</stp>
        <stp>FLASHPRETAXINCOME</stp>
        <stp>0</stp>
        <stp>0</stp>
        <stp>0</stp>
        <stp>0</stp>
        <stp>0</stp>
        <tr r="C82" s="5"/>
      </tp>
      <tp>
        <v>-8.34</v>
        <stp/>
        <stp>136</stp>
        <stp>BOOM</stp>
        <stp>DCFOCFQ_X</stp>
        <stp>4</stp>
        <stp>0</stp>
        <stp>0</stp>
        <stp>0</stp>
        <stp>0</stp>
        <tr r="F49" s="12"/>
        <tr r="F49" s="11"/>
      </tp>
      <tp>
        <v>-6.89</v>
        <stp/>
        <stp>136</stp>
        <stp>BOOM</stp>
        <stp>DCFOCFQ_X</stp>
        <stp>3</stp>
        <stp>0</stp>
        <stp>0</stp>
        <stp>0</stp>
        <stp>0</stp>
        <tr r="E49" s="11"/>
        <tr r="E49" s="12"/>
      </tp>
      <tp>
        <v>1.95</v>
        <stp/>
        <stp>136</stp>
        <stp>BOOM</stp>
        <stp>DCFOCFQ_X</stp>
        <stp>2</stp>
        <stp>0</stp>
        <stp>0</stp>
        <stp>0</stp>
        <stp>0</stp>
        <tr r="D49" s="11"/>
        <tr r="D49" s="12"/>
      </tp>
      <tp>
        <v>2.93</v>
        <stp/>
        <stp>136</stp>
        <stp>BOOM</stp>
        <stp>DCFOCFQ_X</stp>
        <stp>1</stp>
        <stp>0</stp>
        <stp>0</stp>
        <stp>0</stp>
        <stp>0</stp>
        <tr r="C49" s="11"/>
        <tr r="C49" s="12"/>
      </tp>
      <tp>
        <v>0</v>
        <stp/>
        <stp>136</stp>
        <stp>MSFT</stp>
        <stp>EPSGROWTHESTREVISIONSDOWN</stp>
        <stp>0</stp>
        <stp>0</stp>
        <stp>0</stp>
        <stp>0</stp>
        <stp>0</stp>
        <tr r="H18" s="8"/>
      </tp>
      <tp>
        <v>-0.2</v>
        <stp/>
        <stp>136</stp>
        <stp>MSFT</stp>
        <stp>EPSESTPCNTREVLASTMONTHY2</stp>
        <stp>0</stp>
        <stp>0</stp>
        <stp>0</stp>
        <stp>0</stp>
        <stp>0</stp>
        <tr r="G16" s="8"/>
      </tp>
      <tp t="s">
        <v>Industry LT Debt/equity</v>
        <stp/>
        <stp>137</stp>
        <stp/>
        <stp>INDUSTRYLTDEBTEQUITYY_X</stp>
        <stp>0</stp>
        <stp>0</stp>
        <stp>0</stp>
        <stp>0</stp>
        <stp>0</stp>
        <tr r="B49" s="7"/>
      </tp>
      <tp t="s">
        <v>Inve$tWare EPS Projection</v>
        <stp/>
        <stp>137</stp>
        <stp/>
        <stp>INVE$TWAREEPSPROJECTION</stp>
        <stp>0</stp>
        <stp>0</stp>
        <stp>0</stp>
        <stp>0</stp>
        <stp>0</stp>
        <tr r="B20" s="9"/>
      </tp>
      <tp>
        <v>2.7</v>
        <stp/>
        <stp>136</stp>
        <stp>MSFT</stp>
        <stp>YIELDAVEY_X</stp>
        <stp>6</stp>
        <stp>0</stp>
        <stp>0</stp>
        <stp>0</stp>
        <stp>0</stp>
        <tr r="M11" s="6"/>
      </tp>
      <tp>
        <v>2.7</v>
        <stp/>
        <stp>136</stp>
        <stp>MSFT</stp>
        <stp>YIELDAVEY_X</stp>
        <stp>7</stp>
        <stp>0</stp>
        <stp>0</stp>
        <stp>0</stp>
        <stp>0</stp>
        <tr r="N11" s="6"/>
      </tp>
      <tp>
        <v>2.5</v>
        <stp/>
        <stp>136</stp>
        <stp>MSFT</stp>
        <stp>YIELDAVEY_X</stp>
        <stp>4</stp>
        <stp>0</stp>
        <stp>0</stp>
        <stp>0</stp>
        <stp>0</stp>
        <tr r="K11" s="6"/>
      </tp>
      <tp>
        <v>2.5</v>
        <stp/>
        <stp>136</stp>
        <stp>MSFT</stp>
        <stp>YIELDAVEY_X</stp>
        <stp>5</stp>
        <stp>0</stp>
        <stp>0</stp>
        <stp>0</stp>
        <stp>0</stp>
        <tr r="L11" s="6"/>
      </tp>
      <tp>
        <v>2</v>
        <stp/>
        <stp>136</stp>
        <stp>MSFT</stp>
        <stp>YIELDAVEY_X</stp>
        <stp>2</stp>
        <stp>0</stp>
        <stp>0</stp>
        <stp>0</stp>
        <stp>0</stp>
        <tr r="I11" s="6"/>
      </tp>
      <tp>
        <v>2.5</v>
        <stp/>
        <stp>136</stp>
        <stp>MSFT</stp>
        <stp>YIELDAVEY_X</stp>
        <stp>3</stp>
        <stp>0</stp>
        <stp>0</stp>
        <stp>0</stp>
        <stp>0</stp>
        <tr r="J11" s="6"/>
      </tp>
      <tp>
        <v>1.6</v>
        <stp/>
        <stp>136</stp>
        <stp>MSFT</stp>
        <stp>YIELDAVEY_X</stp>
        <stp>1</stp>
        <stp>0</stp>
        <stp>0</stp>
        <stp>0</stp>
        <stp>0</stp>
        <tr r="H11" s="6"/>
      </tp>
      <tp>
        <v>195.7</v>
        <stp/>
        <stp>136</stp>
        <stp>BEAT</stp>
        <stp>LTDEBTQ_X</stp>
        <stp>4</stp>
        <stp>0</stp>
        <stp>0</stp>
        <stp>0</stp>
        <stp>0</stp>
        <tr r="I51" s="13"/>
      </tp>
      <tp>
        <v>190.5</v>
        <stp/>
        <stp>136</stp>
        <stp>BEAT</stp>
        <stp>LTDEBTQ_X</stp>
        <stp>1</stp>
        <stp>0</stp>
        <stp>0</stp>
        <stp>0</stp>
        <stp>0</stp>
        <tr r="F51" s="13"/>
      </tp>
      <tp>
        <v>193.5</v>
        <stp/>
        <stp>136</stp>
        <stp>BEAT</stp>
        <stp>LTDEBTQ_X</stp>
        <stp>2</stp>
        <stp>0</stp>
        <stp>0</stp>
        <stp>0</stp>
        <stp>0</stp>
        <tr r="G51" s="13"/>
      </tp>
      <tp>
        <v>194.6</v>
        <stp/>
        <stp>136</stp>
        <stp>BEAT</stp>
        <stp>LTDEBTQ_X</stp>
        <stp>3</stp>
        <stp>0</stp>
        <stp>0</stp>
        <stp>0</stp>
        <stp>0</stp>
        <tr r="H51" s="13"/>
      </tp>
      <tp>
        <v>20</v>
        <stp/>
        <stp>136</stp>
        <stp>AAPL</stp>
        <stp>INDUSTRYINSTITUTIONALSHAREHOLDERS</stp>
        <stp>0</stp>
        <stp>0</stp>
        <stp>0</stp>
        <stp>0</stp>
        <stp>0</stp>
        <tr r="D29" s="5"/>
      </tp>
      <tp>
        <v>261</v>
        <stp/>
        <stp>136</stp>
        <stp>AAPL</stp>
        <stp>INSIDERSHARESSOLD</stp>
        <stp>0</stp>
        <stp>0</stp>
        <stp>0</stp>
        <stp>0</stp>
        <stp>0</stp>
        <tr r="C35" s="5"/>
      </tp>
      <tp>
        <v>0</v>
        <stp/>
        <stp>136</stp>
        <stp>BOOM</stp>
        <stp>PCNTRANKDIVIDENDGROWTH12M</stp>
        <stp>0</stp>
        <stp>0</stp>
        <stp>0</stp>
        <stp>0</stp>
        <stp>0</stp>
        <tr r="G59" s="3"/>
      </tp>
      <tp t="s">
        <v>Inve$tWare % Low to High</v>
        <stp/>
        <stp>137</stp>
        <stp/>
        <stp>INVE$TWAREPCNTLOWTOHIGH</stp>
        <stp>0</stp>
        <stp>0</stp>
        <stp>0</stp>
        <stp>0</stp>
        <stp>0</stp>
        <tr r="B24" s="9"/>
      </tp>
      <tp t="s">
        <v>NO</v>
        <stp/>
        <stp>136</stp>
        <stp>AAPL</stp>
        <stp>ADR</stp>
        <stp>0</stp>
        <stp>0</stp>
        <stp>0</stp>
        <stp>0</stp>
        <stp>0</stp>
        <tr r="G9" s="5"/>
      </tp>
      <tp t="s">
        <v>EPS-Diluted Continuing</v>
        <stp/>
        <stp>137</stp>
        <stp/>
        <stp>EPSDILUTEDCONTINUINGQ_X</stp>
        <stp>0</stp>
        <stp>0</stp>
        <stp>0</stp>
        <stp>0</stp>
        <stp>0</stp>
        <tr r="D70" s="13"/>
        <tr r="B32" s="12"/>
        <tr r="B32" s="11"/>
        <tr r="B34" s="1"/>
      </tp>
      <tp t="s">
        <v>NA</v>
        <stp/>
        <stp>136</stp>
        <stp>MSFT</stp>
        <stp>PCNTRANKTOTALLIABILITIESASSETSY_X</stp>
        <stp>7</stp>
        <stp>0</stp>
        <stp>0</stp>
        <stp>0</stp>
        <stp>0</stp>
        <tr r="J101" s="7"/>
      </tp>
      <tp t="s">
        <v>NA</v>
        <stp/>
        <stp>136</stp>
        <stp>MSFT</stp>
        <stp>PCNTRANKTOTALLIABILITIESASSETSY_X</stp>
        <stp>6</stp>
        <stp>0</stp>
        <stp>0</stp>
        <stp>0</stp>
        <stp>0</stp>
        <tr r="I101" s="7"/>
      </tp>
      <tp>
        <v>37</v>
        <stp/>
        <stp>136</stp>
        <stp>MSFT</stp>
        <stp>PCNTRANKTOTALLIABILITIESASSETSY_X</stp>
        <stp>5</stp>
        <stp>0</stp>
        <stp>0</stp>
        <stp>0</stp>
        <stp>0</stp>
        <tr r="H101" s="7"/>
      </tp>
      <tp>
        <v>43</v>
        <stp/>
        <stp>136</stp>
        <stp>MSFT</stp>
        <stp>PCNTRANKTOTALLIABILITIESASSETSY_X</stp>
        <stp>4</stp>
        <stp>0</stp>
        <stp>0</stp>
        <stp>0</stp>
        <stp>0</stp>
        <tr r="G101" s="7"/>
      </tp>
      <tp>
        <v>51</v>
        <stp/>
        <stp>136</stp>
        <stp>MSFT</stp>
        <stp>PCNTRANKTOTALLIABILITIESASSETSY_X</stp>
        <stp>3</stp>
        <stp>0</stp>
        <stp>0</stp>
        <stp>0</stp>
        <stp>0</stp>
        <tr r="F101" s="7"/>
      </tp>
      <tp>
        <v>55</v>
        <stp/>
        <stp>136</stp>
        <stp>MSFT</stp>
        <stp>PCNTRANKTOTALLIABILITIESASSETSY_X</stp>
        <stp>2</stp>
        <stp>0</stp>
        <stp>0</stp>
        <stp>0</stp>
        <stp>0</stp>
        <tr r="E101" s="7"/>
      </tp>
      <tp>
        <v>59</v>
        <stp/>
        <stp>136</stp>
        <stp>MSFT</stp>
        <stp>PCNTRANKTOTALLIABILITIESASSETSY_X</stp>
        <stp>1</stp>
        <stp>0</stp>
        <stp>0</stp>
        <stp>0</stp>
        <stp>0</stp>
        <tr r="D101" s="7"/>
      </tp>
      <tp t="s">
        <v>Float</v>
        <stp/>
        <stp>137</stp>
        <stp/>
        <stp>FLOAT</stp>
        <stp>0</stp>
        <stp>0</stp>
        <stp>0</stp>
        <stp>0</stp>
        <stp>0</stp>
        <tr r="B85" s="12"/>
        <tr r="B37" s="5"/>
        <tr r="B86" s="12"/>
      </tp>
      <tp>
        <v>0.45</v>
        <stp/>
        <stp>136</stp>
        <stp>BEAT</stp>
        <stp>EPSESTQ0</stp>
        <stp>0</stp>
        <stp>0</stp>
        <stp>0</stp>
        <stp>0</stp>
        <stp>0</stp>
        <tr r="E72" s="13"/>
      </tp>
      <tp>
        <v>1.9159999999999999</v>
        <stp/>
        <stp>136</stp>
        <stp>BEAT</stp>
        <stp>EPSESTY0</stp>
        <stp>0</stp>
        <stp>0</stp>
        <stp>0</stp>
        <stp>0</stp>
        <stp>0</stp>
        <tr r="E74" s="13"/>
      </tp>
      <tp>
        <v>8069</v>
        <stp/>
        <stp>136</stp>
        <stp>MSFT</stp>
        <stp>INCOMEAFTERTAXESQ_X</stp>
        <stp>8</stp>
        <stp>0</stp>
        <stp>0</stp>
        <stp>0</stp>
        <stp>0</stp>
        <tr r="J24" s="1"/>
      </tp>
      <tp>
        <v>8420</v>
        <stp/>
        <stp>136</stp>
        <stp>MSFT</stp>
        <stp>INCOMEAFTERTAXESQ_X</stp>
        <stp>2</stp>
        <stp>0</stp>
        <stp>0</stp>
        <stp>0</stp>
        <stp>0</stp>
        <tr r="D24" s="1"/>
      </tp>
      <tp>
        <v>8824</v>
        <stp/>
        <stp>136</stp>
        <stp>MSFT</stp>
        <stp>INCOMEAFTERTAXESQ_X</stp>
        <stp>3</stp>
        <stp>0</stp>
        <stp>0</stp>
        <stp>0</stp>
        <stp>0</stp>
        <tr r="E24" s="1"/>
      </tp>
      <tp>
        <v>8809</v>
        <stp/>
        <stp>136</stp>
        <stp>MSFT</stp>
        <stp>INCOMEAFTERTAXESQ_X</stp>
        <stp>1</stp>
        <stp>0</stp>
        <stp>0</stp>
        <stp>0</stp>
        <stp>0</stp>
        <tr r="C24" s="1"/>
      </tp>
      <tp>
        <v>7498</v>
        <stp/>
        <stp>136</stp>
        <stp>MSFT</stp>
        <stp>INCOMEAFTERTAXESQ_X</stp>
        <stp>6</stp>
        <stp>0</stp>
        <stp>0</stp>
        <stp>0</stp>
        <stp>0</stp>
        <tr r="H24" s="1"/>
      </tp>
      <tp>
        <v>6576</v>
        <stp/>
        <stp>136</stp>
        <stp>MSFT</stp>
        <stp>INCOMEAFTERTAXESQ_X</stp>
        <stp>7</stp>
        <stp>0</stp>
        <stp>0</stp>
        <stp>0</stp>
        <stp>0</stp>
        <tr r="I24" s="1"/>
      </tp>
      <tp>
        <v>8769</v>
        <stp/>
        <stp>136</stp>
        <stp>MSFT</stp>
        <stp>INCOMEAFTERTAXESQ_X</stp>
        <stp>4</stp>
        <stp>0</stp>
        <stp>0</stp>
        <stp>0</stp>
        <stp>0</stp>
        <tr r="F24" s="1"/>
      </tp>
      <tp>
        <v>7424</v>
        <stp/>
        <stp>136</stp>
        <stp>MSFT</stp>
        <stp>INCOMEAFTERTAXESQ_X</stp>
        <stp>5</stp>
        <stp>0</stp>
        <stp>0</stp>
        <stp>0</stp>
        <stp>0</stp>
        <tr r="G24" s="1"/>
      </tp>
      <tp>
        <v>24.65</v>
        <stp/>
        <stp>136</stp>
        <stp>MSFT</stp>
        <stp>PRICEM_X</stp>
        <stp>120</stp>
        <stp>0</stp>
        <stp>0</stp>
        <stp>0</stp>
        <stp>0</stp>
        <tr r="F135" s="4"/>
      </tp>
      <tp>
        <v>25.72</v>
        <stp/>
        <stp>136</stp>
        <stp>MSFT</stp>
        <stp>PRICEM_X</stp>
        <stp>119</stp>
        <stp>0</stp>
        <stp>0</stp>
        <stp>0</stp>
        <stp>0</stp>
        <tr r="F134" s="4"/>
      </tp>
      <tp>
        <v>27.73</v>
        <stp/>
        <stp>136</stp>
        <stp>MSFT</stp>
        <stp>PRICEM_X</stp>
        <stp>118</stp>
        <stp>0</stp>
        <stp>0</stp>
        <stp>0</stp>
        <stp>0</stp>
        <tr r="F133" s="4"/>
      </tp>
      <tp>
        <v>28.18</v>
        <stp/>
        <stp>136</stp>
        <stp>MSFT</stp>
        <stp>PRICEM_X</stp>
        <stp>115</stp>
        <stp>0</stp>
        <stp>0</stp>
        <stp>0</stp>
        <stp>0</stp>
        <tr r="F130" s="4"/>
      </tp>
      <tp>
        <v>28.67</v>
        <stp/>
        <stp>136</stp>
        <stp>MSFT</stp>
        <stp>PRICEM_X</stp>
        <stp>114</stp>
        <stp>0</stp>
        <stp>0</stp>
        <stp>0</stp>
        <stp>0</stp>
        <tr r="F129" s="4"/>
      </tp>
      <tp>
        <v>29.41</v>
        <stp/>
        <stp>136</stp>
        <stp>MSFT</stp>
        <stp>PRICEM_X</stp>
        <stp>117</stp>
        <stp>0</stp>
        <stp>0</stp>
        <stp>0</stp>
        <stp>0</stp>
        <tr r="F132" s="4"/>
      </tp>
      <tp>
        <v>30.48</v>
        <stp/>
        <stp>136</stp>
        <stp>MSFT</stp>
        <stp>PRICEM_X</stp>
        <stp>116</stp>
        <stp>0</stp>
        <stp>0</stp>
        <stp>0</stp>
        <stp>0</stp>
        <tr r="F131" s="4"/>
      </tp>
      <tp>
        <v>25.8</v>
        <stp/>
        <stp>136</stp>
        <stp>MSFT</stp>
        <stp>PRICEM_X</stp>
        <stp>111</stp>
        <stp>0</stp>
        <stp>0</stp>
        <stp>0</stp>
        <stp>0</stp>
        <tr r="F126" s="4"/>
      </tp>
      <tp>
        <v>23.01</v>
        <stp/>
        <stp>136</stp>
        <stp>MSFT</stp>
        <stp>PRICEM_X</stp>
        <stp>110</stp>
        <stp>0</stp>
        <stp>0</stp>
        <stp>0</stp>
        <stp>0</stp>
        <tr r="F125" s="4"/>
      </tp>
      <tp>
        <v>29.286999999999999</v>
        <stp/>
        <stp>136</stp>
        <stp>MSFT</stp>
        <stp>PRICEM_X</stp>
        <stp>113</stp>
        <stp>0</stp>
        <stp>0</stp>
        <stp>0</stp>
        <stp>0</stp>
        <tr r="F128" s="4"/>
      </tp>
      <tp>
        <v>30.535</v>
        <stp/>
        <stp>136</stp>
        <stp>MSFT</stp>
        <stp>PRICEM_X</stp>
        <stp>112</stp>
        <stp>0</stp>
        <stp>0</stp>
        <stp>0</stp>
        <stp>0</stp>
        <tr r="F127" s="4"/>
      </tp>
      <tp>
        <v>25.81</v>
        <stp/>
        <stp>136</stp>
        <stp>MSFT</stp>
        <stp>PRICEM_X</stp>
        <stp>109</stp>
        <stp>0</stp>
        <stp>0</stp>
        <stp>0</stp>
        <stp>0</stp>
        <tr r="F124" s="4"/>
      </tp>
      <tp>
        <v>23.465</v>
        <stp/>
        <stp>136</stp>
        <stp>MSFT</stp>
        <stp>PRICEM_X</stp>
        <stp>108</stp>
        <stp>0</stp>
        <stp>0</stp>
        <stp>0</stp>
        <stp>0</stp>
        <tr r="F123" s="4"/>
      </tp>
      <tp>
        <v>25.257000000000001</v>
        <stp/>
        <stp>136</stp>
        <stp>MSFT</stp>
        <stp>PRICEM_X</stp>
        <stp>105</stp>
        <stp>0</stp>
        <stp>0</stp>
        <stp>0</stp>
        <stp>0</stp>
        <tr r="F120" s="4"/>
      </tp>
      <tp>
        <v>27.91</v>
        <stp/>
        <stp>136</stp>
        <stp>MSFT</stp>
        <stp>PRICEM_X</stp>
        <stp>104</stp>
        <stp>0</stp>
        <stp>0</stp>
        <stp>0</stp>
        <stp>0</stp>
        <tr r="F119" s="4"/>
      </tp>
      <tp>
        <v>24.49</v>
        <stp/>
        <stp>136</stp>
        <stp>MSFT</stp>
        <stp>PRICEM_X</stp>
        <stp>107</stp>
        <stp>0</stp>
        <stp>0</stp>
        <stp>0</stp>
        <stp>0</stp>
        <tr r="F122" s="4"/>
      </tp>
      <tp>
        <v>26.664999999999999</v>
        <stp/>
        <stp>136</stp>
        <stp>MSFT</stp>
        <stp>PRICEM_X</stp>
        <stp>106</stp>
        <stp>0</stp>
        <stp>0</stp>
        <stp>0</stp>
        <stp>0</stp>
        <tr r="F121" s="4"/>
      </tp>
      <tp>
        <v>25.39</v>
        <stp/>
        <stp>136</stp>
        <stp>MSFT</stp>
        <stp>PRICEM_X</stp>
        <stp>101</stp>
        <stp>0</stp>
        <stp>0</stp>
        <stp>0</stp>
        <stp>0</stp>
        <tr r="F116" s="4"/>
      </tp>
      <tp>
        <v>25.92</v>
        <stp/>
        <stp>136</stp>
        <stp>MSFT</stp>
        <stp>PRICEM_X</stp>
        <stp>100</stp>
        <stp>0</stp>
        <stp>0</stp>
        <stp>0</stp>
        <stp>0</stp>
        <tr r="F115" s="4"/>
      </tp>
      <tp>
        <v>27.725000000000001</v>
        <stp/>
        <stp>136</stp>
        <stp>MSFT</stp>
        <stp>PRICEM_X</stp>
        <stp>103</stp>
        <stp>0</stp>
        <stp>0</stp>
        <stp>0</stp>
        <stp>0</stp>
        <tr r="F118" s="4"/>
      </tp>
      <tp>
        <v>26.58</v>
        <stp/>
        <stp>136</stp>
        <stp>MSFT</stp>
        <stp>PRICEM_X</stp>
        <stp>102</stp>
        <stp>0</stp>
        <stp>0</stp>
        <stp>0</stp>
        <stp>0</stp>
        <tr r="F117" s="4"/>
      </tp>
      <tp>
        <v>314.39999999999998</v>
        <stp/>
        <stp>136</stp>
        <stp>BOOM</stp>
        <stp>EPSCONTGROWTHQ5TOQ1</stp>
        <stp>0</stp>
        <stp>0</stp>
        <stp>0</stp>
        <stp>0</stp>
        <stp>0</stp>
        <tr r="H12" s="3"/>
      </tp>
      <tp t="s">
        <v>NA</v>
        <stp/>
        <stp>136</stp>
        <stp>BOOM</stp>
        <stp>EPSCONTGROWTHQ6TOQ2</stp>
        <stp>0</stp>
        <stp>0</stp>
        <stp>0</stp>
        <stp>0</stp>
        <stp>0</stp>
        <tr r="I12" s="3"/>
      </tp>
      <tp>
        <v>133.6</v>
        <stp/>
        <stp>136</stp>
        <stp>BOOM</stp>
        <stp>EPSCONTGROWTHQ7TOQ3</stp>
        <stp>0</stp>
        <stp>0</stp>
        <stp>0</stp>
        <stp>0</stp>
        <stp>0</stp>
        <tr r="J12" s="3"/>
      </tp>
      <tp>
        <v>285.3</v>
        <stp/>
        <stp>136</stp>
        <stp>BOOM</stp>
        <stp>OPERATINGINCOMEGROWTHQ5TOQ1</stp>
        <stp>0</stp>
        <stp>0</stp>
        <stp>0</stp>
        <stp>0</stp>
        <stp>0</stp>
        <tr r="H9" s="3"/>
      </tp>
      <tp t="s">
        <v>NA</v>
        <stp/>
        <stp>136</stp>
        <stp>BOOM</stp>
        <stp>OPERATINGINCOMEGROWTHQ6TOQ2</stp>
        <stp>0</stp>
        <stp>0</stp>
        <stp>0</stp>
        <stp>0</stp>
        <stp>0</stp>
        <tr r="I9" s="3"/>
      </tp>
      <tp>
        <v>171.2</v>
        <stp/>
        <stp>136</stp>
        <stp>BOOM</stp>
        <stp>OPERATINGINCOMEGROWTHQ7TOQ3</stp>
        <stp>0</stp>
        <stp>0</stp>
        <stp>0</stp>
        <stp>0</stp>
        <stp>0</stp>
        <tr r="J9" s="3"/>
      </tp>
      <tp>
        <v>29.6</v>
        <stp/>
        <stp>136</stp>
        <stp>MSFT</stp>
        <stp>SECTORPRICEPERFCFPS1YEARAGO</stp>
        <stp>0</stp>
        <stp>0</stp>
        <stp>0</stp>
        <stp>0</stp>
        <stp>0</stp>
        <tr r="D26" s="6"/>
      </tp>
      <tp>
        <v>99</v>
        <stp/>
        <stp>136</stp>
        <stp>AAPL</stp>
        <stp>PCNTRANKVOLUMEAVEDAILY10D</stp>
        <stp>0</stp>
        <stp>0</stp>
        <stp>0</stp>
        <stp>0</stp>
        <stp>0</stp>
        <tr r="F27" s="5"/>
      </tp>
      <tp t="s">
        <v>Sector EPS Cont-Growth</v>
        <stp/>
        <stp>137</stp>
        <stp/>
        <stp>SECTOREPSCONTGROWTH1Y</stp>
        <stp>1</stp>
        <stp>0</stp>
        <stp>0</stp>
        <stp>0</stp>
        <stp>0</stp>
        <tr r="B40" s="3"/>
      </tp>
      <tp t="s">
        <v>Price/Sales</v>
        <stp/>
        <stp>137</stp>
        <stp/>
        <stp>PRICEPERSALES</stp>
        <stp>0</stp>
        <stp>0</stp>
        <stp>0</stp>
        <stp>0</stp>
        <stp>0</stp>
        <tr r="B8" s="6"/>
      </tp>
      <tp>
        <v>2.5</v>
        <stp/>
        <stp>136</stp>
        <stp>MSFT</stp>
        <stp>INDUSTRYRETURNONEQUITY12M</stp>
        <stp>0</stp>
        <stp>0</stp>
        <stp>0</stp>
        <stp>0</stp>
        <stp>0</stp>
        <tr r="C38" s="7"/>
      </tp>
      <tp>
        <v>1.6E-2</v>
        <stp/>
        <stp>136</stp>
        <stp>MSFT</stp>
        <stp>QTRLYSURPRISESTDDEV</stp>
        <stp>0</stp>
        <stp>0</stp>
        <stp>0</stp>
        <stp>0</stp>
        <stp>0</stp>
        <tr r="C28" s="8"/>
      </tp>
      <tp t="s">
        <v>Short-Term Investments</v>
        <stp/>
        <stp>137</stp>
        <stp/>
        <stp>SHORTTERMINVESTMENTSQ_X</stp>
        <stp>0</stp>
        <stp>0</stp>
        <stp>0</stp>
        <stp>0</stp>
        <stp>0</stp>
        <tr r="D28" s="13"/>
        <tr r="B56" s="11"/>
        <tr r="B56" s="12"/>
        <tr r="B58" s="1"/>
      </tp>
      <tp>
        <v>0</v>
        <stp/>
        <stp>136</stp>
        <stp>BOOM</stp>
        <stp>DIVIDEND12M</stp>
        <stp>0</stp>
        <stp>0</stp>
        <stp>0</stp>
        <stp>0</stp>
        <stp>0</stp>
        <tr r="L33" s="11"/>
        <tr r="L33" s="12"/>
      </tp>
      <tp>
        <v>166258</v>
        <stp/>
        <stp>136</stp>
        <stp>MSFT</stp>
        <stp>TOTALLIABILITIESQ_X</stp>
        <stp>5</stp>
        <stp>0</stp>
        <stp>0</stp>
        <stp>0</stp>
        <stp>0</stp>
        <tr r="G78" s="1"/>
      </tp>
      <tp>
        <v>176130</v>
        <stp/>
        <stp>136</stp>
        <stp>MSFT</stp>
        <stp>TOTALLIABILITIESQ_X</stp>
        <stp>4</stp>
        <stp>0</stp>
        <stp>0</stp>
        <stp>0</stp>
        <stp>0</stp>
        <tr r="F78" s="1"/>
      </tp>
      <tp>
        <v>159450</v>
        <stp/>
        <stp>136</stp>
        <stp>MSFT</stp>
        <stp>TOTALLIABILITIESQ_X</stp>
        <stp>7</stp>
        <stp>0</stp>
        <stp>0</stp>
        <stp>0</stp>
        <stp>0</stp>
        <tr r="I78" s="1"/>
      </tp>
      <tp>
        <v>177643</v>
        <stp/>
        <stp>136</stp>
        <stp>MSFT</stp>
        <stp>TOTALLIABILITIESQ_X</stp>
        <stp>6</stp>
        <stp>0</stp>
        <stp>0</stp>
        <stp>0</stp>
        <stp>0</stp>
        <tr r="H78" s="1"/>
      </tp>
      <tp>
        <v>168417</v>
        <stp/>
        <stp>136</stp>
        <stp>MSFT</stp>
        <stp>TOTALLIABILITIESQ_X</stp>
        <stp>1</stp>
        <stp>0</stp>
        <stp>0</stp>
        <stp>0</stp>
        <stp>0</stp>
        <tr r="C78" s="1"/>
      </tp>
      <tp>
        <v>171652</v>
        <stp/>
        <stp>136</stp>
        <stp>MSFT</stp>
        <stp>TOTALLIABILITIESQ_X</stp>
        <stp>3</stp>
        <stp>0</stp>
        <stp>0</stp>
        <stp>0</stp>
        <stp>0</stp>
        <tr r="E78" s="1"/>
      </tp>
      <tp>
        <v>166731</v>
        <stp/>
        <stp>136</stp>
        <stp>MSFT</stp>
        <stp>TOTALLIABILITIESQ_X</stp>
        <stp>2</stp>
        <stp>0</stp>
        <stp>0</stp>
        <stp>0</stp>
        <stp>0</stp>
        <tr r="D78" s="1"/>
      </tp>
      <tp>
        <v>162601</v>
        <stp/>
        <stp>136</stp>
        <stp>MSFT</stp>
        <stp>TOTALLIABILITIESQ_X</stp>
        <stp>8</stp>
        <stp>0</stp>
        <stp>0</stp>
        <stp>0</stp>
        <stp>0</stp>
        <tr r="J78" s="1"/>
      </tp>
      <tp>
        <v>278.7</v>
        <stp/>
        <stp>136</stp>
        <stp>BEAT</stp>
        <stp>TOTALLIABILITIESQ_X</stp>
        <stp>3</stp>
        <stp>0</stp>
        <stp>0</stp>
        <stp>0</stp>
        <stp>0</stp>
        <tr r="H53" s="13"/>
      </tp>
      <tp>
        <v>276.3</v>
        <stp/>
        <stp>136</stp>
        <stp>BEAT</stp>
        <stp>TOTALLIABILITIESQ_X</stp>
        <stp>2</stp>
        <stp>0</stp>
        <stp>0</stp>
        <stp>0</stp>
        <stp>0</stp>
        <tr r="G53" s="13"/>
      </tp>
      <tp>
        <v>327</v>
        <stp/>
        <stp>136</stp>
        <stp>BEAT</stp>
        <stp>TOTALLIABILITIESQ_X</stp>
        <stp>1</stp>
        <stp>0</stp>
        <stp>0</stp>
        <stp>0</stp>
        <stp>0</stp>
        <tr r="F53" s="13"/>
      </tp>
      <tp>
        <v>275.2</v>
        <stp/>
        <stp>136</stp>
        <stp>BEAT</stp>
        <stp>TOTALLIABILITIESQ_X</stp>
        <stp>4</stp>
        <stp>0</stp>
        <stp>0</stp>
        <stp>0</stp>
        <stp>0</stp>
        <tr r="I53" s="13"/>
      </tp>
      <tp t="s">
        <v>NA</v>
        <stp/>
        <stp>136</stp>
        <stp>BOOM</stp>
        <stp>RESEARCHANDDEVELOPMENT12M</stp>
        <stp>0</stp>
        <stp>0</stp>
        <stp>0</stp>
        <stp>0</stp>
        <stp>0</stp>
        <tr r="L11" s="12"/>
        <tr r="L11" s="11"/>
      </tp>
      <tp t="s">
        <v>Industry Sales-Growth</v>
        <stp/>
        <stp>137</stp>
        <stp/>
        <stp>INDUSTRYSALESGROWTH1Y</stp>
        <stp>1</stp>
        <stp>0</stp>
        <stp>0</stp>
        <stp>0</stp>
        <stp>0</stp>
        <tr r="B20" s="3"/>
      </tp>
      <tp>
        <v>71.900000000000006</v>
        <stp/>
        <stp>136</stp>
        <stp>BOOM</stp>
        <stp>SALESGROWTHQ8TOQ4</stp>
        <stp>0</stp>
        <stp>0</stp>
        <stp>0</stp>
        <stp>0</stp>
        <stp>0</stp>
        <tr r="K6" s="3"/>
      </tp>
      <tp t="s">
        <v>NA</v>
        <stp/>
        <stp>136</stp>
        <stp>BOOM</stp>
        <stp>CASHFLOWGROWTH12M</stp>
        <stp>0</stp>
        <stp>0</stp>
        <stp>0</stp>
        <stp>0</stp>
        <stp>0</stp>
        <tr r="G15" s="3"/>
      </tp>
      <tp t="s">
        <v>PFCF to FCF Growth</v>
        <stp/>
        <stp>137</stp>
        <stp/>
        <stp>PFCFTOFCFGROWTH</stp>
        <stp>0</stp>
        <stp>0</stp>
        <stp>0</stp>
        <stp>0</stp>
        <stp>0</stp>
        <tr r="B99" s="5"/>
      </tp>
      <tp t="s">
        <v>Industry EPS Cont-Growth</v>
        <stp/>
        <stp>137</stp>
        <stp/>
        <stp>INDUSTRYEPSCONTGROWTH1Y</stp>
        <stp>1</stp>
        <stp>0</stp>
        <stp>0</stp>
        <stp>0</stp>
        <stp>0</stp>
        <tr r="B26" s="3"/>
      </tp>
      <tp>
        <v>20543</v>
        <stp/>
        <stp>136</stp>
        <stp>AAPL</stp>
        <stp>VOLUMEAVEDAILY10D</stp>
        <stp>0</stp>
        <stp>0</stp>
        <stp>0</stp>
        <stp>0</stp>
        <stp>0</stp>
        <tr r="C27" s="5"/>
      </tp>
      <tp t="s">
        <v>% Rank-Price/Sales</v>
        <stp/>
        <stp>137</stp>
        <stp/>
        <stp>PCNTRANKPRICEPERSALES</stp>
        <stp>0</stp>
        <stp>0</stp>
        <stp>0</stp>
        <stp>0</stp>
        <stp>0</stp>
        <tr r="B32" s="6"/>
      </tp>
      <tp>
        <v>88.79</v>
        <stp/>
        <stp>136</stp>
        <stp>MSFT</stp>
        <stp>VALUATIONAVEYIELD</stp>
        <stp>0</stp>
        <stp>0</stp>
        <stp>0</stp>
        <stp>0</stp>
        <stp>0</stp>
        <tr r="C15" s="9"/>
      </tp>
      <tp>
        <v>39.5</v>
        <stp/>
        <stp>136</stp>
        <stp>AAPL</stp>
        <stp>RETURNONEQUITYAVE7Y</stp>
        <stp>0</stp>
        <stp>0</stp>
        <stp>0</stp>
        <stp>0</stp>
        <stp>0</stp>
        <tr r="C102" s="5"/>
      </tp>
      <tp>
        <v>1.4</v>
        <stp/>
        <stp>136</stp>
        <stp>MSFT</stp>
        <stp>SECTORPETODIVADJEPSGROWTH5Y</stp>
        <stp>0</stp>
        <stp>0</stp>
        <stp>0</stp>
        <stp>0</stp>
        <stp>0</stp>
        <tr r="E41" s="6"/>
      </tp>
      <tp>
        <v>30.6</v>
        <stp/>
        <stp>136</stp>
        <stp>AAPL</stp>
        <stp>SUSTAINABLEGROWTH7Y</stp>
        <stp>0</stp>
        <stp>0</stp>
        <stp>0</stp>
        <stp>0</stp>
        <stp>0</stp>
        <tr r="C108" s="5"/>
      </tp>
      <tp t="s">
        <v>PE Relative Avg-5 Year</v>
        <stp/>
        <stp>137</stp>
        <stp/>
        <stp>PERELATIVEAVE5Y</stp>
        <stp>0</stp>
        <stp>0</stp>
        <stp>0</stp>
        <stp>0</stp>
        <stp>0</stp>
        <tr r="B94" s="5"/>
      </tp>
      <tp>
        <v>0.72</v>
        <stp/>
        <stp>136</stp>
        <stp>AAPL</stp>
        <stp>PERELATIVEHIGHAVE5Y</stp>
        <stp>0</stp>
        <stp>0</stp>
        <stp>0</stp>
        <stp>0</stp>
        <stp>0</stp>
        <tr r="C92" s="5"/>
      </tp>
      <tp>
        <v>3.51</v>
        <stp/>
        <stp>136</stp>
        <stp>MSFT</stp>
        <stp>PRICEPERSALESAVEY_X</stp>
        <stp>6</stp>
        <stp>0</stp>
        <stp>0</stp>
        <stp>0</stp>
        <stp>0</stp>
        <tr r="M8" s="6"/>
      </tp>
      <tp>
        <v>3.37</v>
        <stp/>
        <stp>136</stp>
        <stp>MSFT</stp>
        <stp>PRICEPERSALESAVEY_X</stp>
        <stp>7</stp>
        <stp>0</stp>
        <stp>0</stp>
        <stp>0</stp>
        <stp>0</stp>
        <tr r="N8" s="6"/>
      </tp>
      <tp>
        <v>4.22</v>
        <stp/>
        <stp>136</stp>
        <stp>MSFT</stp>
        <stp>PRICEPERSALESAVEY_X</stp>
        <stp>4</stp>
        <stp>0</stp>
        <stp>0</stp>
        <stp>0</stp>
        <stp>0</stp>
        <tr r="K8" s="6"/>
      </tp>
      <tp>
        <v>4.05</v>
        <stp/>
        <stp>136</stp>
        <stp>MSFT</stp>
        <stp>PRICEPERSALESAVEY_X</stp>
        <stp>5</stp>
        <stp>0</stp>
        <stp>0</stp>
        <stp>0</stp>
        <stp>0</stp>
        <tr r="L8" s="6"/>
      </tp>
      <tp>
        <v>5.99</v>
        <stp/>
        <stp>136</stp>
        <stp>MSFT</stp>
        <stp>PRICEPERSALESAVEY_X</stp>
        <stp>2</stp>
        <stp>0</stp>
        <stp>0</stp>
        <stp>0</stp>
        <stp>0</stp>
        <tr r="I8" s="6"/>
      </tp>
      <tp>
        <v>4.87</v>
        <stp/>
        <stp>136</stp>
        <stp>MSFT</stp>
        <stp>PRICEPERSALESAVEY_X</stp>
        <stp>3</stp>
        <stp>0</stp>
        <stp>0</stp>
        <stp>0</stp>
        <stp>0</stp>
        <tr r="J8" s="6"/>
      </tp>
      <tp>
        <v>6.98</v>
        <stp/>
        <stp>136</stp>
        <stp>MSFT</stp>
        <stp>PRICEPERSALESAVEY_X</stp>
        <stp>1</stp>
        <stp>0</stp>
        <stp>0</stp>
        <stp>0</stp>
        <stp>0</stp>
        <tr r="H8" s="6"/>
      </tp>
      <tp t="s">
        <v>Institutions -Shares Sold</v>
        <stp/>
        <stp>137</stp>
        <stp/>
        <stp>INSTITUTIONSHARESSOLD</stp>
        <stp>0</stp>
        <stp>0</stp>
        <stp>0</stp>
        <stp>0</stp>
        <stp>0</stp>
        <tr r="B31" s="5"/>
      </tp>
      <tp>
        <v>43736</v>
        <stp/>
        <stp>136</stp>
        <stp>MSFT</stp>
        <stp>GOODWILLANDINTANGIBLESQ_X</stp>
        <stp>4</stp>
        <stp>0</stp>
        <stp>0</stp>
        <stp>0</stp>
        <stp>0</stp>
        <tr r="F66" s="1"/>
      </tp>
      <tp>
        <v>44126</v>
        <stp/>
        <stp>136</stp>
        <stp>MSFT</stp>
        <stp>GOODWILLANDINTANGIBLESQ_X</stp>
        <stp>5</stp>
        <stp>0</stp>
        <stp>0</stp>
        <stp>0</stp>
        <stp>0</stp>
        <tr r="G66" s="1"/>
      </tp>
      <tp>
        <v>44389</v>
        <stp/>
        <stp>136</stp>
        <stp>MSFT</stp>
        <stp>GOODWILLANDINTANGIBLESQ_X</stp>
        <stp>6</stp>
        <stp>0</stp>
        <stp>0</stp>
        <stp>0</stp>
        <stp>0</stp>
        <tr r="H66" s="1"/>
      </tp>
      <tp>
        <v>44987</v>
        <stp/>
        <stp>136</stp>
        <stp>MSFT</stp>
        <stp>GOODWILLANDINTANGIBLESQ_X</stp>
        <stp>7</stp>
        <stp>0</stp>
        <stp>0</stp>
        <stp>0</stp>
        <stp>0</stp>
        <tr r="I66" s="1"/>
      </tp>
      <tp>
        <v>49964</v>
        <stp/>
        <stp>136</stp>
        <stp>MSFT</stp>
        <stp>GOODWILLANDINTANGIBLESQ_X</stp>
        <stp>1</stp>
        <stp>0</stp>
        <stp>0</stp>
        <stp>0</stp>
        <stp>0</stp>
        <tr r="C66" s="1"/>
      </tp>
      <tp>
        <v>50059</v>
        <stp/>
        <stp>136</stp>
        <stp>MSFT</stp>
        <stp>GOODWILLANDINTANGIBLESQ_X</stp>
        <stp>2</stp>
        <stp>0</stp>
        <stp>0</stp>
        <stp>0</stp>
        <stp>0</stp>
        <tr r="D66" s="1"/>
      </tp>
      <tp>
        <v>43434</v>
        <stp/>
        <stp>136</stp>
        <stp>MSFT</stp>
        <stp>GOODWILLANDINTANGIBLESQ_X</stp>
        <stp>3</stp>
        <stp>0</stp>
        <stp>0</stp>
        <stp>0</stp>
        <stp>0</stp>
        <tr r="E66" s="1"/>
      </tp>
      <tp>
        <v>45228</v>
        <stp/>
        <stp>136</stp>
        <stp>MSFT</stp>
        <stp>GOODWILLANDINTANGIBLESQ_X</stp>
        <stp>8</stp>
        <stp>0</stp>
        <stp>0</stp>
        <stp>0</stp>
        <stp>0</stp>
        <tr r="J66" s="1"/>
      </tp>
      <tp>
        <v>-8.4700000000000006</v>
        <stp/>
        <stp>136</stp>
        <stp>AAPL</stp>
        <stp>SECTORRELATIVESTRENGTH13W</stp>
        <stp>0</stp>
        <stp>0</stp>
        <stp>0</stp>
        <stp>0</stp>
        <stp>0</stp>
        <tr r="D59" s="5"/>
      </tp>
      <tp>
        <v>-7.42</v>
        <stp/>
        <stp>136</stp>
        <stp>AAPL</stp>
        <stp>SECTORRELATIVESTRENGTH26W</stp>
        <stp>0</stp>
        <stp>0</stp>
        <stp>0</stp>
        <stp>0</stp>
        <stp>0</stp>
        <tr r="E59" s="5"/>
      </tp>
      <tp>
        <v>-17.29</v>
        <stp/>
        <stp>136</stp>
        <stp>AAPL</stp>
        <stp>SECTORRELATIVESTRENGTH52W</stp>
        <stp>0</stp>
        <stp>0</stp>
        <stp>0</stp>
        <stp>0</stp>
        <stp>0</stp>
        <tr r="F59" s="5"/>
      </tp>
      <tp t="s">
        <v>NA</v>
        <stp/>
        <stp>136</stp>
        <stp>BOOM</stp>
        <stp>PCNTRANKCASHFLOWGROWTH12M</stp>
        <stp>0</stp>
        <stp>0</stp>
        <stp>0</stp>
        <stp>0</stp>
        <stp>0</stp>
        <tr r="G57" s="3"/>
      </tp>
      <tp t="s">
        <v>Price as % of 2 Year High</v>
        <stp/>
        <stp>137</stp>
        <stp/>
        <stp>PRICEASPCNTOF2YEARHIGH</stp>
        <stp>0</stp>
        <stp>0</stp>
        <stp>0</stp>
        <stp>0</stp>
        <stp>0</stp>
        <tr r="B46" s="5"/>
      </tp>
      <tp>
        <v>0.26</v>
        <stp/>
        <stp>136</stp>
        <stp>MSFT</stp>
        <stp>CASHFLOWPERSHARE12M</stp>
        <stp>0</stp>
        <stp>0</stp>
        <stp>0</stp>
        <stp>0</stp>
        <stp>0</stp>
        <tr r="L48" s="1"/>
      </tp>
      <tp t="s">
        <v>Industry Current ratio</v>
        <stp/>
        <stp>137</stp>
        <stp/>
        <stp>INDUSTRYCURRENTRATIOY_X</stp>
        <stp>0</stp>
        <stp>0</stp>
        <stp>0</stp>
        <stp>0</stp>
        <stp>0</stp>
        <tr r="B42" s="7"/>
      </tp>
      <tp t="s">
        <v>Free Cash Flow/Share</v>
        <stp/>
        <stp>137</stp>
        <stp/>
        <stp>FREECASHFLOWPERSHAREQ_X</stp>
        <stp>0</stp>
        <stp>0</stp>
        <stp>0</stp>
        <stp>0</stp>
        <stp>0</stp>
        <tr r="B47" s="12"/>
        <tr r="B47" s="11"/>
        <tr r="B49" s="1"/>
      </tp>
      <tp>
        <v>1991</v>
        <stp/>
        <stp>136</stp>
        <stp>MSFT</stp>
        <stp>CASHFLOW12M</stp>
        <stp>0</stp>
        <stp>0</stp>
        <stp>0</stp>
        <stp>0</stp>
        <stp>0</stp>
        <tr r="L43" s="1"/>
      </tp>
      <tp t="s">
        <v>Equity (Common)</v>
        <stp/>
        <stp>137</stp>
        <stp/>
        <stp>EQUITYCOMMONQ_X</stp>
        <stp>0</stp>
        <stp>0</stp>
        <stp>0</stp>
        <stp>0</stp>
        <stp>0</stp>
        <tr r="D40" s="13"/>
        <tr r="B79" s="11"/>
        <tr r="B81" s="1"/>
        <tr r="B79" s="12"/>
      </tp>
      <tp>
        <v>93</v>
        <stp/>
        <stp>136</stp>
        <stp>MSFT</stp>
        <stp>PCNTRANKRETURNONASSETS12M</stp>
        <stp>0</stp>
        <stp>0</stp>
        <stp>0</stp>
        <stp>0</stp>
        <stp>0</stp>
        <tr r="C91" s="7"/>
      </tp>
      <tp t="s">
        <v>% Rank-Quick Ratio</v>
        <stp/>
        <stp>137</stp>
        <stp/>
        <stp>PCNTRANKQUICKRATIOY_X</stp>
        <stp>0</stp>
        <stp>0</stp>
        <stp>0</stp>
        <stp>0</stp>
        <stp>0</stp>
        <tr r="B95" s="7"/>
      </tp>
      <tp>
        <v>3904</v>
        <stp/>
        <stp>136</stp>
        <stp>AAPL</stp>
        <stp>INSTITUTIONALSHAREHOLDERS</stp>
        <stp>0</stp>
        <stp>0</stp>
        <stp>0</stp>
        <stp>0</stp>
        <stp>0</stp>
        <tr r="C29" s="5"/>
      </tp>
      <tp t="s">
        <v>Cash Per Share Q1</v>
        <stp/>
        <stp>137</stp>
        <stp/>
        <stp>CASHPERSHAREQ1</stp>
        <stp>0</stp>
        <stp>0</stp>
        <stp>0</stp>
        <stp>0</stp>
        <stp>0</stp>
        <tr r="B50" s="5"/>
      </tp>
      <tp t="s">
        <v>Valuation-P/Avg SPS</v>
        <stp/>
        <stp>137</stp>
        <stp/>
        <stp>VALUATIONAVESPS</stp>
        <stp>0</stp>
        <stp>0</stp>
        <stp>0</stp>
        <stp>0</stp>
        <stp>0</stp>
        <tr r="B11" s="9"/>
      </tp>
      <tp>
        <v>24.4</v>
        <stp/>
        <stp>136</stp>
        <stp>MSFT</stp>
        <stp>PEHIGHAVE7Y</stp>
        <stp>0</stp>
        <stp>0</stp>
        <stp>0</stp>
        <stp>0</stp>
        <stp>0</stp>
        <tr r="C46" s="6"/>
      </tp>
      <tp>
        <v>27.9</v>
        <stp/>
        <stp>136</stp>
        <stp>MSFT</stp>
        <stp>PEHIGHAVE5Y</stp>
        <stp>0</stp>
        <stp>0</stp>
        <stp>0</stp>
        <stp>0</stp>
        <stp>0</stp>
        <tr r="C45" s="6"/>
      </tp>
      <tp>
        <v>27.3</v>
        <stp/>
        <stp>136</stp>
        <stp>MSFT</stp>
        <stp>PEHIGHAVE3Y</stp>
        <stp>0</stp>
        <stp>0</stp>
        <stp>0</stp>
        <stp>0</stp>
        <stp>0</stp>
        <tr r="C44" s="6"/>
      </tp>
      <tp>
        <v>61</v>
        <stp/>
        <stp>136</stp>
        <stp>MSFT</stp>
        <stp>PCNTRANKPEHIGHAVE5Y</stp>
        <stp>0</stp>
        <stp>0</stp>
        <stp>0</stp>
        <stp>0</stp>
        <stp>0</stp>
        <tr r="F45" s="6"/>
      </tp>
      <tp>
        <v>54</v>
        <stp/>
        <stp>136</stp>
        <stp>MSFT</stp>
        <stp>PCNTRANKPEHIGHAVE7Y</stp>
        <stp>0</stp>
        <stp>0</stp>
        <stp>0</stp>
        <stp>0</stp>
        <stp>0</stp>
        <tr r="F46" s="6"/>
      </tp>
      <tp>
        <v>59</v>
        <stp/>
        <stp>136</stp>
        <stp>MSFT</stp>
        <stp>PCNTRANKPEHIGHAVE3Y</stp>
        <stp>0</stp>
        <stp>0</stp>
        <stp>0</stp>
        <stp>0</stp>
        <stp>0</stp>
        <tr r="F44" s="6"/>
      </tp>
      <tp t="s">
        <v>Sector Total liabilities/assets</v>
        <stp/>
        <stp>137</stp>
        <stp/>
        <stp>SECTORTOTALLIABILITIESASSETSY_X</stp>
        <stp>0</stp>
        <stp>0</stp>
        <stp>0</stp>
        <stp>0</stp>
        <stp>0</stp>
        <tr r="B74" s="7"/>
      </tp>
      <tp>
        <v>0</v>
        <stp/>
        <stp>136</stp>
        <stp>MSFT</stp>
        <stp>SECTORYIELD1YEARAGO</stp>
        <stp>0</stp>
        <stp>0</stp>
        <stp>0</stp>
        <stp>0</stp>
        <stp>0</stp>
        <tr r="D27" s="6"/>
      </tp>
      <tp>
        <v>16296</v>
        <stp/>
        <stp>136</stp>
        <stp>MSFT</stp>
        <stp>RESEARCHANDDEVELOPMENT12M</stp>
        <stp>0</stp>
        <stp>0</stp>
        <stp>0</stp>
        <stp>0</stp>
        <stp>0</stp>
        <tr r="L12" s="1"/>
      </tp>
      <tp>
        <v>5</v>
        <stp/>
        <stp>136</stp>
        <stp>AAPL</stp>
        <stp>INSIDERSELLTRADES</stp>
        <stp>0</stp>
        <stp>0</stp>
        <stp>0</stp>
        <stp>0</stp>
        <stp>0</stp>
        <tr r="C36" s="5"/>
      </tp>
      <tp>
        <v>45.9</v>
        <stp/>
        <stp>136</stp>
        <stp>BOOM</stp>
        <stp>GROSSINCOMEGROWTH3Y</stp>
        <stp>0</stp>
        <stp>0</stp>
        <stp>0</stp>
        <stp>0</stp>
        <stp>0</stp>
        <tr r="D7" s="3"/>
      </tp>
      <tp>
        <v>86.4</v>
        <stp/>
        <stp>136</stp>
        <stp>BOOM</stp>
        <stp>GROSSINCOMEGROWTH1Y</stp>
        <stp>0</stp>
        <stp>0</stp>
        <stp>0</stp>
        <stp>0</stp>
        <stp>0</stp>
        <tr r="C7" s="3"/>
      </tp>
      <tp>
        <v>10.4</v>
        <stp/>
        <stp>136</stp>
        <stp>BOOM</stp>
        <stp>GROSSINCOMEGROWTH7Y</stp>
        <stp>0</stp>
        <stp>0</stp>
        <stp>0</stp>
        <stp>0</stp>
        <stp>0</stp>
        <tr r="F7" s="3"/>
      </tp>
      <tp>
        <v>13.7</v>
        <stp/>
        <stp>136</stp>
        <stp>BOOM</stp>
        <stp>GROSSINCOMEGROWTH5Y</stp>
        <stp>0</stp>
        <stp>0</stp>
        <stp>0</stp>
        <stp>0</stp>
        <stp>0</stp>
        <tr r="E7" s="3"/>
      </tp>
      <tp>
        <v>13.84</v>
        <stp/>
        <stp>136</stp>
        <stp>AAPL</stp>
        <stp>RELATIVESTRENGTH26W</stp>
        <stp>0</stp>
        <stp>0</stp>
        <stp>0</stp>
        <stp>0</stp>
        <stp>0</stp>
        <tr r="E57" s="5"/>
      </tp>
      <tp>
        <v>-1.97</v>
        <stp/>
        <stp>136</stp>
        <stp>AAPL</stp>
        <stp>RELATIVESTRENGTH13W</stp>
        <stp>0</stp>
        <stp>0</stp>
        <stp>0</stp>
        <stp>0</stp>
        <stp>0</stp>
        <tr r="D57" s="5"/>
      </tp>
      <tp>
        <v>-0.28999999999999998</v>
        <stp/>
        <stp>136</stp>
        <stp>AAPL</stp>
        <stp>RELATIVESTRENGTH52W</stp>
        <stp>0</stp>
        <stp>0</stp>
        <stp>0</stp>
        <stp>0</stp>
        <stp>0</stp>
        <tr r="F57" s="5"/>
      </tp>
      <tp>
        <v>91</v>
        <stp/>
        <stp>136</stp>
        <stp>BOOM</stp>
        <stp>PCNTRANKGROSSINCOMEGROWTH1Y</stp>
        <stp>0</stp>
        <stp>0</stp>
        <stp>0</stp>
        <stp>0</stp>
        <stp>0</stp>
        <tr r="C49" s="3"/>
      </tp>
      <tp>
        <v>90</v>
        <stp/>
        <stp>136</stp>
        <stp>BOOM</stp>
        <stp>PCNTRANKGROSSINCOMEGROWTH3Y</stp>
        <stp>0</stp>
        <stp>0</stp>
        <stp>0</stp>
        <stp>0</stp>
        <stp>0</stp>
        <tr r="D49" s="3"/>
      </tp>
      <tp>
        <v>69</v>
        <stp/>
        <stp>136</stp>
        <stp>BOOM</stp>
        <stp>PCNTRANKGROSSINCOMEGROWTH5Y</stp>
        <stp>0</stp>
        <stp>0</stp>
        <stp>0</stp>
        <stp>0</stp>
        <stp>0</stp>
        <tr r="E49" s="3"/>
      </tp>
      <tp>
        <v>65</v>
        <stp/>
        <stp>136</stp>
        <stp>BOOM</stp>
        <stp>PCNTRANKGROSSINCOMEGROWTH7Y</stp>
        <stp>0</stp>
        <stp>0</stp>
        <stp>0</stp>
        <stp>0</stp>
        <stp>0</stp>
        <tr r="F49" s="3"/>
      </tp>
      <tp>
        <v>0</v>
        <stp/>
        <stp>136</stp>
        <stp>BOOM</stp>
        <stp>INDUSTRYDIVIDENDGROWTH12M</stp>
        <stp>0</stp>
        <stp>0</stp>
        <stp>0</stp>
        <stp>0</stp>
        <stp>0</stp>
        <tr r="G31" s="3"/>
      </tp>
      <tp>
        <v>13.5</v>
        <stp/>
        <stp>136</stp>
        <stp>MSFT</stp>
        <stp>RETURNONASSETS12M</stp>
        <stp>0</stp>
        <stp>0</stp>
        <stp>0</stp>
        <stp>0</stp>
        <stp>0</stp>
        <tr r="C10" s="7"/>
      </tp>
      <tp t="s">
        <v>Quick Ratio</v>
        <stp/>
        <stp>137</stp>
        <stp/>
        <stp>QUICKRATIOY_X</stp>
        <stp>0</stp>
        <stp>0</stp>
        <stp>0</stp>
        <stp>0</stp>
        <stp>0</stp>
        <tr r="B14" s="7"/>
      </tp>
      <tp>
        <v>100</v>
        <stp/>
        <stp>136</stp>
        <stp>AAPL</stp>
        <stp>PCNTRANKINSTITUTIONALSHAREHOLDERS</stp>
        <stp>0</stp>
        <stp>0</stp>
        <stp>0</stp>
        <stp>0</stp>
        <stp>0</stp>
        <tr r="F29" s="5"/>
      </tp>
      <tp>
        <v>43579</v>
        <stp/>
        <stp>136</stp>
        <stp>MSFT</stp>
        <stp>QTRLYSURPRISEDATE</stp>
        <stp>0</stp>
        <stp>0</stp>
        <stp>0</stp>
        <stp>0</stp>
        <stp>0</stp>
        <tr r="C23" s="8"/>
      </tp>
      <tp t="s">
        <v>Sector Current ratio</v>
        <stp/>
        <stp>137</stp>
        <stp/>
        <stp>SECTORCURRENTRATIOY_X</stp>
        <stp>0</stp>
        <stp>0</stp>
        <stp>0</stp>
        <stp>0</stp>
        <stp>0</stp>
        <tr r="B69" s="7"/>
      </tp>
      <tp>
        <v>1.4</v>
        <stp/>
        <stp>136</stp>
        <stp>MSFT</stp>
        <stp>SECTORQUICKRATIOQ1</stp>
        <stp>0</stp>
        <stp>0</stp>
        <stp>0</stp>
        <stp>0</stp>
        <stp>0</stp>
        <tr r="C68" s="7"/>
      </tp>
      <tp t="s">
        <v>PE Relative Adjusted P/E</v>
        <stp/>
        <stp>137</stp>
        <stp/>
        <stp>PERELATIVEADJPE</stp>
        <stp>0</stp>
        <stp>0</stp>
        <stp>0</stp>
        <stp>0</stp>
        <stp>0</stp>
        <tr r="B97" s="5"/>
      </tp>
      <tp>
        <v>5</v>
        <stp/>
        <stp>136</stp>
        <stp>BOOM</stp>
        <stp>INDUSTRYEPSGROWTH7Y</stp>
        <stp>0</stp>
        <stp>0</stp>
        <stp>0</stp>
        <stp>0</stp>
        <stp>0</stp>
        <tr r="F25" s="3"/>
      </tp>
      <tp>
        <v>16.2</v>
        <stp/>
        <stp>136</stp>
        <stp>BOOM</stp>
        <stp>INDUSTRYEPSGROWTH5Y</stp>
        <stp>0</stp>
        <stp>0</stp>
        <stp>0</stp>
        <stp>0</stp>
        <stp>0</stp>
        <tr r="E25" s="3"/>
      </tp>
      <tp>
        <v>38</v>
        <stp/>
        <stp>136</stp>
        <stp>BOOM</stp>
        <stp>INDUSTRYEPSGROWTH3Y</stp>
        <stp>0</stp>
        <stp>0</stp>
        <stp>0</stp>
        <stp>0</stp>
        <stp>0</stp>
        <tr r="D25" s="3"/>
      </tp>
      <tp>
        <v>58.9</v>
        <stp/>
        <stp>136</stp>
        <stp>BOOM</stp>
        <stp>INDUSTRYEPSGROWTH1Y</stp>
        <stp>0</stp>
        <stp>0</stp>
        <stp>0</stp>
        <stp>0</stp>
        <stp>0</stp>
        <tr r="C25" s="3"/>
      </tp>
      <tp>
        <v>31.8</v>
        <stp/>
        <stp>136</stp>
        <stp>BOOM</stp>
        <stp>GOODWILLANDINTANGIBLESQ_X</stp>
        <stp>8</stp>
        <stp>0</stp>
        <stp>0</stp>
        <stp>0</stp>
        <stp>0</stp>
        <tr r="J64" s="12"/>
        <tr r="J64" s="11"/>
      </tp>
      <tp>
        <v>12.1</v>
        <stp/>
        <stp>136</stp>
        <stp>BOOM</stp>
        <stp>GOODWILLANDINTANGIBLESQ_X</stp>
        <stp>5</stp>
        <stp>0</stp>
        <stp>0</stp>
        <stp>0</stp>
        <stp>0</stp>
        <tr r="G64" s="12"/>
        <tr r="G64" s="11"/>
      </tp>
      <tp>
        <v>10.5</v>
        <stp/>
        <stp>136</stp>
        <stp>BOOM</stp>
        <stp>GOODWILLANDINTANGIBLESQ_X</stp>
        <stp>4</stp>
        <stp>0</stp>
        <stp>0</stp>
        <stp>0</stp>
        <stp>0</stp>
        <tr r="F64" s="11"/>
        <tr r="F64" s="12"/>
      </tp>
      <tp>
        <v>14</v>
        <stp/>
        <stp>136</stp>
        <stp>BOOM</stp>
        <stp>GOODWILLANDINTANGIBLESQ_X</stp>
        <stp>7</stp>
        <stp>0</stp>
        <stp>0</stp>
        <stp>0</stp>
        <stp>0</stp>
        <tr r="I64" s="12"/>
        <tr r="I64" s="11"/>
      </tp>
      <tp>
        <v>12.9</v>
        <stp/>
        <stp>136</stp>
        <stp>BOOM</stp>
        <stp>GOODWILLANDINTANGIBLESQ_X</stp>
        <stp>6</stp>
        <stp>0</stp>
        <stp>0</stp>
        <stp>0</stp>
        <stp>0</stp>
        <tr r="H64" s="11"/>
        <tr r="H64" s="12"/>
      </tp>
      <tp>
        <v>7.9</v>
        <stp/>
        <stp>136</stp>
        <stp>BOOM</stp>
        <stp>GOODWILLANDINTANGIBLESQ_X</stp>
        <stp>1</stp>
        <stp>0</stp>
        <stp>0</stp>
        <stp>0</stp>
        <stp>0</stp>
        <tr r="C64" s="12"/>
        <tr r="C64" s="11"/>
      </tp>
      <tp>
        <v>9.5</v>
        <stp/>
        <stp>136</stp>
        <stp>BOOM</stp>
        <stp>GOODWILLANDINTANGIBLESQ_X</stp>
        <stp>3</stp>
        <stp>0</stp>
        <stp>0</stp>
        <stp>0</stp>
        <stp>0</stp>
        <tr r="E64" s="11"/>
        <tr r="E64" s="12"/>
      </tp>
      <tp>
        <v>8.6</v>
        <stp/>
        <stp>136</stp>
        <stp>BOOM</stp>
        <stp>GOODWILLANDINTANGIBLESQ_X</stp>
        <stp>2</stp>
        <stp>0</stp>
        <stp>0</stp>
        <stp>0</stp>
        <stp>0</stp>
        <tr r="D64" s="11"/>
        <tr r="D64" s="12"/>
      </tp>
      <tp t="s">
        <v>Valuation-P/CFPS</v>
        <stp/>
        <stp>137</stp>
        <stp/>
        <stp>VALUATIONCFPS</stp>
        <stp>0</stp>
        <stp>0</stp>
        <stp>0</stp>
        <stp>0</stp>
        <stp>0</stp>
        <tr r="B8" s="9"/>
      </tp>
      <tp>
        <v>57.1</v>
        <stp/>
        <stp>136</stp>
        <stp>MSFT</stp>
        <stp>INDUSTRYTOTALLIABILITIESASSETSY_X</stp>
        <stp>1</stp>
        <stp>0</stp>
        <stp>0</stp>
        <stp>0</stp>
        <stp>0</stp>
        <tr r="D47" s="7"/>
      </tp>
      <tp>
        <v>53.2</v>
        <stp/>
        <stp>136</stp>
        <stp>MSFT</stp>
        <stp>INDUSTRYTOTALLIABILITIESASSETSY_X</stp>
        <stp>3</stp>
        <stp>0</stp>
        <stp>0</stp>
        <stp>0</stp>
        <stp>0</stp>
        <tr r="F47" s="7"/>
      </tp>
      <tp>
        <v>56.2</v>
        <stp/>
        <stp>136</stp>
        <stp>MSFT</stp>
        <stp>INDUSTRYTOTALLIABILITIESASSETSY_X</stp>
        <stp>2</stp>
        <stp>0</stp>
        <stp>0</stp>
        <stp>0</stp>
        <stp>0</stp>
        <tr r="E47" s="7"/>
      </tp>
      <tp>
        <v>42.9</v>
        <stp/>
        <stp>136</stp>
        <stp>MSFT</stp>
        <stp>INDUSTRYTOTALLIABILITIESASSETSY_X</stp>
        <stp>5</stp>
        <stp>0</stp>
        <stp>0</stp>
        <stp>0</stp>
        <stp>0</stp>
        <tr r="H47" s="7"/>
      </tp>
      <tp>
        <v>49.4</v>
        <stp/>
        <stp>136</stp>
        <stp>MSFT</stp>
        <stp>INDUSTRYTOTALLIABILITIESASSETSY_X</stp>
        <stp>4</stp>
        <stp>0</stp>
        <stp>0</stp>
        <stp>0</stp>
        <stp>0</stp>
        <tr r="G47" s="7"/>
      </tp>
      <tp>
        <v>46.2</v>
        <stp/>
        <stp>136</stp>
        <stp>MSFT</stp>
        <stp>INDUSTRYTOTALLIABILITIESASSETSY_X</stp>
        <stp>7</stp>
        <stp>0</stp>
        <stp>0</stp>
        <stp>0</stp>
        <stp>0</stp>
        <tr r="J47" s="7"/>
      </tp>
      <tp>
        <v>44.4</v>
        <stp/>
        <stp>136</stp>
        <stp>MSFT</stp>
        <stp>INDUSTRYTOTALLIABILITIESASSETSY_X</stp>
        <stp>6</stp>
        <stp>0</stp>
        <stp>0</stp>
        <stp>0</stp>
        <stp>0</stp>
        <tr r="I47" s="7"/>
      </tp>
      <tp t="s">
        <v>NA</v>
        <stp/>
        <stp>136</stp>
        <stp>AAPL</stp>
        <stp>FLASHDATE</stp>
        <stp>0</stp>
        <stp>0</stp>
        <stp>0</stp>
        <stp>0</stp>
        <stp>0</stp>
        <tr r="C77" s="5"/>
      </tp>
      <tp>
        <v>14.5</v>
        <stp/>
        <stp>136</stp>
        <stp>MSFT</stp>
        <stp>SECTOREPSGROWTHESTLASTMONTH</stp>
        <stp>0</stp>
        <stp>0</stp>
        <stp>0</stp>
        <stp>0</stp>
        <stp>0</stp>
        <tr r="J15" s="8"/>
      </tp>
      <tp>
        <v>0</v>
        <stp/>
        <stp>136</stp>
        <stp>AAPL</stp>
        <stp>NETINSIDERBUYSPCNTSHARESOUT</stp>
        <stp>0</stp>
        <stp>0</stp>
        <stp>0</stp>
        <stp>0</stp>
        <stp>0</stp>
        <tr r="C44" s="5"/>
      </tp>
      <tp t="s">
        <v>Interest Expense-Non-Op.</v>
        <stp/>
        <stp>137</stp>
        <stp/>
        <stp>INTERESTEXPENSENONOPQ_X</stp>
        <stp>0</stp>
        <stp>0</stp>
        <stp>0</stp>
        <stp>0</stp>
        <stp>0</stp>
        <tr r="B19" s="1"/>
        <tr r="B17" s="12"/>
        <tr r="B17" s="11"/>
      </tp>
      <tp>
        <v>1.76</v>
        <stp/>
        <stp>136</stp>
        <stp>MSFT</stp>
        <stp>DIVIDEND12M</stp>
        <stp>0</stp>
        <stp>0</stp>
        <stp>0</stp>
        <stp>0</stp>
        <stp>0</stp>
        <tr r="L35" s="1"/>
      </tp>
      <tp>
        <v>56.9</v>
        <stp/>
        <stp>136</stp>
        <stp>BOOM</stp>
        <stp>TOTALLIABILITIESQ_X</stp>
        <stp>8</stp>
        <stp>0</stp>
        <stp>0</stp>
        <stp>0</stp>
        <stp>0</stp>
        <tr r="J76" s="12"/>
        <tr r="J76" s="11"/>
      </tp>
      <tp>
        <v>117.2</v>
        <stp/>
        <stp>136</stp>
        <stp>BOOM</stp>
        <stp>TOTALLIABILITIESQ_X</stp>
        <stp>1</stp>
        <stp>0</stp>
        <stp>0</stp>
        <stp>0</stp>
        <stp>0</stp>
        <tr r="C76" s="11"/>
        <tr r="C76" s="12"/>
      </tp>
      <tp>
        <v>110.1</v>
        <stp/>
        <stp>136</stp>
        <stp>BOOM</stp>
        <stp>TOTALLIABILITIESQ_X</stp>
        <stp>3</stp>
        <stp>0</stp>
        <stp>0</stp>
        <stp>0</stp>
        <stp>0</stp>
        <tr r="E76" s="11"/>
        <tr r="E76" s="12"/>
      </tp>
      <tp>
        <v>106.1</v>
        <stp/>
        <stp>136</stp>
        <stp>BOOM</stp>
        <stp>TOTALLIABILITIESQ_X</stp>
        <stp>2</stp>
        <stp>0</stp>
        <stp>0</stp>
        <stp>0</stp>
        <stp>0</stp>
        <tr r="D76" s="11"/>
        <tr r="D76" s="12"/>
      </tp>
      <tp>
        <v>87.1</v>
        <stp/>
        <stp>136</stp>
        <stp>BOOM</stp>
        <stp>TOTALLIABILITIESQ_X</stp>
        <stp>5</stp>
        <stp>0</stp>
        <stp>0</stp>
        <stp>0</stp>
        <stp>0</stp>
        <tr r="G76" s="11"/>
        <tr r="G76" s="12"/>
      </tp>
      <tp>
        <v>96.6</v>
        <stp/>
        <stp>136</stp>
        <stp>BOOM</stp>
        <stp>TOTALLIABILITIESQ_X</stp>
        <stp>4</stp>
        <stp>0</stp>
        <stp>0</stp>
        <stp>0</stp>
        <stp>0</stp>
        <tr r="F76" s="12"/>
        <tr r="F76" s="11"/>
      </tp>
      <tp>
        <v>58.6</v>
        <stp/>
        <stp>136</stp>
        <stp>BOOM</stp>
        <stp>TOTALLIABILITIESQ_X</stp>
        <stp>7</stp>
        <stp>0</stp>
        <stp>0</stp>
        <stp>0</stp>
        <stp>0</stp>
        <tr r="I76" s="11"/>
        <tr r="I76" s="12"/>
      </tp>
      <tp>
        <v>67.3</v>
        <stp/>
        <stp>136</stp>
        <stp>BOOM</stp>
        <stp>TOTALLIABILITIESQ_X</stp>
        <stp>6</stp>
        <stp>0</stp>
        <stp>0</stp>
        <stp>0</stp>
        <stp>0</stp>
        <tr r="H76" s="11"/>
        <tr r="H76" s="12"/>
      </tp>
      <tp>
        <v>88</v>
        <stp/>
        <stp>136</stp>
        <stp>MSFT</stp>
        <stp>PCNTRANKRETURNONEQUITY12M</stp>
        <stp>0</stp>
        <stp>0</stp>
        <stp>0</stp>
        <stp>0</stp>
        <stp>0</stp>
        <tr r="C92" s="7"/>
      </tp>
      <tp>
        <v>25.98</v>
        <stp/>
        <stp>136</stp>
        <stp>AAPL</stp>
        <stp>PRICECHANGE3YMEAN</stp>
        <stp>0</stp>
        <stp>0</stp>
        <stp>0</stp>
        <stp>0</stp>
        <stp>0</stp>
        <tr r="C40" s="5"/>
      </tp>
      <tp t="s">
        <v>PE to Div Adj EPS growth 5 Years</v>
        <stp/>
        <stp>137</stp>
        <stp/>
        <stp>PETODIVADJEPSGROWTH5Y</stp>
        <stp>0</stp>
        <stp>0</stp>
        <stp>0</stp>
        <stp>0</stp>
        <stp>0</stp>
        <tr r="B41" s="6"/>
      </tp>
      <tp>
        <v>73</v>
        <stp/>
        <stp>136</stp>
        <stp>AAPL</stp>
        <stp>INDUSTRYVOLUMEAVEDAILY10D</stp>
        <stp>0</stp>
        <stp>0</stp>
        <stp>0</stp>
        <stp>0</stp>
        <stp>0</stp>
        <tr r="D27" s="5"/>
      </tp>
      <tp>
        <v>46.97</v>
        <stp/>
        <stp>136</stp>
        <stp>MSFT</stp>
        <stp>PRICEHIGHM_X</stp>
        <stp>58</stp>
        <stp>0</stp>
        <stp>0</stp>
        <stp>0</stp>
        <stp>0</stp>
        <tr r="D73" s="4"/>
      </tp>
      <tp>
        <v>47.57</v>
        <stp/>
        <stp>136</stp>
        <stp>MSFT</stp>
        <stp>PRICEHIGHM_X</stp>
        <stp>59</stp>
        <stp>0</stp>
        <stp>0</stp>
        <stp>0</stp>
        <stp>0</stp>
        <tr r="D74" s="4"/>
      </tp>
      <tp>
        <v>49.06</v>
        <stp/>
        <stp>136</stp>
        <stp>MSFT</stp>
        <stp>PRICEHIGHM_X</stp>
        <stp>56</stp>
        <stp>0</stp>
        <stp>0</stp>
        <stp>0</stp>
        <stp>0</stp>
        <tr r="D71" s="4"/>
      </tp>
      <tp>
        <v>50.045000000000002</v>
        <stp/>
        <stp>136</stp>
        <stp>MSFT</stp>
        <stp>PRICEHIGHM_X</stp>
        <stp>57</stp>
        <stp>0</stp>
        <stp>0</stp>
        <stp>0</stp>
        <stp>0</stp>
        <tr r="D72" s="4"/>
      </tp>
      <tp>
        <v>44.3</v>
        <stp/>
        <stp>136</stp>
        <stp>MSFT</stp>
        <stp>PRICEHIGHM_X</stp>
        <stp>54</stp>
        <stp>0</stp>
        <stp>0</stp>
        <stp>0</stp>
        <stp>0</stp>
        <tr r="D69" s="4"/>
      </tp>
      <tp>
        <v>47.91</v>
        <stp/>
        <stp>136</stp>
        <stp>MSFT</stp>
        <stp>PRICEHIGHM_X</stp>
        <stp>55</stp>
        <stp>0</stp>
        <stp>0</stp>
        <stp>0</stp>
        <stp>0</stp>
        <tr r="D70" s="4"/>
      </tp>
      <tp>
        <v>49.54</v>
        <stp/>
        <stp>136</stp>
        <stp>MSFT</stp>
        <stp>PRICEHIGHM_X</stp>
        <stp>52</stp>
        <stp>0</stp>
        <stp>0</stp>
        <stp>0</stp>
        <stp>0</stp>
        <tr r="D67" s="4"/>
      </tp>
      <tp>
        <v>44.19</v>
        <stp/>
        <stp>136</stp>
        <stp>MSFT</stp>
        <stp>PRICEHIGHM_X</stp>
        <stp>53</stp>
        <stp>0</stp>
        <stp>0</stp>
        <stp>0</stp>
        <stp>0</stp>
        <tr r="D68" s="4"/>
      </tp>
      <tp>
        <v>47.77</v>
        <stp/>
        <stp>136</stp>
        <stp>MSFT</stp>
        <stp>PRICEHIGHM_X</stp>
        <stp>50</stp>
        <stp>0</stp>
        <stp>0</stp>
        <stp>0</stp>
        <stp>0</stp>
        <tr r="D65" s="4"/>
      </tp>
      <tp>
        <v>48.905000000000001</v>
        <stp/>
        <stp>136</stp>
        <stp>MSFT</stp>
        <stp>PRICEHIGHM_X</stp>
        <stp>51</stp>
        <stp>0</stp>
        <stp>0</stp>
        <stp>0</stp>
        <stp>0</stp>
        <tr r="D66" s="4"/>
      </tp>
      <tp>
        <v>48.41</v>
        <stp/>
        <stp>136</stp>
        <stp>MSFT</stp>
        <stp>PRICEHIGHM_X</stp>
        <stp>48</stp>
        <stp>0</stp>
        <stp>0</stp>
        <stp>0</stp>
        <stp>0</stp>
        <tr r="D63" s="4"/>
      </tp>
      <tp>
        <v>47.4</v>
        <stp/>
        <stp>136</stp>
        <stp>MSFT</stp>
        <stp>PRICEHIGHM_X</stp>
        <stp>49</stp>
        <stp>0</stp>
        <stp>0</stp>
        <stp>0</stp>
        <stp>0</stp>
        <tr r="D64" s="4"/>
      </tp>
      <tp>
        <v>54.37</v>
        <stp/>
        <stp>136</stp>
        <stp>MSFT</stp>
        <stp>PRICEHIGHM_X</stp>
        <stp>46</stp>
        <stp>0</stp>
        <stp>0</stp>
        <stp>0</stp>
        <stp>0</stp>
        <tr r="D61" s="4"/>
      </tp>
      <tp>
        <v>45</v>
        <stp/>
        <stp>136</stp>
        <stp>MSFT</stp>
        <stp>PRICEHIGHM_X</stp>
        <stp>47</stp>
        <stp>0</stp>
        <stp>0</stp>
        <stp>0</stp>
        <stp>0</stp>
        <tr r="D62" s="4"/>
      </tp>
      <tp>
        <v>56.85</v>
        <stp/>
        <stp>136</stp>
        <stp>MSFT</stp>
        <stp>PRICEHIGHM_X</stp>
        <stp>44</stp>
        <stp>0</stp>
        <stp>0</stp>
        <stp>0</stp>
        <stp>0</stp>
        <tr r="D59" s="4"/>
      </tp>
      <tp>
        <v>54.98</v>
        <stp/>
        <stp>136</stp>
        <stp>MSFT</stp>
        <stp>PRICEHIGHM_X</stp>
        <stp>45</stp>
        <stp>0</stp>
        <stp>0</stp>
        <stp>0</stp>
        <stp>0</stp>
        <tr r="D60" s="4"/>
      </tp>
      <tp>
        <v>55.09</v>
        <stp/>
        <stp>136</stp>
        <stp>MSFT</stp>
        <stp>PRICEHIGHM_X</stp>
        <stp>42</stp>
        <stp>0</stp>
        <stp>0</stp>
        <stp>0</stp>
        <stp>0</stp>
        <tr r="D57" s="4"/>
      </tp>
      <tp>
        <v>55.39</v>
        <stp/>
        <stp>136</stp>
        <stp>MSFT</stp>
        <stp>PRICEHIGHM_X</stp>
        <stp>43</stp>
        <stp>0</stp>
        <stp>0</stp>
        <stp>0</stp>
        <stp>0</stp>
        <tr r="D58" s="4"/>
      </tp>
      <tp>
        <v>56.77</v>
        <stp/>
        <stp>136</stp>
        <stp>MSFT</stp>
        <stp>PRICEHIGHM_X</stp>
        <stp>40</stp>
        <stp>0</stp>
        <stp>0</stp>
        <stp>0</stp>
        <stp>0</stp>
        <tr r="D55" s="4"/>
      </tp>
      <tp>
        <v>55.64</v>
        <stp/>
        <stp>136</stp>
        <stp>MSFT</stp>
        <stp>PRICEHIGHM_X</stp>
        <stp>41</stp>
        <stp>0</stp>
        <stp>0</stp>
        <stp>0</stp>
        <stp>0</stp>
        <tr r="D56" s="4"/>
      </tp>
      <tp>
        <v>28.2</v>
        <stp/>
        <stp>136</stp>
        <stp>MSFT</stp>
        <stp>PRICEHIGHM_X</stp>
        <stp>78</stp>
        <stp>0</stp>
        <stp>0</stp>
        <stp>0</stp>
        <stp>0</stp>
        <tr r="D93" s="4"/>
      </tp>
      <tp>
        <v>28.23</v>
        <stp/>
        <stp>136</stp>
        <stp>MSFT</stp>
        <stp>PRICEHIGHM_X</stp>
        <stp>79</stp>
        <stp>0</stp>
        <stp>0</stp>
        <stp>0</stp>
        <stp>0</stp>
        <tr r="D94" s="4"/>
      </tp>
      <tp>
        <v>33.11</v>
        <stp/>
        <stp>136</stp>
        <stp>MSFT</stp>
        <stp>PRICEHIGHM_X</stp>
        <stp>76</stp>
        <stp>0</stp>
        <stp>0</stp>
        <stp>0</stp>
        <stp>0</stp>
        <tr r="D91" s="4"/>
      </tp>
      <tp>
        <v>28.66</v>
        <stp/>
        <stp>136</stp>
        <stp>MSFT</stp>
        <stp>PRICEHIGHM_X</stp>
        <stp>77</stp>
        <stp>0</stp>
        <stp>0</stp>
        <stp>0</stp>
        <stp>0</stp>
        <tr r="D92" s="4"/>
      </tp>
      <tp>
        <v>35.78</v>
        <stp/>
        <stp>136</stp>
        <stp>MSFT</stp>
        <stp>PRICEHIGHM_X</stp>
        <stp>74</stp>
        <stp>0</stp>
        <stp>0</stp>
        <stp>0</stp>
        <stp>0</stp>
        <tr r="D89" s="4"/>
      </tp>
      <tp>
        <v>35.28</v>
        <stp/>
        <stp>136</stp>
        <stp>MSFT</stp>
        <stp>PRICEHIGHM_X</stp>
        <stp>75</stp>
        <stp>0</stp>
        <stp>0</stp>
        <stp>0</stp>
        <stp>0</stp>
        <tr r="D90" s="4"/>
      </tp>
      <tp>
        <v>35.200000000000003</v>
        <stp/>
        <stp>136</stp>
        <stp>MSFT</stp>
        <stp>PRICEHIGHM_X</stp>
        <stp>72</stp>
        <stp>0</stp>
        <stp>0</stp>
        <stp>0</stp>
        <stp>0</stp>
        <tr r="D87" s="4"/>
      </tp>
      <tp>
        <v>36.43</v>
        <stp/>
        <stp>136</stp>
        <stp>MSFT</stp>
        <stp>PRICEHIGHM_X</stp>
        <stp>73</stp>
        <stp>0</stp>
        <stp>0</stp>
        <stp>0</stp>
        <stp>0</stp>
        <tr r="D88" s="4"/>
      </tp>
      <tp>
        <v>36.29</v>
        <stp/>
        <stp>136</stp>
        <stp>MSFT</stp>
        <stp>PRICEHIGHM_X</stp>
        <stp>70</stp>
        <stp>0</stp>
        <stp>0</stp>
        <stp>0</stp>
        <stp>0</stp>
        <tr r="D85" s="4"/>
      </tp>
      <tp>
        <v>33.75</v>
        <stp/>
        <stp>136</stp>
        <stp>MSFT</stp>
        <stp>PRICEHIGHM_X</stp>
        <stp>71</stp>
        <stp>0</stp>
        <stp>0</stp>
        <stp>0</stp>
        <stp>0</stp>
        <tr r="D86" s="4"/>
      </tp>
      <tp>
        <v>38.979999999999997</v>
        <stp/>
        <stp>136</stp>
        <stp>MSFT</stp>
        <stp>PRICEHIGHM_X</stp>
        <stp>68</stp>
        <stp>0</stp>
        <stp>0</stp>
        <stp>0</stp>
        <stp>0</stp>
        <tr r="D83" s="4"/>
      </tp>
      <tp>
        <v>38.29</v>
        <stp/>
        <stp>136</stp>
        <stp>MSFT</stp>
        <stp>PRICEHIGHM_X</stp>
        <stp>69</stp>
        <stp>0</stp>
        <stp>0</stp>
        <stp>0</stp>
        <stp>0</stp>
        <tr r="D84" s="4"/>
      </tp>
      <tp>
        <v>38.46</v>
        <stp/>
        <stp>136</stp>
        <stp>MSFT</stp>
        <stp>PRICEHIGHM_X</stp>
        <stp>66</stp>
        <stp>0</stp>
        <stp>0</stp>
        <stp>0</stp>
        <stp>0</stp>
        <tr r="D81" s="4"/>
      </tp>
      <tp>
        <v>37.89</v>
        <stp/>
        <stp>136</stp>
        <stp>MSFT</stp>
        <stp>PRICEHIGHM_X</stp>
        <stp>67</stp>
        <stp>0</stp>
        <stp>0</stp>
        <stp>0</stp>
        <stp>0</stp>
        <tr r="D82" s="4"/>
      </tp>
      <tp>
        <v>41.66</v>
        <stp/>
        <stp>136</stp>
        <stp>MSFT</stp>
        <stp>PRICEHIGHM_X</stp>
        <stp>64</stp>
        <stp>0</stp>
        <stp>0</stp>
        <stp>0</stp>
        <stp>0</stp>
        <tr r="D79" s="4"/>
      </tp>
      <tp>
        <v>41.5</v>
        <stp/>
        <stp>136</stp>
        <stp>MSFT</stp>
        <stp>PRICEHIGHM_X</stp>
        <stp>65</stp>
        <stp>0</stp>
        <stp>0</stp>
        <stp>0</stp>
        <stp>0</stp>
        <tr r="D80" s="4"/>
      </tp>
      <tp>
        <v>42.29</v>
        <stp/>
        <stp>136</stp>
        <stp>MSFT</stp>
        <stp>PRICEHIGHM_X</stp>
        <stp>62</stp>
        <stp>0</stp>
        <stp>0</stp>
        <stp>0</stp>
        <stp>0</stp>
        <tr r="D77" s="4"/>
      </tp>
      <tp>
        <v>40.97</v>
        <stp/>
        <stp>136</stp>
        <stp>MSFT</stp>
        <stp>PRICEHIGHM_X</stp>
        <stp>63</stp>
        <stp>0</stp>
        <stp>0</stp>
        <stp>0</stp>
        <stp>0</stp>
        <tr r="D78" s="4"/>
      </tp>
      <tp>
        <v>45.47</v>
        <stp/>
        <stp>136</stp>
        <stp>MSFT</stp>
        <stp>PRICEHIGHM_X</stp>
        <stp>60</stp>
        <stp>0</stp>
        <stp>0</stp>
        <stp>0</stp>
        <stp>0</stp>
        <tr r="D75" s="4"/>
      </tp>
      <tp>
        <v>45.71</v>
        <stp/>
        <stp>136</stp>
        <stp>MSFT</stp>
        <stp>PRICEHIGHM_X</stp>
        <stp>61</stp>
        <stp>0</stp>
        <stp>0</stp>
        <stp>0</stp>
        <stp>0</stp>
        <tr r="D76" s="4"/>
      </tp>
      <tp>
        <v>96.07</v>
        <stp/>
        <stp>136</stp>
        <stp>MSFT</stp>
        <stp>PRICEHIGHM_X</stp>
        <stp>18</stp>
        <stp>0</stp>
        <stp>0</stp>
        <stp>0</stp>
        <stp>0</stp>
        <tr r="D33" s="4"/>
      </tp>
      <tp>
        <v>95.45</v>
        <stp/>
        <stp>136</stp>
        <stp>MSFT</stp>
        <stp>PRICEHIGHM_X</stp>
        <stp>19</stp>
        <stp>0</stp>
        <stp>0</stp>
        <stp>0</stp>
        <stp>0</stp>
        <tr r="D34" s="4"/>
      </tp>
      <tp>
        <v>97.9</v>
        <stp/>
        <stp>136</stp>
        <stp>MSFT</stp>
        <stp>PRICEHIGHM_X</stp>
        <stp>16</stp>
        <stp>0</stp>
        <stp>0</stp>
        <stp>0</stp>
        <stp>0</stp>
        <tr r="D31" s="4"/>
      </tp>
      <tp>
        <v>97.24</v>
        <stp/>
        <stp>136</stp>
        <stp>MSFT</stp>
        <stp>PRICEHIGHM_X</stp>
        <stp>17</stp>
        <stp>0</stp>
        <stp>0</stp>
        <stp>0</stp>
        <stp>0</stp>
        <tr r="D32" s="4"/>
      </tp>
      <tp>
        <v>102.69</v>
        <stp/>
        <stp>136</stp>
        <stp>MSFT</stp>
        <stp>PRICEHIGHM_X</stp>
        <stp>14</stp>
        <stp>0</stp>
        <stp>0</stp>
        <stp>0</stp>
        <stp>0</stp>
        <tr r="D29" s="4"/>
      </tp>
      <tp>
        <v>99.99</v>
        <stp/>
        <stp>136</stp>
        <stp>MSFT</stp>
        <stp>PRICEHIGHM_X</stp>
        <stp>15</stp>
        <stp>0</stp>
        <stp>0</stp>
        <stp>0</stp>
        <stp>0</stp>
        <tr r="D30" s="4"/>
      </tp>
      <tp>
        <v>112.777</v>
        <stp/>
        <stp>136</stp>
        <stp>MSFT</stp>
        <stp>PRICEHIGHM_X</stp>
        <stp>12</stp>
        <stp>0</stp>
        <stp>0</stp>
        <stp>0</stp>
        <stp>0</stp>
        <tr r="D27" s="4"/>
      </tp>
      <tp>
        <v>111.15</v>
        <stp/>
        <stp>136</stp>
        <stp>MSFT</stp>
        <stp>PRICEHIGHM_X</stp>
        <stp>13</stp>
        <stp>0</stp>
        <stp>0</stp>
        <stp>0</stp>
        <stp>0</stp>
        <tr r="D28" s="4"/>
      </tp>
      <tp>
        <v>116.18</v>
        <stp/>
        <stp>136</stp>
        <stp>MSFT</stp>
        <stp>PRICEHIGHM_X</stp>
        <stp>10</stp>
        <stp>0</stp>
        <stp>0</stp>
        <stp>0</stp>
        <stp>0</stp>
        <tr r="D25" s="4"/>
      </tp>
      <tp>
        <v>115.29</v>
        <stp/>
        <stp>136</stp>
        <stp>MSFT</stp>
        <stp>PRICEHIGHM_X</stp>
        <stp>11</stp>
        <stp>0</stp>
        <stp>0</stp>
        <stp>0</stp>
        <stp>0</stp>
        <tr r="D26" s="4"/>
      </tp>
      <tp>
        <v>52.95</v>
        <stp/>
        <stp>136</stp>
        <stp>MSFT</stp>
        <stp>PRICEHIGHM_X</stp>
        <stp>38</stp>
        <stp>0</stp>
        <stp>0</stp>
        <stp>0</stp>
        <stp>0</stp>
        <tr r="D53" s="4"/>
      </tp>
      <tp>
        <v>53</v>
        <stp/>
        <stp>136</stp>
        <stp>MSFT</stp>
        <stp>PRICEHIGHM_X</stp>
        <stp>39</stp>
        <stp>0</stp>
        <stp>0</stp>
        <stp>0</stp>
        <stp>0</stp>
        <tr r="D54" s="4"/>
      </tp>
      <tp>
        <v>58.7</v>
        <stp/>
        <stp>136</stp>
        <stp>MSFT</stp>
        <stp>PRICEHIGHM_X</stp>
        <stp>36</stp>
        <stp>0</stp>
        <stp>0</stp>
        <stp>0</stp>
        <stp>0</stp>
        <tr r="D51" s="4"/>
      </tp>
      <tp>
        <v>57.29</v>
        <stp/>
        <stp>136</stp>
        <stp>MSFT</stp>
        <stp>PRICEHIGHM_X</stp>
        <stp>37</stp>
        <stp>0</stp>
        <stp>0</stp>
        <stp>0</stp>
        <stp>0</stp>
        <tr r="D52" s="4"/>
      </tp>
      <tp>
        <v>61.37</v>
        <stp/>
        <stp>136</stp>
        <stp>MSFT</stp>
        <stp>PRICEHIGHM_X</stp>
        <stp>34</stp>
        <stp>0</stp>
        <stp>0</stp>
        <stp>0</stp>
        <stp>0</stp>
        <tr r="D49" s="4"/>
      </tp>
      <tp>
        <v>58.19</v>
        <stp/>
        <stp>136</stp>
        <stp>MSFT</stp>
        <stp>PRICEHIGHM_X</stp>
        <stp>35</stp>
        <stp>0</stp>
        <stp>0</stp>
        <stp>0</stp>
        <stp>0</stp>
        <tr r="D50" s="4"/>
      </tp>
      <tp>
        <v>64.099999999999994</v>
        <stp/>
        <stp>136</stp>
        <stp>MSFT</stp>
        <stp>PRICEHIGHM_X</stp>
        <stp>32</stp>
        <stp>0</stp>
        <stp>0</stp>
        <stp>0</stp>
        <stp>0</stp>
        <tr r="D47" s="4"/>
      </tp>
      <tp>
        <v>61.41</v>
        <stp/>
        <stp>136</stp>
        <stp>MSFT</stp>
        <stp>PRICEHIGHM_X</stp>
        <stp>33</stp>
        <stp>0</stp>
        <stp>0</stp>
        <stp>0</stp>
        <stp>0</stp>
        <tr r="D48" s="4"/>
      </tp>
      <tp>
        <v>65.239999999999995</v>
        <stp/>
        <stp>136</stp>
        <stp>MSFT</stp>
        <stp>PRICEHIGHM_X</stp>
        <stp>30</stp>
        <stp>0</stp>
        <stp>0</stp>
        <stp>0</stp>
        <stp>0</stp>
        <tr r="D45" s="4"/>
      </tp>
      <tp>
        <v>65.91</v>
        <stp/>
        <stp>136</stp>
        <stp>MSFT</stp>
        <stp>PRICEHIGHM_X</stp>
        <stp>31</stp>
        <stp>0</stp>
        <stp>0</stp>
        <stp>0</stp>
        <stp>0</stp>
        <tr r="D46" s="4"/>
      </tp>
      <tp>
        <v>69.14</v>
        <stp/>
        <stp>136</stp>
        <stp>MSFT</stp>
        <stp>PRICEHIGHM_X</stp>
        <stp>28</stp>
        <stp>0</stp>
        <stp>0</stp>
        <stp>0</stp>
        <stp>0</stp>
        <tr r="D43" s="4"/>
      </tp>
      <tp>
        <v>66.19</v>
        <stp/>
        <stp>136</stp>
        <stp>MSFT</stp>
        <stp>PRICEHIGHM_X</stp>
        <stp>29</stp>
        <stp>0</stp>
        <stp>0</stp>
        <stp>0</stp>
        <stp>0</stp>
        <tr r="D44" s="4"/>
      </tp>
      <tp>
        <v>72.89</v>
        <stp/>
        <stp>136</stp>
        <stp>MSFT</stp>
        <stp>PRICEHIGHM_X</stp>
        <stp>26</stp>
        <stp>0</stp>
        <stp>0</stp>
        <stp>0</stp>
        <stp>0</stp>
        <tr r="D41" s="4"/>
      </tp>
      <tp>
        <v>70.739999999999995</v>
        <stp/>
        <stp>136</stp>
        <stp>MSFT</stp>
        <stp>PRICEHIGHM_X</stp>
        <stp>27</stp>
        <stp>0</stp>
        <stp>0</stp>
        <stp>0</stp>
        <stp>0</stp>
        <tr r="D42" s="4"/>
      </tp>
      <tp>
        <v>74.959999999999994</v>
        <stp/>
        <stp>136</stp>
        <stp>MSFT</stp>
        <stp>PRICEHIGHM_X</stp>
        <stp>24</stp>
        <stp>0</stp>
        <stp>0</stp>
        <stp>0</stp>
        <stp>0</stp>
        <tr r="D39" s="4"/>
      </tp>
      <tp>
        <v>74.42</v>
        <stp/>
        <stp>136</stp>
        <stp>MSFT</stp>
        <stp>PRICEHIGHM_X</stp>
        <stp>25</stp>
        <stp>0</stp>
        <stp>0</stp>
        <stp>0</stp>
        <stp>0</stp>
        <tr r="D40" s="4"/>
      </tp>
      <tp>
        <v>86.2</v>
        <stp/>
        <stp>136</stp>
        <stp>MSFT</stp>
        <stp>PRICEHIGHM_X</stp>
        <stp>22</stp>
        <stp>0</stp>
        <stp>0</stp>
        <stp>0</stp>
        <stp>0</stp>
        <tr r="D37" s="4"/>
      </tp>
      <tp>
        <v>75.97</v>
        <stp/>
        <stp>136</stp>
        <stp>MSFT</stp>
        <stp>PRICEHIGHM_X</stp>
        <stp>23</stp>
        <stp>0</stp>
        <stp>0</stp>
        <stp>0</stp>
        <stp>0</stp>
        <tr r="D38" s="4"/>
      </tp>
      <tp>
        <v>87.5</v>
        <stp/>
        <stp>136</stp>
        <stp>MSFT</stp>
        <stp>PRICEHIGHM_X</stp>
        <stp>20</stp>
        <stp>0</stp>
        <stp>0</stp>
        <stp>0</stp>
        <stp>0</stp>
        <tr r="D35" s="4"/>
      </tp>
      <tp>
        <v>85.06</v>
        <stp/>
        <stp>136</stp>
        <stp>MSFT</stp>
        <stp>PRICEHIGHM_X</stp>
        <stp>21</stp>
        <stp>0</stp>
        <stp>0</stp>
        <stp>0</stp>
        <stp>0</stp>
        <tr r="D36" s="4"/>
      </tp>
      <tp>
        <v>26</v>
        <stp/>
        <stp>136</stp>
        <stp>MSFT</stp>
        <stp>PRICEHIGHM_X</stp>
        <stp>98</stp>
        <stp>0</stp>
        <stp>0</stp>
        <stp>0</stp>
        <stp>0</stp>
        <tr r="D113" s="4"/>
      </tp>
      <tp>
        <v>26.25</v>
        <stp/>
        <stp>136</stp>
        <stp>MSFT</stp>
        <stp>PRICEHIGHM_X</stp>
        <stp>99</stp>
        <stp>0</stp>
        <stp>0</stp>
        <stp>0</stp>
        <stp>0</stp>
        <tr r="D114" s="4"/>
      </tp>
      <tp>
        <v>27.684999999999999</v>
        <stp/>
        <stp>136</stp>
        <stp>MSFT</stp>
        <stp>PRICEHIGHM_X</stp>
        <stp>96</stp>
        <stp>0</stp>
        <stp>0</stp>
        <stp>0</stp>
        <stp>0</stp>
        <tr r="D111" s="4"/>
      </tp>
      <tp>
        <v>28.145</v>
        <stp/>
        <stp>136</stp>
        <stp>MSFT</stp>
        <stp>PRICEHIGHM_X</stp>
        <stp>97</stp>
        <stp>0</stp>
        <stp>0</stp>
        <stp>0</stp>
        <stp>0</stp>
        <tr r="D112" s="4"/>
      </tp>
      <tp>
        <v>27.5</v>
        <stp/>
        <stp>136</stp>
        <stp>MSFT</stp>
        <stp>PRICEHIGHM_X</stp>
        <stp>94</stp>
        <stp>0</stp>
        <stp>0</stp>
        <stp>0</stp>
        <stp>0</stp>
        <tr r="D109" s="4"/>
      </tp>
      <tp>
        <v>27.5</v>
        <stp/>
        <stp>136</stp>
        <stp>MSFT</stp>
        <stp>PRICEHIGHM_X</stp>
        <stp>95</stp>
        <stp>0</stp>
        <stp>0</stp>
        <stp>0</stp>
        <stp>0</stp>
        <tr r="D110" s="4"/>
      </tp>
      <tp>
        <v>26.19</v>
        <stp/>
        <stp>136</stp>
        <stp>MSFT</stp>
        <stp>PRICEHIGHM_X</stp>
        <stp>92</stp>
        <stp>0</stp>
        <stp>0</stp>
        <stp>0</stp>
        <stp>0</stp>
        <tr r="D107" s="4"/>
      </tp>
      <tp>
        <v>27.2</v>
        <stp/>
        <stp>136</stp>
        <stp>MSFT</stp>
        <stp>PRICEHIGHM_X</stp>
        <stp>93</stp>
        <stp>0</stp>
        <stp>0</stp>
        <stp>0</stp>
        <stp>0</stp>
        <tr r="D108" s="4"/>
      </tp>
      <tp>
        <v>32</v>
        <stp/>
        <stp>136</stp>
        <stp>MSFT</stp>
        <stp>PRICEHIGHM_X</stp>
        <stp>90</stp>
        <stp>0</stp>
        <stp>0</stp>
        <stp>0</stp>
        <stp>0</stp>
        <tr r="D105" s="4"/>
      </tp>
      <tp>
        <v>29.95</v>
        <stp/>
        <stp>136</stp>
        <stp>MSFT</stp>
        <stp>PRICEHIGHM_X</stp>
        <stp>91</stp>
        <stp>0</stp>
        <stp>0</stp>
        <stp>0</stp>
        <stp>0</stp>
        <tr r="D106" s="4"/>
      </tp>
      <tp>
        <v>32.89</v>
        <stp/>
        <stp>136</stp>
        <stp>MSFT</stp>
        <stp>PRICEHIGHM_X</stp>
        <stp>88</stp>
        <stp>0</stp>
        <stp>0</stp>
        <stp>0</stp>
        <stp>0</stp>
        <tr r="D103" s="4"/>
      </tp>
      <tp>
        <v>32.950000000000003</v>
        <stp/>
        <stp>136</stp>
        <stp>MSFT</stp>
        <stp>PRICEHIGHM_X</stp>
        <stp>89</stp>
        <stp>0</stp>
        <stp>0</stp>
        <stp>0</stp>
        <stp>0</stp>
        <tr r="D104" s="4"/>
      </tp>
      <tp>
        <v>31.14</v>
        <stp/>
        <stp>136</stp>
        <stp>MSFT</stp>
        <stp>PRICEHIGHM_X</stp>
        <stp>86</stp>
        <stp>0</stp>
        <stp>0</stp>
        <stp>0</stp>
        <stp>0</stp>
        <tr r="D101" s="4"/>
      </tp>
      <tp>
        <v>32.335000000000001</v>
        <stp/>
        <stp>136</stp>
        <stp>MSFT</stp>
        <stp>PRICEHIGHM_X</stp>
        <stp>87</stp>
        <stp>0</stp>
        <stp>0</stp>
        <stp>0</stp>
        <stp>0</stp>
        <tr r="D102" s="4"/>
      </tp>
      <tp>
        <v>30.96</v>
        <stp/>
        <stp>136</stp>
        <stp>MSFT</stp>
        <stp>PRICEHIGHM_X</stp>
        <stp>84</stp>
        <stp>0</stp>
        <stp>0</stp>
        <stp>0</stp>
        <stp>0</stp>
        <tr r="D99" s="4"/>
      </tp>
      <tp>
        <v>31.05</v>
        <stp/>
        <stp>136</stp>
        <stp>MSFT</stp>
        <stp>PRICEHIGHM_X</stp>
        <stp>85</stp>
        <stp>0</stp>
        <stp>0</stp>
        <stp>0</stp>
        <stp>0</stp>
        <tr r="D100" s="4"/>
      </tp>
      <tp>
        <v>30.25</v>
        <stp/>
        <stp>136</stp>
        <stp>MSFT</stp>
        <stp>PRICEHIGHM_X</stp>
        <stp>82</stp>
        <stp>0</stp>
        <stp>0</stp>
        <stp>0</stp>
        <stp>0</stp>
        <tr r="D97" s="4"/>
      </tp>
      <tp>
        <v>31.61</v>
        <stp/>
        <stp>136</stp>
        <stp>MSFT</stp>
        <stp>PRICEHIGHM_X</stp>
        <stp>83</stp>
        <stp>0</stp>
        <stp>0</stp>
        <stp>0</stp>
        <stp>0</stp>
        <tr r="D98" s="4"/>
      </tp>
      <tp>
        <v>27.73</v>
        <stp/>
        <stp>136</stp>
        <stp>MSFT</stp>
        <stp>PRICEHIGHM_X</stp>
        <stp>80</stp>
        <stp>0</stp>
        <stp>0</stp>
        <stp>0</stp>
        <stp>0</stp>
        <tr r="D95" s="4"/>
      </tp>
      <tp>
        <v>30.2</v>
        <stp/>
        <stp>136</stp>
        <stp>MSFT</stp>
        <stp>PRICEHIGHM_X</stp>
        <stp>81</stp>
        <stp>0</stp>
        <stp>0</stp>
        <stp>0</stp>
        <stp>0</stp>
        <tr r="D96" s="4"/>
      </tp>
      <tp>
        <v>8.8000000000000007</v>
        <stp/>
        <stp>136</stp>
        <stp>MSFT</stp>
        <stp>QTRLYSURPRISESUEQ1</stp>
        <stp>0</stp>
        <stp>0</stp>
        <stp>0</stp>
        <stp>0</stp>
        <stp>0</stp>
        <tr r="C29" s="8"/>
      </tp>
      <tp>
        <v>2.4</v>
        <stp/>
        <stp>136</stp>
        <stp>BOOM</stp>
        <stp>SECTORSALESGROWTH7Y</stp>
        <stp>0</stp>
        <stp>0</stp>
        <stp>0</stp>
        <stp>0</stp>
        <stp>0</stp>
        <tr r="F34" s="3"/>
      </tp>
      <tp>
        <v>3.2</v>
        <stp/>
        <stp>136</stp>
        <stp>BOOM</stp>
        <stp>SECTORSALESGROWTH5Y</stp>
        <stp>0</stp>
        <stp>0</stp>
        <stp>0</stp>
        <stp>0</stp>
        <stp>0</stp>
        <tr r="E34" s="3"/>
      </tp>
      <tp>
        <v>6.1</v>
        <stp/>
        <stp>136</stp>
        <stp>BOOM</stp>
        <stp>SECTORSALESGROWTH3Y</stp>
        <stp>0</stp>
        <stp>0</stp>
        <stp>0</stp>
        <stp>0</stp>
        <stp>0</stp>
        <tr r="D34" s="3"/>
      </tp>
      <tp>
        <v>9</v>
        <stp/>
        <stp>136</stp>
        <stp>BOOM</stp>
        <stp>SECTORSALESGROWTH1Y</stp>
        <stp>0</stp>
        <stp>0</stp>
        <stp>0</stp>
        <stp>0</stp>
        <stp>0</stp>
        <tr r="C34" s="3"/>
      </tp>
      <tp>
        <v>-1</v>
        <stp/>
        <stp>136</stp>
        <stp>BOOM</stp>
        <stp>INCOMEAFTERTAXESQ_X</stp>
        <stp>6</stp>
        <stp>0</stp>
        <stp>0</stp>
        <stp>0</stp>
        <stp>0</stp>
        <tr r="H22" s="12"/>
        <tr r="H22" s="11"/>
      </tp>
      <tp>
        <v>-14.1</v>
        <stp/>
        <stp>136</stp>
        <stp>BOOM</stp>
        <stp>INCOMEAFTERTAXESQ_X</stp>
        <stp>7</stp>
        <stp>0</stp>
        <stp>0</stp>
        <stp>0</stp>
        <stp>0</stp>
        <tr r="I22" s="11"/>
        <tr r="I22" s="12"/>
      </tp>
      <tp>
        <v>10</v>
        <stp/>
        <stp>136</stp>
        <stp>BOOM</stp>
        <stp>INCOMEAFTERTAXESQ_X</stp>
        <stp>4</stp>
        <stp>0</stp>
        <stp>0</stp>
        <stp>0</stp>
        <stp>0</stp>
        <tr r="F22" s="12"/>
        <tr r="F22" s="11"/>
      </tp>
      <tp>
        <v>3.7</v>
        <stp/>
        <stp>136</stp>
        <stp>BOOM</stp>
        <stp>INCOMEAFTERTAXESQ_X</stp>
        <stp>5</stp>
        <stp>0</stp>
        <stp>0</stp>
        <stp>0</stp>
        <stp>0</stp>
        <tr r="G22" s="12"/>
        <tr r="G22" s="11"/>
      </tp>
      <tp>
        <v>16.100000000000001</v>
        <stp/>
        <stp>136</stp>
        <stp>BOOM</stp>
        <stp>INCOMEAFTERTAXESQ_X</stp>
        <stp>2</stp>
        <stp>0</stp>
        <stp>0</stp>
        <stp>0</stp>
        <stp>0</stp>
        <tr r="D22" s="12"/>
        <tr r="D22" s="11"/>
      </tp>
      <tp>
        <v>4.9000000000000004</v>
        <stp/>
        <stp>136</stp>
        <stp>BOOM</stp>
        <stp>INCOMEAFTERTAXESQ_X</stp>
        <stp>3</stp>
        <stp>0</stp>
        <stp>0</stp>
        <stp>0</stp>
        <stp>0</stp>
        <tr r="E22" s="12"/>
        <tr r="E22" s="11"/>
      </tp>
      <tp>
        <v>15.2</v>
        <stp/>
        <stp>136</stp>
        <stp>BOOM</stp>
        <stp>INCOMEAFTERTAXESQ_X</stp>
        <stp>1</stp>
        <stp>0</stp>
        <stp>0</stp>
        <stp>0</stp>
        <stp>0</stp>
        <tr r="C22" s="11"/>
        <tr r="C22" s="12"/>
      </tp>
      <tp>
        <v>-2.8</v>
        <stp/>
        <stp>136</stp>
        <stp>BOOM</stp>
        <stp>INCOMEAFTERTAXESQ_X</stp>
        <stp>8</stp>
        <stp>0</stp>
        <stp>0</stp>
        <stp>0</stp>
        <stp>0</stp>
        <tr r="J22" s="12"/>
        <tr r="J22" s="11"/>
      </tp>
      <tp>
        <v>8.49</v>
        <stp/>
        <stp>136</stp>
        <stp>MSFT</stp>
        <stp>DCFOCFQ_X</stp>
        <stp>4</stp>
        <stp>0</stp>
        <stp>0</stp>
        <stp>0</stp>
        <stp>0</stp>
        <tr r="F51" s="1"/>
      </tp>
      <tp>
        <v>-2.2999999999999998</v>
        <stp/>
        <stp>136</stp>
        <stp>MSFT</stp>
        <stp>DCFOCFQ_X</stp>
        <stp>2</stp>
        <stp>0</stp>
        <stp>0</stp>
        <stp>0</stp>
        <stp>0</stp>
        <tr r="D51" s="1"/>
      </tp>
      <tp>
        <v>-6.67</v>
        <stp/>
        <stp>136</stp>
        <stp>MSFT</stp>
        <stp>DCFOCFQ_X</stp>
        <stp>3</stp>
        <stp>0</stp>
        <stp>0</stp>
        <stp>0</stp>
        <stp>0</stp>
        <tr r="E51" s="1"/>
      </tp>
      <tp>
        <v>4.37</v>
        <stp/>
        <stp>136</stp>
        <stp>MSFT</stp>
        <stp>DCFOCFQ_X</stp>
        <stp>1</stp>
        <stp>0</stp>
        <stp>0</stp>
        <stp>0</stp>
        <stp>0</stp>
        <tr r="C51" s="1"/>
      </tp>
      <tp t="s">
        <v>% Rank-Sales Growth</v>
        <stp/>
        <stp>137</stp>
        <stp/>
        <stp>PCNTRANKSALESGROWTH1Y</stp>
        <stp>1</stp>
        <stp>0</stp>
        <stp>0</stp>
        <stp>0</stp>
        <stp>0</stp>
        <tr r="B48" s="3"/>
      </tp>
      <tp>
        <v>98</v>
        <stp/>
        <stp>136</stp>
        <stp>BOOM</stp>
        <stp>PCNTRANKEPSDILCONTGROWTH12M</stp>
        <stp>0</stp>
        <stp>0</stp>
        <stp>0</stp>
        <stp>0</stp>
        <stp>0</stp>
        <tr r="G55" s="3"/>
      </tp>
      <tp>
        <v>458.2</v>
        <stp/>
        <stp>136</stp>
        <stp>BOOM</stp>
        <stp>EPSDILCONTGROWTH12M</stp>
        <stp>0</stp>
        <stp>0</stp>
        <stp>0</stp>
        <stp>0</stp>
        <stp>0</stp>
        <tr r="G14" s="3"/>
      </tp>
      <tp>
        <v>39.299999999999997</v>
        <stp/>
        <stp>136</stp>
        <stp>MSFT</stp>
        <stp>RETURNONEQUITY12M</stp>
        <stp>0</stp>
        <stp>0</stp>
        <stp>0</stp>
        <stp>0</stp>
        <stp>0</stp>
        <tr r="C11" s="7"/>
      </tp>
      <tp>
        <v>3.08</v>
        <stp/>
        <stp>136</stp>
        <stp>AAPL</stp>
        <stp>DIVIDENDINDICATED</stp>
        <stp>0</stp>
        <stp>0</stp>
        <stp>0</stp>
        <stp>0</stp>
        <stp>0</stp>
        <tr r="C49" s="5"/>
      </tp>
      <tp t="s">
        <v>Short Interest % Change M2 to M1</v>
        <stp/>
        <stp>137</stp>
        <stp/>
        <stp>SHORTINTERESTPCNTCHANGEM2TOM1</stp>
        <stp>0</stp>
        <stp>0</stp>
        <stp>0</stp>
        <stp>0</stp>
        <stp>0</stp>
        <tr r="B45" s="5"/>
      </tp>
      <tp>
        <v>48.4</v>
        <stp/>
        <stp>136</stp>
        <stp>BEAT</stp>
        <stp>NETFIXEDASSETSQ_X</stp>
        <stp>2</stp>
        <stp>0</stp>
        <stp>0</stp>
        <stp>0</stp>
        <stp>0</stp>
        <tr r="G43" s="13"/>
      </tp>
      <tp>
        <v>47.8</v>
        <stp/>
        <stp>136</stp>
        <stp>BEAT</stp>
        <stp>NETFIXEDASSETSQ_X</stp>
        <stp>3</stp>
        <stp>0</stp>
        <stp>0</stp>
        <stp>0</stp>
        <stp>0</stp>
        <tr r="H43" s="13"/>
      </tp>
      <tp>
        <v>71.099999999999994</v>
        <stp/>
        <stp>136</stp>
        <stp>BEAT</stp>
        <stp>NETFIXEDASSETSQ_X</stp>
        <stp>1</stp>
        <stp>0</stp>
        <stp>0</stp>
        <stp>0</stp>
        <stp>0</stp>
        <tr r="F43" s="13"/>
      </tp>
      <tp>
        <v>47.7</v>
        <stp/>
        <stp>136</stp>
        <stp>BEAT</stp>
        <stp>NETFIXEDASSETSQ_X</stp>
        <stp>4</stp>
        <stp>0</stp>
        <stp>0</stp>
        <stp>0</stp>
        <stp>0</stp>
        <tr r="I43" s="13"/>
      </tp>
      <tp t="s">
        <v>Industry Price/Sales</v>
        <stp/>
        <stp>137</stp>
        <stp/>
        <stp>INDUSTRYPRICEPERSALES</stp>
        <stp>0</stp>
        <stp>0</stp>
        <stp>0</stp>
        <stp>0</stp>
        <stp>0</stp>
        <tr r="B16" s="6"/>
      </tp>
      <tp>
        <v>1.8</v>
        <stp/>
        <stp>136</stp>
        <stp>AAPL</stp>
        <stp>INDUSTRYLTDEBTWORKINGCAPQ1</stp>
        <stp>0</stp>
        <stp>0</stp>
        <stp>0</stp>
        <stp>0</stp>
        <stp>0</stp>
        <tr r="D53" s="5"/>
      </tp>
      <tp>
        <v>23.8</v>
        <stp/>
        <stp>136</stp>
        <stp>MSFT</stp>
        <stp>RETURNONEQUITYAVE5Y</stp>
        <stp>0</stp>
        <stp>0</stp>
        <stp>0</stp>
        <stp>0</stp>
        <stp>0</stp>
        <tr r="K11" s="7"/>
      </tp>
      <tp>
        <v>2.5</v>
        <stp/>
        <stp>136</stp>
        <stp>MSFT</stp>
        <stp>SECTORPRICEPERSALES</stp>
        <stp>0</stp>
        <stp>0</stp>
        <stp>0</stp>
        <stp>0</stp>
        <stp>0</stp>
        <tr r="C24" s="6"/>
      </tp>
      <tp>
        <v>59.1</v>
        <stp/>
        <stp>136</stp>
        <stp>BOOM</stp>
        <stp>INDUSTRYCASHFLOWGROWTH12M</stp>
        <stp>0</stp>
        <stp>0</stp>
        <stp>0</stp>
        <stp>0</stp>
        <stp>0</stp>
        <tr r="G29" s="3"/>
      </tp>
      <tp>
        <v>21.4</v>
        <stp/>
        <stp>136</stp>
        <stp>BOOM</stp>
        <stp>SECTOREPSGROWTH3Y</stp>
        <stp>0</stp>
        <stp>0</stp>
        <stp>0</stp>
        <stp>0</stp>
        <stp>0</stp>
        <tr r="D39" s="3"/>
      </tp>
      <tp>
        <v>10.6</v>
        <stp/>
        <stp>136</stp>
        <stp>BOOM</stp>
        <stp>SECTOREPSGROWTH1Y</stp>
        <stp>0</stp>
        <stp>0</stp>
        <stp>0</stp>
        <stp>0</stp>
        <stp>0</stp>
        <tr r="C39" s="3"/>
      </tp>
      <tp>
        <v>5.8</v>
        <stp/>
        <stp>136</stp>
        <stp>BOOM</stp>
        <stp>SECTOREPSGROWTH7Y</stp>
        <stp>0</stp>
        <stp>0</stp>
        <stp>0</stp>
        <stp>0</stp>
        <stp>0</stp>
        <tr r="F39" s="3"/>
      </tp>
      <tp>
        <v>12.3</v>
        <stp/>
        <stp>136</stp>
        <stp>BOOM</stp>
        <stp>SECTOREPSGROWTH5Y</stp>
        <stp>0</stp>
        <stp>0</stp>
        <stp>0</stp>
        <stp>0</stp>
        <stp>0</stp>
        <tr r="E39" s="3"/>
      </tp>
      <tp t="s">
        <v>Sales-Growth</v>
        <stp/>
        <stp>137</stp>
        <stp/>
        <stp>SALESGROWTH1Y</stp>
        <stp>1</stp>
        <stp>0</stp>
        <stp>0</stp>
        <stp>0</stp>
        <stp>0</stp>
        <tr r="B6" s="3"/>
      </tp>
      <tp>
        <v>40786</v>
        <stp/>
        <stp>136</stp>
        <stp>MSFT</stp>
        <stp>PRICEDATEM_X</stp>
        <stp>96</stp>
        <stp>0</stp>
        <stp>0</stp>
        <stp>0</stp>
        <stp>0</stp>
        <tr r="C111" s="4"/>
      </tp>
      <tp>
        <v>40753</v>
        <stp/>
        <stp>136</stp>
        <stp>MSFT</stp>
        <stp>PRICEDATEM_X</stp>
        <stp>97</stp>
        <stp>0</stp>
        <stp>0</stp>
        <stp>0</stp>
        <stp>0</stp>
        <tr r="C112" s="4"/>
      </tp>
      <tp>
        <v>40847</v>
        <stp/>
        <stp>136</stp>
        <stp>MSFT</stp>
        <stp>PRICEDATEM_X</stp>
        <stp>94</stp>
        <stp>0</stp>
        <stp>0</stp>
        <stp>0</stp>
        <stp>0</stp>
        <tr r="C109" s="4"/>
      </tp>
      <tp>
        <v>40816</v>
        <stp/>
        <stp>136</stp>
        <stp>MSFT</stp>
        <stp>PRICEDATEM_X</stp>
        <stp>95</stp>
        <stp>0</stp>
        <stp>0</stp>
        <stp>0</stp>
        <stp>0</stp>
        <tr r="C110" s="4"/>
      </tp>
      <tp>
        <v>40907</v>
        <stp/>
        <stp>136</stp>
        <stp>MSFT</stp>
        <stp>PRICEDATEM_X</stp>
        <stp>92</stp>
        <stp>0</stp>
        <stp>0</stp>
        <stp>0</stp>
        <stp>0</stp>
        <tr r="C107" s="4"/>
      </tp>
      <tp>
        <v>40877</v>
        <stp/>
        <stp>136</stp>
        <stp>MSFT</stp>
        <stp>PRICEDATEM_X</stp>
        <stp>93</stp>
        <stp>0</stp>
        <stp>0</stp>
        <stp>0</stp>
        <stp>0</stp>
        <tr r="C108" s="4"/>
      </tp>
      <tp>
        <v>40968</v>
        <stp/>
        <stp>136</stp>
        <stp>MSFT</stp>
        <stp>PRICEDATEM_X</stp>
        <stp>90</stp>
        <stp>0</stp>
        <stp>0</stp>
        <stp>0</stp>
        <stp>0</stp>
        <tr r="C105" s="4"/>
      </tp>
      <tp>
        <v>40939</v>
        <stp/>
        <stp>136</stp>
        <stp>MSFT</stp>
        <stp>PRICEDATEM_X</stp>
        <stp>91</stp>
        <stp>0</stp>
        <stp>0</stp>
        <stp>0</stp>
        <stp>0</stp>
        <tr r="C106" s="4"/>
      </tp>
      <tp>
        <v>40724</v>
        <stp/>
        <stp>136</stp>
        <stp>MSFT</stp>
        <stp>PRICEDATEM_X</stp>
        <stp>98</stp>
        <stp>0</stp>
        <stp>0</stp>
        <stp>0</stp>
        <stp>0</stp>
        <tr r="C113" s="4"/>
      </tp>
      <tp>
        <v>40694</v>
        <stp/>
        <stp>136</stp>
        <stp>MSFT</stp>
        <stp>PRICEDATEM_X</stp>
        <stp>99</stp>
        <stp>0</stp>
        <stp>0</stp>
        <stp>0</stp>
        <stp>0</stp>
        <tr r="C114" s="4"/>
      </tp>
      <tp>
        <v>41089</v>
        <stp/>
        <stp>136</stp>
        <stp>MSFT</stp>
        <stp>PRICEDATEM_X</stp>
        <stp>86</stp>
        <stp>0</stp>
        <stp>0</stp>
        <stp>0</stp>
        <stp>0</stp>
        <tr r="C101" s="4"/>
      </tp>
      <tp>
        <v>41060</v>
        <stp/>
        <stp>136</stp>
        <stp>MSFT</stp>
        <stp>PRICEDATEM_X</stp>
        <stp>87</stp>
        <stp>0</stp>
        <stp>0</stp>
        <stp>0</stp>
        <stp>0</stp>
        <tr r="C102" s="4"/>
      </tp>
      <tp>
        <v>41152</v>
        <stp/>
        <stp>136</stp>
        <stp>MSFT</stp>
        <stp>PRICEDATEM_X</stp>
        <stp>84</stp>
        <stp>0</stp>
        <stp>0</stp>
        <stp>0</stp>
        <stp>0</stp>
        <tr r="C99" s="4"/>
      </tp>
      <tp>
        <v>41121</v>
        <stp/>
        <stp>136</stp>
        <stp>MSFT</stp>
        <stp>PRICEDATEM_X</stp>
        <stp>85</stp>
        <stp>0</stp>
        <stp>0</stp>
        <stp>0</stp>
        <stp>0</stp>
        <tr r="C100" s="4"/>
      </tp>
      <tp>
        <v>41213</v>
        <stp/>
        <stp>136</stp>
        <stp>MSFT</stp>
        <stp>PRICEDATEM_X</stp>
        <stp>82</stp>
        <stp>0</stp>
        <stp>0</stp>
        <stp>0</stp>
        <stp>0</stp>
        <tr r="C97" s="4"/>
      </tp>
      <tp>
        <v>41180</v>
        <stp/>
        <stp>136</stp>
        <stp>MSFT</stp>
        <stp>PRICEDATEM_X</stp>
        <stp>83</stp>
        <stp>0</stp>
        <stp>0</stp>
        <stp>0</stp>
        <stp>0</stp>
        <tr r="C98" s="4"/>
      </tp>
      <tp>
        <v>41274</v>
        <stp/>
        <stp>136</stp>
        <stp>MSFT</stp>
        <stp>PRICEDATEM_X</stp>
        <stp>80</stp>
        <stp>0</stp>
        <stp>0</stp>
        <stp>0</stp>
        <stp>0</stp>
        <tr r="C95" s="4"/>
      </tp>
      <tp>
        <v>41243</v>
        <stp/>
        <stp>136</stp>
        <stp>MSFT</stp>
        <stp>PRICEDATEM_X</stp>
        <stp>81</stp>
        <stp>0</stp>
        <stp>0</stp>
        <stp>0</stp>
        <stp>0</stp>
        <tr r="C96" s="4"/>
      </tp>
      <tp>
        <v>41029</v>
        <stp/>
        <stp>136</stp>
        <stp>MSFT</stp>
        <stp>PRICEDATEM_X</stp>
        <stp>88</stp>
        <stp>0</stp>
        <stp>0</stp>
        <stp>0</stp>
        <stp>0</stp>
        <tr r="C103" s="4"/>
      </tp>
      <tp>
        <v>40998</v>
        <stp/>
        <stp>136</stp>
        <stp>MSFT</stp>
        <stp>PRICEDATEM_X</stp>
        <stp>89</stp>
        <stp>0</stp>
        <stp>0</stp>
        <stp>0</stp>
        <stp>0</stp>
        <tr r="C104" s="4"/>
      </tp>
      <tp>
        <v>43220</v>
        <stp/>
        <stp>136</stp>
        <stp>MSFT</stp>
        <stp>PRICEDATEM_X</stp>
        <stp>16</stp>
        <stp>0</stp>
        <stp>0</stp>
        <stp>0</stp>
        <stp>0</stp>
        <tr r="C31" s="4"/>
      </tp>
      <tp>
        <v>43188</v>
        <stp/>
        <stp>136</stp>
        <stp>MSFT</stp>
        <stp>PRICEDATEM_X</stp>
        <stp>17</stp>
        <stp>0</stp>
        <stp>0</stp>
        <stp>0</stp>
        <stp>0</stp>
        <tr r="C32" s="4"/>
      </tp>
      <tp>
        <v>43280</v>
        <stp/>
        <stp>136</stp>
        <stp>MSFT</stp>
        <stp>PRICEDATEM_X</stp>
        <stp>14</stp>
        <stp>0</stp>
        <stp>0</stp>
        <stp>0</stp>
        <stp>0</stp>
        <tr r="C29" s="4"/>
      </tp>
      <tp>
        <v>43251</v>
        <stp/>
        <stp>136</stp>
        <stp>MSFT</stp>
        <stp>PRICEDATEM_X</stp>
        <stp>15</stp>
        <stp>0</stp>
        <stp>0</stp>
        <stp>0</stp>
        <stp>0</stp>
        <tr r="C30" s="4"/>
      </tp>
      <tp>
        <v>43343</v>
        <stp/>
        <stp>136</stp>
        <stp>MSFT</stp>
        <stp>PRICEDATEM_X</stp>
        <stp>12</stp>
        <stp>0</stp>
        <stp>0</stp>
        <stp>0</stp>
        <stp>0</stp>
        <tr r="C27" s="4"/>
      </tp>
      <tp>
        <v>43312</v>
        <stp/>
        <stp>136</stp>
        <stp>MSFT</stp>
        <stp>PRICEDATEM_X</stp>
        <stp>13</stp>
        <stp>0</stp>
        <stp>0</stp>
        <stp>0</stp>
        <stp>0</stp>
        <tr r="C28" s="4"/>
      </tp>
      <tp>
        <v>43404</v>
        <stp/>
        <stp>136</stp>
        <stp>MSFT</stp>
        <stp>PRICEDATEM_X</stp>
        <stp>10</stp>
        <stp>0</stp>
        <stp>0</stp>
        <stp>0</stp>
        <stp>0</stp>
        <tr r="C25" s="4"/>
      </tp>
      <tp>
        <v>43371</v>
        <stp/>
        <stp>136</stp>
        <stp>MSFT</stp>
        <stp>PRICEDATEM_X</stp>
        <stp>11</stp>
        <stp>0</stp>
        <stp>0</stp>
        <stp>0</stp>
        <stp>0</stp>
        <tr r="C26" s="4"/>
      </tp>
      <tp>
        <v>43159</v>
        <stp/>
        <stp>136</stp>
        <stp>MSFT</stp>
        <stp>PRICEDATEM_X</stp>
        <stp>18</stp>
        <stp>0</stp>
        <stp>0</stp>
        <stp>0</stp>
        <stp>0</stp>
        <tr r="C33" s="4"/>
      </tp>
      <tp>
        <v>43131</v>
        <stp/>
        <stp>136</stp>
        <stp>MSFT</stp>
        <stp>PRICEDATEM_X</stp>
        <stp>19</stp>
        <stp>0</stp>
        <stp>0</stp>
        <stp>0</stp>
        <stp>0</stp>
        <tr r="C34" s="4"/>
      </tp>
      <tp>
        <v>42613</v>
        <stp/>
        <stp>136</stp>
        <stp>MSFT</stp>
        <stp>PRICEDATEM_X</stp>
        <stp>36</stp>
        <stp>0</stp>
        <stp>0</stp>
        <stp>0</stp>
        <stp>0</stp>
        <tr r="C51" s="4"/>
      </tp>
      <tp>
        <v>42580</v>
        <stp/>
        <stp>136</stp>
        <stp>MSFT</stp>
        <stp>PRICEDATEM_X</stp>
        <stp>37</stp>
        <stp>0</stp>
        <stp>0</stp>
        <stp>0</stp>
        <stp>0</stp>
        <tr r="C52" s="4"/>
      </tp>
      <tp>
        <v>42674</v>
        <stp/>
        <stp>136</stp>
        <stp>MSFT</stp>
        <stp>PRICEDATEM_X</stp>
        <stp>34</stp>
        <stp>0</stp>
        <stp>0</stp>
        <stp>0</stp>
        <stp>0</stp>
        <tr r="C49" s="4"/>
      </tp>
      <tp>
        <v>42643</v>
        <stp/>
        <stp>136</stp>
        <stp>MSFT</stp>
        <stp>PRICEDATEM_X</stp>
        <stp>35</stp>
        <stp>0</stp>
        <stp>0</stp>
        <stp>0</stp>
        <stp>0</stp>
        <tr r="C50" s="4"/>
      </tp>
      <tp>
        <v>42734</v>
        <stp/>
        <stp>136</stp>
        <stp>MSFT</stp>
        <stp>PRICEDATEM_X</stp>
        <stp>32</stp>
        <stp>0</stp>
        <stp>0</stp>
        <stp>0</stp>
        <stp>0</stp>
        <tr r="C47" s="4"/>
      </tp>
      <tp>
        <v>42704</v>
        <stp/>
        <stp>136</stp>
        <stp>MSFT</stp>
        <stp>PRICEDATEM_X</stp>
        <stp>33</stp>
        <stp>0</stp>
        <stp>0</stp>
        <stp>0</stp>
        <stp>0</stp>
        <tr r="C48" s="4"/>
      </tp>
      <tp>
        <v>42794</v>
        <stp/>
        <stp>136</stp>
        <stp>MSFT</stp>
        <stp>PRICEDATEM_X</stp>
        <stp>30</stp>
        <stp>0</stp>
        <stp>0</stp>
        <stp>0</stp>
        <stp>0</stp>
        <tr r="C45" s="4"/>
      </tp>
      <tp>
        <v>42766</v>
        <stp/>
        <stp>136</stp>
        <stp>MSFT</stp>
        <stp>PRICEDATEM_X</stp>
        <stp>31</stp>
        <stp>0</stp>
        <stp>0</stp>
        <stp>0</stp>
        <stp>0</stp>
        <tr r="C46" s="4"/>
      </tp>
      <tp>
        <v>42551</v>
        <stp/>
        <stp>136</stp>
        <stp>MSFT</stp>
        <stp>PRICEDATEM_X</stp>
        <stp>38</stp>
        <stp>0</stp>
        <stp>0</stp>
        <stp>0</stp>
        <stp>0</stp>
        <tr r="C53" s="4"/>
      </tp>
      <tp>
        <v>42521</v>
        <stp/>
        <stp>136</stp>
        <stp>MSFT</stp>
        <stp>PRICEDATEM_X</stp>
        <stp>39</stp>
        <stp>0</stp>
        <stp>0</stp>
        <stp>0</stp>
        <stp>0</stp>
        <tr r="C54" s="4"/>
      </tp>
      <tp>
        <v>42916</v>
        <stp/>
        <stp>136</stp>
        <stp>MSFT</stp>
        <stp>PRICEDATEM_X</stp>
        <stp>26</stp>
        <stp>0</stp>
        <stp>0</stp>
        <stp>0</stp>
        <stp>0</stp>
        <tr r="C41" s="4"/>
      </tp>
      <tp>
        <v>42886</v>
        <stp/>
        <stp>136</stp>
        <stp>MSFT</stp>
        <stp>PRICEDATEM_X</stp>
        <stp>27</stp>
        <stp>0</stp>
        <stp>0</stp>
        <stp>0</stp>
        <stp>0</stp>
        <tr r="C42" s="4"/>
      </tp>
      <tp>
        <v>42978</v>
        <stp/>
        <stp>136</stp>
        <stp>MSFT</stp>
        <stp>PRICEDATEM_X</stp>
        <stp>24</stp>
        <stp>0</stp>
        <stp>0</stp>
        <stp>0</stp>
        <stp>0</stp>
        <tr r="C39" s="4"/>
      </tp>
      <tp>
        <v>42947</v>
        <stp/>
        <stp>136</stp>
        <stp>MSFT</stp>
        <stp>PRICEDATEM_X</stp>
        <stp>25</stp>
        <stp>0</stp>
        <stp>0</stp>
        <stp>0</stp>
        <stp>0</stp>
        <tr r="C40" s="4"/>
      </tp>
      <tp>
        <v>43039</v>
        <stp/>
        <stp>136</stp>
        <stp>MSFT</stp>
        <stp>PRICEDATEM_X</stp>
        <stp>22</stp>
        <stp>0</stp>
        <stp>0</stp>
        <stp>0</stp>
        <stp>0</stp>
        <tr r="C37" s="4"/>
      </tp>
      <tp>
        <v>43007</v>
        <stp/>
        <stp>136</stp>
        <stp>MSFT</stp>
        <stp>PRICEDATEM_X</stp>
        <stp>23</stp>
        <stp>0</stp>
        <stp>0</stp>
        <stp>0</stp>
        <stp>0</stp>
        <tr r="C38" s="4"/>
      </tp>
      <tp>
        <v>43098</v>
        <stp/>
        <stp>136</stp>
        <stp>MSFT</stp>
        <stp>PRICEDATEM_X</stp>
        <stp>20</stp>
        <stp>0</stp>
        <stp>0</stp>
        <stp>0</stp>
        <stp>0</stp>
        <tr r="C35" s="4"/>
      </tp>
      <tp>
        <v>43069</v>
        <stp/>
        <stp>136</stp>
        <stp>MSFT</stp>
        <stp>PRICEDATEM_X</stp>
        <stp>21</stp>
        <stp>0</stp>
        <stp>0</stp>
        <stp>0</stp>
        <stp>0</stp>
        <tr r="C36" s="4"/>
      </tp>
      <tp>
        <v>42853</v>
        <stp/>
        <stp>136</stp>
        <stp>MSFT</stp>
        <stp>PRICEDATEM_X</stp>
        <stp>28</stp>
        <stp>0</stp>
        <stp>0</stp>
        <stp>0</stp>
        <stp>0</stp>
        <tr r="C43" s="4"/>
      </tp>
      <tp>
        <v>42825</v>
        <stp/>
        <stp>136</stp>
        <stp>MSFT</stp>
        <stp>PRICEDATEM_X</stp>
        <stp>29</stp>
        <stp>0</stp>
        <stp>0</stp>
        <stp>0</stp>
        <stp>0</stp>
        <tr r="C44" s="4"/>
      </tp>
      <tp>
        <v>42004</v>
        <stp/>
        <stp>136</stp>
        <stp>MSFT</stp>
        <stp>PRICEDATEM_X</stp>
        <stp>56</stp>
        <stp>0</stp>
        <stp>0</stp>
        <stp>0</stp>
        <stp>0</stp>
        <tr r="C71" s="4"/>
      </tp>
      <tp>
        <v>41971</v>
        <stp/>
        <stp>136</stp>
        <stp>MSFT</stp>
        <stp>PRICEDATEM_X</stp>
        <stp>57</stp>
        <stp>0</stp>
        <stp>0</stp>
        <stp>0</stp>
        <stp>0</stp>
        <tr r="C72" s="4"/>
      </tp>
      <tp>
        <v>42062</v>
        <stp/>
        <stp>136</stp>
        <stp>MSFT</stp>
        <stp>PRICEDATEM_X</stp>
        <stp>54</stp>
        <stp>0</stp>
        <stp>0</stp>
        <stp>0</stp>
        <stp>0</stp>
        <tr r="C69" s="4"/>
      </tp>
      <tp>
        <v>42034</v>
        <stp/>
        <stp>136</stp>
        <stp>MSFT</stp>
        <stp>PRICEDATEM_X</stp>
        <stp>55</stp>
        <stp>0</stp>
        <stp>0</stp>
        <stp>0</stp>
        <stp>0</stp>
        <tr r="C70" s="4"/>
      </tp>
      <tp>
        <v>42124</v>
        <stp/>
        <stp>136</stp>
        <stp>MSFT</stp>
        <stp>PRICEDATEM_X</stp>
        <stp>52</stp>
        <stp>0</stp>
        <stp>0</stp>
        <stp>0</stp>
        <stp>0</stp>
        <tr r="C67" s="4"/>
      </tp>
      <tp>
        <v>42094</v>
        <stp/>
        <stp>136</stp>
        <stp>MSFT</stp>
        <stp>PRICEDATEM_X</stp>
        <stp>53</stp>
        <stp>0</stp>
        <stp>0</stp>
        <stp>0</stp>
        <stp>0</stp>
        <tr r="C68" s="4"/>
      </tp>
      <tp>
        <v>42185</v>
        <stp/>
        <stp>136</stp>
        <stp>MSFT</stp>
        <stp>PRICEDATEM_X</stp>
        <stp>50</stp>
        <stp>0</stp>
        <stp>0</stp>
        <stp>0</stp>
        <stp>0</stp>
        <tr r="C65" s="4"/>
      </tp>
      <tp>
        <v>42153</v>
        <stp/>
        <stp>136</stp>
        <stp>MSFT</stp>
        <stp>PRICEDATEM_X</stp>
        <stp>51</stp>
        <stp>0</stp>
        <stp>0</stp>
        <stp>0</stp>
        <stp>0</stp>
        <tr r="C66" s="4"/>
      </tp>
      <tp>
        <v>41943</v>
        <stp/>
        <stp>136</stp>
        <stp>MSFT</stp>
        <stp>PRICEDATEM_X</stp>
        <stp>58</stp>
        <stp>0</stp>
        <stp>0</stp>
        <stp>0</stp>
        <stp>0</stp>
        <tr r="C73" s="4"/>
      </tp>
      <tp>
        <v>41912</v>
        <stp/>
        <stp>136</stp>
        <stp>MSFT</stp>
        <stp>PRICEDATEM_X</stp>
        <stp>59</stp>
        <stp>0</stp>
        <stp>0</stp>
        <stp>0</stp>
        <stp>0</stp>
        <tr r="C74" s="4"/>
      </tp>
      <tp>
        <v>42307</v>
        <stp/>
        <stp>136</stp>
        <stp>MSFT</stp>
        <stp>PRICEDATEM_X</stp>
        <stp>46</stp>
        <stp>0</stp>
        <stp>0</stp>
        <stp>0</stp>
        <stp>0</stp>
        <tr r="C61" s="4"/>
      </tp>
      <tp>
        <v>42277</v>
        <stp/>
        <stp>136</stp>
        <stp>MSFT</stp>
        <stp>PRICEDATEM_X</stp>
        <stp>47</stp>
        <stp>0</stp>
        <stp>0</stp>
        <stp>0</stp>
        <stp>0</stp>
        <tr r="C62" s="4"/>
      </tp>
      <tp>
        <v>42369</v>
        <stp/>
        <stp>136</stp>
        <stp>MSFT</stp>
        <stp>PRICEDATEM_X</stp>
        <stp>44</stp>
        <stp>0</stp>
        <stp>0</stp>
        <stp>0</stp>
        <stp>0</stp>
        <tr r="C59" s="4"/>
      </tp>
      <tp>
        <v>42338</v>
        <stp/>
        <stp>136</stp>
        <stp>MSFT</stp>
        <stp>PRICEDATEM_X</stp>
        <stp>45</stp>
        <stp>0</stp>
        <stp>0</stp>
        <stp>0</stp>
        <stp>0</stp>
        <tr r="C60" s="4"/>
      </tp>
      <tp>
        <v>42429</v>
        <stp/>
        <stp>136</stp>
        <stp>MSFT</stp>
        <stp>PRICEDATEM_X</stp>
        <stp>42</stp>
        <stp>0</stp>
        <stp>0</stp>
        <stp>0</stp>
        <stp>0</stp>
        <tr r="C57" s="4"/>
      </tp>
      <tp>
        <v>42398</v>
        <stp/>
        <stp>136</stp>
        <stp>MSFT</stp>
        <stp>PRICEDATEM_X</stp>
        <stp>43</stp>
        <stp>0</stp>
        <stp>0</stp>
        <stp>0</stp>
        <stp>0</stp>
        <tr r="C58" s="4"/>
      </tp>
      <tp>
        <v>42489</v>
        <stp/>
        <stp>136</stp>
        <stp>MSFT</stp>
        <stp>PRICEDATEM_X</stp>
        <stp>40</stp>
        <stp>0</stp>
        <stp>0</stp>
        <stp>0</stp>
        <stp>0</stp>
        <tr r="C55" s="4"/>
      </tp>
      <tp>
        <v>42460</v>
        <stp/>
        <stp>136</stp>
        <stp>MSFT</stp>
        <stp>PRICEDATEM_X</stp>
        <stp>41</stp>
        <stp>0</stp>
        <stp>0</stp>
        <stp>0</stp>
        <stp>0</stp>
        <tr r="C56" s="4"/>
      </tp>
      <tp>
        <v>42247</v>
        <stp/>
        <stp>136</stp>
        <stp>MSFT</stp>
        <stp>PRICEDATEM_X</stp>
        <stp>48</stp>
        <stp>0</stp>
        <stp>0</stp>
        <stp>0</stp>
        <stp>0</stp>
        <tr r="C63" s="4"/>
      </tp>
      <tp>
        <v>42216</v>
        <stp/>
        <stp>136</stp>
        <stp>MSFT</stp>
        <stp>PRICEDATEM_X</stp>
        <stp>49</stp>
        <stp>0</stp>
        <stp>0</stp>
        <stp>0</stp>
        <stp>0</stp>
        <tr r="C64" s="4"/>
      </tp>
      <tp>
        <v>41394</v>
        <stp/>
        <stp>136</stp>
        <stp>MSFT</stp>
        <stp>PRICEDATEM_X</stp>
        <stp>76</stp>
        <stp>0</stp>
        <stp>0</stp>
        <stp>0</stp>
        <stp>0</stp>
        <tr r="C91" s="4"/>
      </tp>
      <tp>
        <v>41361</v>
        <stp/>
        <stp>136</stp>
        <stp>MSFT</stp>
        <stp>PRICEDATEM_X</stp>
        <stp>77</stp>
        <stp>0</stp>
        <stp>0</stp>
        <stp>0</stp>
        <stp>0</stp>
        <tr r="C92" s="4"/>
      </tp>
      <tp>
        <v>41453</v>
        <stp/>
        <stp>136</stp>
        <stp>MSFT</stp>
        <stp>PRICEDATEM_X</stp>
        <stp>74</stp>
        <stp>0</stp>
        <stp>0</stp>
        <stp>0</stp>
        <stp>0</stp>
        <tr r="C89" s="4"/>
      </tp>
      <tp>
        <v>41425</v>
        <stp/>
        <stp>136</stp>
        <stp>MSFT</stp>
        <stp>PRICEDATEM_X</stp>
        <stp>75</stp>
        <stp>0</stp>
        <stp>0</stp>
        <stp>0</stp>
        <stp>0</stp>
        <tr r="C90" s="4"/>
      </tp>
      <tp>
        <v>41516</v>
        <stp/>
        <stp>136</stp>
        <stp>MSFT</stp>
        <stp>PRICEDATEM_X</stp>
        <stp>72</stp>
        <stp>0</stp>
        <stp>0</stp>
        <stp>0</stp>
        <stp>0</stp>
        <tr r="C87" s="4"/>
      </tp>
      <tp>
        <v>41486</v>
        <stp/>
        <stp>136</stp>
        <stp>MSFT</stp>
        <stp>PRICEDATEM_X</stp>
        <stp>73</stp>
        <stp>0</stp>
        <stp>0</stp>
        <stp>0</stp>
        <stp>0</stp>
        <tr r="C88" s="4"/>
      </tp>
      <tp>
        <v>41578</v>
        <stp/>
        <stp>136</stp>
        <stp>MSFT</stp>
        <stp>PRICEDATEM_X</stp>
        <stp>70</stp>
        <stp>0</stp>
        <stp>0</stp>
        <stp>0</stp>
        <stp>0</stp>
        <tr r="C85" s="4"/>
      </tp>
      <tp>
        <v>41547</v>
        <stp/>
        <stp>136</stp>
        <stp>MSFT</stp>
        <stp>PRICEDATEM_X</stp>
        <stp>71</stp>
        <stp>0</stp>
        <stp>0</stp>
        <stp>0</stp>
        <stp>0</stp>
        <tr r="C86" s="4"/>
      </tp>
      <tp>
        <v>41333</v>
        <stp/>
        <stp>136</stp>
        <stp>MSFT</stp>
        <stp>PRICEDATEM_X</stp>
        <stp>78</stp>
        <stp>0</stp>
        <stp>0</stp>
        <stp>0</stp>
        <stp>0</stp>
        <tr r="C93" s="4"/>
      </tp>
      <tp>
        <v>41305</v>
        <stp/>
        <stp>136</stp>
        <stp>MSFT</stp>
        <stp>PRICEDATEM_X</stp>
        <stp>79</stp>
        <stp>0</stp>
        <stp>0</stp>
        <stp>0</stp>
        <stp>0</stp>
        <tr r="C94" s="4"/>
      </tp>
      <tp>
        <v>41698</v>
        <stp/>
        <stp>136</stp>
        <stp>MSFT</stp>
        <stp>PRICEDATEM_X</stp>
        <stp>66</stp>
        <stp>0</stp>
        <stp>0</stp>
        <stp>0</stp>
        <stp>0</stp>
        <tr r="C81" s="4"/>
      </tp>
      <tp>
        <v>41670</v>
        <stp/>
        <stp>136</stp>
        <stp>MSFT</stp>
        <stp>PRICEDATEM_X</stp>
        <stp>67</stp>
        <stp>0</stp>
        <stp>0</stp>
        <stp>0</stp>
        <stp>0</stp>
        <tr r="C82" s="4"/>
      </tp>
      <tp>
        <v>41759</v>
        <stp/>
        <stp>136</stp>
        <stp>MSFT</stp>
        <stp>PRICEDATEM_X</stp>
        <stp>64</stp>
        <stp>0</stp>
        <stp>0</stp>
        <stp>0</stp>
        <stp>0</stp>
        <tr r="C79" s="4"/>
      </tp>
      <tp>
        <v>41729</v>
        <stp/>
        <stp>136</stp>
        <stp>MSFT</stp>
        <stp>PRICEDATEM_X</stp>
        <stp>65</stp>
        <stp>0</stp>
        <stp>0</stp>
        <stp>0</stp>
        <stp>0</stp>
        <tr r="C80" s="4"/>
      </tp>
      <tp>
        <v>41820</v>
        <stp/>
        <stp>136</stp>
        <stp>MSFT</stp>
        <stp>PRICEDATEM_X</stp>
        <stp>62</stp>
        <stp>0</stp>
        <stp>0</stp>
        <stp>0</stp>
        <stp>0</stp>
        <tr r="C77" s="4"/>
      </tp>
      <tp>
        <v>41789</v>
        <stp/>
        <stp>136</stp>
        <stp>MSFT</stp>
        <stp>PRICEDATEM_X</stp>
        <stp>63</stp>
        <stp>0</stp>
        <stp>0</stp>
        <stp>0</stp>
        <stp>0</stp>
        <tr r="C78" s="4"/>
      </tp>
      <tp>
        <v>41880</v>
        <stp/>
        <stp>136</stp>
        <stp>MSFT</stp>
        <stp>PRICEDATEM_X</stp>
        <stp>60</stp>
        <stp>0</stp>
        <stp>0</stp>
        <stp>0</stp>
        <stp>0</stp>
        <tr r="C75" s="4"/>
      </tp>
      <tp>
        <v>41851</v>
        <stp/>
        <stp>136</stp>
        <stp>MSFT</stp>
        <stp>PRICEDATEM_X</stp>
        <stp>61</stp>
        <stp>0</stp>
        <stp>0</stp>
        <stp>0</stp>
        <stp>0</stp>
        <tr r="C76" s="4"/>
      </tp>
      <tp>
        <v>41639</v>
        <stp/>
        <stp>136</stp>
        <stp>MSFT</stp>
        <stp>PRICEDATEM_X</stp>
        <stp>68</stp>
        <stp>0</stp>
        <stp>0</stp>
        <stp>0</stp>
        <stp>0</stp>
        <tr r="C83" s="4"/>
      </tp>
      <tp>
        <v>41607</v>
        <stp/>
        <stp>136</stp>
        <stp>MSFT</stp>
        <stp>PRICEDATEM_X</stp>
        <stp>69</stp>
        <stp>0</stp>
        <stp>0</stp>
        <stp>0</stp>
        <stp>0</stp>
        <tr r="C84" s="4"/>
      </tp>
      <tp t="s">
        <v>PE to EPS growth 5 Years</v>
        <stp/>
        <stp>137</stp>
        <stp/>
        <stp>PETOEPSGROWTH5Y</stp>
        <stp>0</stp>
        <stp>0</stp>
        <stp>0</stp>
        <stp>0</stp>
        <stp>0</stp>
        <tr r="B39" s="6"/>
      </tp>
      <tp>
        <v>22.6</v>
        <stp/>
        <stp>136</stp>
        <stp>AAPL</stp>
        <stp>PAYOUTAVE7Y</stp>
        <stp>0</stp>
        <stp>0</stp>
        <stp>0</stp>
        <stp>0</stp>
        <stp>0</stp>
        <tr r="C103" s="5"/>
      </tp>
      <tp t="s">
        <v>Oper. Income-Growth</v>
        <stp/>
        <stp>137</stp>
        <stp/>
        <stp>OPERATINGINCOMEGROWTH1Y</stp>
        <stp>1</stp>
        <stp>0</stp>
        <stp>0</stp>
        <stp>0</stp>
        <stp>0</stp>
        <tr r="B9" s="3"/>
      </tp>
      <tp t="s">
        <v>% Rank-EPS Cont Growth</v>
        <stp/>
        <stp>137</stp>
        <stp/>
        <stp>PCNTRANKEPSCONTGROWTH1Y</stp>
        <stp>1</stp>
        <stp>0</stp>
        <stp>0</stp>
        <stp>0</stp>
        <stp>0</stp>
        <tr r="B54" s="3"/>
      </tp>
      <tp t="s">
        <v>EPS Cont-Growth</v>
        <stp/>
        <stp>137</stp>
        <stp/>
        <stp>EPSCONTGROWTH1Y</stp>
        <stp>1</stp>
        <stp>0</stp>
        <stp>0</stp>
        <stp>0</stp>
        <stp>0</stp>
        <tr r="B12" s="3"/>
      </tp>
      <tp t="s">
        <v>NA</v>
        <stp/>
        <stp>136</stp>
        <stp>AAPL</stp>
        <stp>FLASHLTDEBT</stp>
        <stp>0</stp>
        <stp>0</stp>
        <stp>0</stp>
        <stp>0</stp>
        <stp>0</stp>
        <tr r="C84" s="5"/>
      </tp>
      <tp>
        <v>208.21</v>
        <stp/>
        <stp>136</stp>
        <stp>MSFT</stp>
        <stp>INVE$TWAREFORECASTHIGHPRICE</stp>
        <stp>0</stp>
        <stp>0</stp>
        <stp>0</stp>
        <stp>0</stp>
        <stp>0</stp>
        <tr r="C21" s="9"/>
      </tp>
      <tp>
        <v>0.02</v>
        <stp/>
        <stp>136</stp>
        <stp>BOOM</stp>
        <stp>DIVIDENDQ_X</stp>
        <stp>7</stp>
        <stp>0</stp>
        <stp>0</stp>
        <stp>0</stp>
        <stp>0</stp>
        <tr r="I33" s="12"/>
        <tr r="I33" s="11"/>
      </tp>
      <tp>
        <v>0.02</v>
        <stp/>
        <stp>136</stp>
        <stp>BOOM</stp>
        <stp>DIVIDENDQ_X</stp>
        <stp>6</stp>
        <stp>0</stp>
        <stp>0</stp>
        <stp>0</stp>
        <stp>0</stp>
        <tr r="H33" s="12"/>
        <tr r="H33" s="11"/>
      </tp>
      <tp>
        <v>0.02</v>
        <stp/>
        <stp>136</stp>
        <stp>BOOM</stp>
        <stp>DIVIDENDQ_X</stp>
        <stp>5</stp>
        <stp>0</stp>
        <stp>0</stp>
        <stp>0</stp>
        <stp>0</stp>
        <tr r="G33" s="11"/>
        <tr r="G33" s="12"/>
      </tp>
      <tp>
        <v>0.04</v>
        <stp/>
        <stp>136</stp>
        <stp>BOOM</stp>
        <stp>DIVIDENDQ_X</stp>
        <stp>4</stp>
        <stp>0</stp>
        <stp>0</stp>
        <stp>0</stp>
        <stp>0</stp>
        <tr r="F33" s="11"/>
        <tr r="F33" s="12"/>
      </tp>
      <tp>
        <v>0.02</v>
        <stp/>
        <stp>136</stp>
        <stp>BOOM</stp>
        <stp>DIVIDENDQ_X</stp>
        <stp>3</stp>
        <stp>0</stp>
        <stp>0</stp>
        <stp>0</stp>
        <stp>0</stp>
        <tr r="E33" s="11"/>
        <tr r="E33" s="12"/>
      </tp>
      <tp>
        <v>0.02</v>
        <stp/>
        <stp>136</stp>
        <stp>BOOM</stp>
        <stp>DIVIDENDQ_X</stp>
        <stp>2</stp>
        <stp>0</stp>
        <stp>0</stp>
        <stp>0</stp>
        <stp>0</stp>
        <tr r="D33" s="11"/>
        <tr r="D33" s="12"/>
      </tp>
      <tp>
        <v>0.02</v>
        <stp/>
        <stp>136</stp>
        <stp>BOOM</stp>
        <stp>DIVIDENDQ_X</stp>
        <stp>1</stp>
        <stp>0</stp>
        <stp>0</stp>
        <stp>0</stp>
        <stp>0</stp>
        <tr r="C33" s="11"/>
        <tr r="C33" s="12"/>
      </tp>
      <tp>
        <v>0.04</v>
        <stp/>
        <stp>136</stp>
        <stp>BOOM</stp>
        <stp>DIVIDENDQ_X</stp>
        <stp>8</stp>
        <stp>0</stp>
        <stp>0</stp>
        <stp>0</stp>
        <stp>0</stp>
        <tr r="J33" s="11"/>
        <tr r="J33" s="12"/>
      </tp>
      <tp t="s">
        <v>NA</v>
        <stp/>
        <stp>136</stp>
        <stp>BOOM</stp>
        <stp>RESEARCHANDDEVELOPMENTQ_X</stp>
        <stp>5</stp>
        <stp>0</stp>
        <stp>0</stp>
        <stp>0</stp>
        <stp>0</stp>
        <tr r="G11" s="11"/>
        <tr r="G11" s="12"/>
      </tp>
      <tp t="s">
        <v>NA</v>
        <stp/>
        <stp>136</stp>
        <stp>BOOM</stp>
        <stp>RESEARCHANDDEVELOPMENTQ_X</stp>
        <stp>4</stp>
        <stp>0</stp>
        <stp>0</stp>
        <stp>0</stp>
        <stp>0</stp>
        <tr r="F11" s="12"/>
        <tr r="F11" s="11"/>
      </tp>
      <tp t="s">
        <v>NA</v>
        <stp/>
        <stp>136</stp>
        <stp>BOOM</stp>
        <stp>RESEARCHANDDEVELOPMENTQ_X</stp>
        <stp>7</stp>
        <stp>0</stp>
        <stp>0</stp>
        <stp>0</stp>
        <stp>0</stp>
        <tr r="I11" s="11"/>
        <tr r="I11" s="12"/>
      </tp>
      <tp t="s">
        <v>NA</v>
        <stp/>
        <stp>136</stp>
        <stp>BOOM</stp>
        <stp>RESEARCHANDDEVELOPMENTQ_X</stp>
        <stp>6</stp>
        <stp>0</stp>
        <stp>0</stp>
        <stp>0</stp>
        <stp>0</stp>
        <tr r="H11" s="11"/>
        <tr r="H11" s="12"/>
      </tp>
      <tp t="s">
        <v>NA</v>
        <stp/>
        <stp>136</stp>
        <stp>BOOM</stp>
        <stp>RESEARCHANDDEVELOPMENTQ_X</stp>
        <stp>1</stp>
        <stp>0</stp>
        <stp>0</stp>
        <stp>0</stp>
        <stp>0</stp>
        <tr r="C11" s="12"/>
        <tr r="C11" s="11"/>
      </tp>
      <tp t="s">
        <v>NA</v>
        <stp/>
        <stp>136</stp>
        <stp>BOOM</stp>
        <stp>RESEARCHANDDEVELOPMENTQ_X</stp>
        <stp>3</stp>
        <stp>0</stp>
        <stp>0</stp>
        <stp>0</stp>
        <stp>0</stp>
        <tr r="E11" s="12"/>
        <tr r="E11" s="11"/>
      </tp>
      <tp t="s">
        <v>NA</v>
        <stp/>
        <stp>136</stp>
        <stp>BOOM</stp>
        <stp>RESEARCHANDDEVELOPMENTQ_X</stp>
        <stp>2</stp>
        <stp>0</stp>
        <stp>0</stp>
        <stp>0</stp>
        <stp>0</stp>
        <tr r="D11" s="12"/>
        <tr r="D11" s="11"/>
      </tp>
      <tp t="s">
        <v>NA</v>
        <stp/>
        <stp>136</stp>
        <stp>BOOM</stp>
        <stp>RESEARCHANDDEVELOPMENTQ_X</stp>
        <stp>8</stp>
        <stp>0</stp>
        <stp>0</stp>
        <stp>0</stp>
        <stp>0</stp>
        <tr r="J11" s="12"/>
        <tr r="J11" s="11"/>
      </tp>
      <tp>
        <v>9.9</v>
        <stp/>
        <stp>136</stp>
        <stp>MSFT</stp>
        <stp>SECTORLTDEBTTOTALCAPITALQ1</stp>
        <stp>0</stp>
        <stp>0</stp>
        <stp>0</stp>
        <stp>0</stp>
        <stp>0</stp>
        <tr r="C75" s="7"/>
      </tp>
      <tp>
        <v>34822</v>
        <stp/>
        <stp>136</stp>
        <stp>MSFT</stp>
        <stp>INCOMEAFTERTAXES12M</stp>
        <stp>0</stp>
        <stp>0</stp>
        <stp>0</stp>
        <stp>0</stp>
        <stp>0</stp>
        <tr r="L24" s="1"/>
      </tp>
      <tp t="s">
        <v>Sector Net Income-Growth</v>
        <stp/>
        <stp>137</stp>
        <stp/>
        <stp>SECTORNETINCOMEGROWTH1Y</stp>
        <stp>1</stp>
        <stp>0</stp>
        <stp>0</stp>
        <stp>0</stp>
        <stp>0</stp>
        <tr r="B38" s="3"/>
      </tp>
      <tp t="s">
        <v>SmallCap 600</v>
        <stp/>
        <stp>136</stp>
        <stp>BEAT</stp>
        <stp>SPCOMPONENT</stp>
        <stp>0</stp>
        <stp>0</stp>
        <stp>0</stp>
        <stp>0</stp>
        <stp>0</stp>
        <tr r="G3" s="13"/>
      </tp>
      <tp>
        <v>2.7</v>
        <stp/>
        <stp>136</stp>
        <stp>MSFT</stp>
        <stp>SECTORPRICEPERSALES1YEARAGO</stp>
        <stp>0</stp>
        <stp>0</stp>
        <stp>0</stp>
        <stp>0</stp>
        <stp>0</stp>
        <tr r="D24" s="6"/>
      </tp>
      <tp>
        <v>372.2</v>
        <stp/>
        <stp>136</stp>
        <stp>BEAT</stp>
        <stp>GOODWILLANDINTANGIBLESQ_X</stp>
        <stp>4</stp>
        <stp>0</stp>
        <stp>0</stp>
        <stp>0</stp>
        <stp>0</stp>
        <tr r="I45" s="13"/>
      </tp>
      <tp>
        <v>444.3</v>
        <stp/>
        <stp>136</stp>
        <stp>BEAT</stp>
        <stp>GOODWILLANDINTANGIBLESQ_X</stp>
        <stp>1</stp>
        <stp>0</stp>
        <stp>0</stp>
        <stp>0</stp>
        <stp>0</stp>
        <tr r="F45" s="13"/>
      </tp>
      <tp>
        <v>368.5</v>
        <stp/>
        <stp>136</stp>
        <stp>BEAT</stp>
        <stp>GOODWILLANDINTANGIBLESQ_X</stp>
        <stp>2</stp>
        <stp>0</stp>
        <stp>0</stp>
        <stp>0</stp>
        <stp>0</stp>
        <tr r="G45" s="13"/>
      </tp>
      <tp>
        <v>368.7</v>
        <stp/>
        <stp>136</stp>
        <stp>BEAT</stp>
        <stp>GOODWILLANDINTANGIBLESQ_X</stp>
        <stp>3</stp>
        <stp>0</stp>
        <stp>0</stp>
        <stp>0</stp>
        <stp>0</stp>
        <tr r="H45" s="13"/>
      </tp>
      <tp t="s">
        <v>Price/FCFPS</v>
        <stp/>
        <stp>137</stp>
        <stp/>
        <stp>PRICEPERFCFPS</stp>
        <stp>0</stp>
        <stp>0</stp>
        <stp>0</stp>
        <stp>0</stp>
        <stp>0</stp>
        <tr r="B10" s="6"/>
      </tp>
      <tp>
        <v>3.5</v>
        <stp/>
        <stp>136</stp>
        <stp>MSFT</stp>
        <stp>INDUSTRYRETURNONEQUITYY_X</stp>
        <stp>1</stp>
        <stp>0</stp>
        <stp>0</stp>
        <stp>0</stp>
        <stp>0</stp>
        <tr r="D38" s="7"/>
      </tp>
      <tp>
        <v>3.8</v>
        <stp/>
        <stp>136</stp>
        <stp>MSFT</stp>
        <stp>INDUSTRYRETURNONEQUITYY_X</stp>
        <stp>2</stp>
        <stp>0</stp>
        <stp>0</stp>
        <stp>0</stp>
        <stp>0</stp>
        <tr r="E38" s="7"/>
      </tp>
      <tp>
        <v>2</v>
        <stp/>
        <stp>136</stp>
        <stp>MSFT</stp>
        <stp>INDUSTRYRETURNONEQUITYY_X</stp>
        <stp>3</stp>
        <stp>0</stp>
        <stp>0</stp>
        <stp>0</stp>
        <stp>0</stp>
        <tr r="F38" s="7"/>
      </tp>
      <tp>
        <v>5</v>
        <stp/>
        <stp>136</stp>
        <stp>MSFT</stp>
        <stp>INDUSTRYRETURNONEQUITYY_X</stp>
        <stp>4</stp>
        <stp>0</stp>
        <stp>0</stp>
        <stp>0</stp>
        <stp>0</stp>
        <tr r="G38" s="7"/>
      </tp>
      <tp>
        <v>6.6</v>
        <stp/>
        <stp>136</stp>
        <stp>MSFT</stp>
        <stp>INDUSTRYRETURNONEQUITYY_X</stp>
        <stp>5</stp>
        <stp>0</stp>
        <stp>0</stp>
        <stp>0</stp>
        <stp>0</stp>
        <tr r="H38" s="7"/>
      </tp>
      <tp>
        <v>9.5</v>
        <stp/>
        <stp>136</stp>
        <stp>MSFT</stp>
        <stp>INDUSTRYRETURNONEQUITYY_X</stp>
        <stp>6</stp>
        <stp>0</stp>
        <stp>0</stp>
        <stp>0</stp>
        <stp>0</stp>
        <tr r="I38" s="7"/>
      </tp>
      <tp>
        <v>7.9</v>
        <stp/>
        <stp>136</stp>
        <stp>MSFT</stp>
        <stp>INDUSTRYRETURNONEQUITYY_X</stp>
        <stp>7</stp>
        <stp>0</stp>
        <stp>0</stp>
        <stp>0</stp>
        <stp>0</stp>
        <tr r="J38" s="7"/>
      </tp>
      <tp t="s">
        <v>% Rank-LT Debt/Total Cap</v>
        <stp/>
        <stp>137</stp>
        <stp/>
        <stp>PCNTRANKLTDEBTTOTALCAPITALY_X</stp>
        <stp>0</stp>
        <stp>0</stp>
        <stp>0</stp>
        <stp>0</stp>
        <stp>0</stp>
        <tr r="B102" s="7"/>
      </tp>
      <tp t="s">
        <v>3663</v>
        <stp/>
        <stp>136</stp>
        <stp>AAPL</stp>
        <stp>SIC</stp>
        <stp>0</stp>
        <stp>0</stp>
        <stp>0</stp>
        <stp>0</stp>
        <stp>0</stp>
        <tr r="C15" s="5"/>
      </tp>
      <tp t="s">
        <v>Cash</v>
        <stp/>
        <stp>137</stp>
        <stp/>
        <stp>CASHQ_X</stp>
        <stp>0</stp>
        <stp>0</stp>
        <stp>0</stp>
        <stp>0</stp>
        <stp>0</stp>
        <tr r="D27" s="13"/>
        <tr r="B55" s="12"/>
        <tr r="B55" s="11"/>
        <tr r="B57" s="1"/>
      </tp>
      <tp>
        <v>41799</v>
        <stp/>
        <stp>136</stp>
        <stp>AAPL</stp>
        <stp>SPLITDATE</stp>
        <stp>0</stp>
        <stp>0</stp>
        <stp>0</stp>
        <stp>0</stp>
        <stp>0</stp>
        <tr r="C17" s="5"/>
      </tp>
      <tp>
        <v>59.2</v>
        <stp/>
        <stp>136</stp>
        <stp>BEAT</stp>
        <stp>WORKINGCAPITALQ_X</stp>
        <stp>4</stp>
        <stp>0</stp>
        <stp>0</stp>
        <stp>0</stp>
        <stp>0</stp>
        <tr r="I37" s="13"/>
      </tp>
      <tp>
        <v>60.4</v>
        <stp/>
        <stp>136</stp>
        <stp>BEAT</stp>
        <stp>WORKINGCAPITALQ_X</stp>
        <stp>1</stp>
        <stp>0</stp>
        <stp>0</stp>
        <stp>0</stp>
        <stp>0</stp>
        <tr r="F37" s="13"/>
      </tp>
      <tp>
        <v>97</v>
        <stp/>
        <stp>136</stp>
        <stp>BEAT</stp>
        <stp>WORKINGCAPITALQ_X</stp>
        <stp>2</stp>
        <stp>0</stp>
        <stp>0</stp>
        <stp>0</stp>
        <stp>0</stp>
        <tr r="G37" s="13"/>
      </tp>
      <tp>
        <v>83.9</v>
        <stp/>
        <stp>136</stp>
        <stp>BEAT</stp>
        <stp>WORKINGCAPITALQ_X</stp>
        <stp>3</stp>
        <stp>0</stp>
        <stp>0</stp>
        <stp>0</stp>
        <stp>0</stp>
        <tr r="H37" s="13"/>
      </tp>
      <tp t="s">
        <v>Sector Return on equity</v>
        <stp/>
        <stp>137</stp>
        <stp/>
        <stp>SECTORRETURNONEQUITYY_X</stp>
        <stp>0</stp>
        <stp>0</stp>
        <stp>0</stp>
        <stp>0</stp>
        <stp>0</stp>
        <tr r="B65" s="7"/>
      </tp>
      <tp t="s">
        <v>% Rank-Price/FCFPS</v>
        <stp/>
        <stp>137</stp>
        <stp/>
        <stp>PCNTRANKPRICEPERFCFPS</stp>
        <stp>0</stp>
        <stp>0</stp>
        <stp>0</stp>
        <stp>0</stp>
        <stp>0</stp>
        <tr r="B34" s="6"/>
      </tp>
      <tp t="s">
        <v>Other Current Assets</v>
        <stp/>
        <stp>137</stp>
        <stp/>
        <stp>OTHERCURRENTASSETSQ_X</stp>
        <stp>0</stp>
        <stp>0</stp>
        <stp>0</stp>
        <stp>0</stp>
        <stp>0</stp>
        <tr r="D31" s="13"/>
        <tr r="B59" s="11"/>
        <tr r="B59" s="12"/>
        <tr r="B61" s="1"/>
      </tp>
      <tp t="s">
        <v>LT Debt/Total Capital</v>
        <stp/>
        <stp>137</stp>
        <stp/>
        <stp>LTDEBTTOTALCAPITALY_X</stp>
        <stp>0</stp>
        <stp>0</stp>
        <stp>0</stp>
        <stp>0</stp>
        <stp>0</stp>
        <tr r="D56" s="13"/>
        <tr r="B21" s="7"/>
      </tp>
      <tp>
        <v>2.2999999999999998</v>
        <stp/>
        <stp>136</stp>
        <stp>BOOM</stp>
        <stp>CASHFLOWQ_X</stp>
        <stp>2</stp>
        <stp>0</stp>
        <stp>0</stp>
        <stp>0</stp>
        <stp>0</stp>
        <tr r="D41" s="11"/>
        <tr r="D41" s="12"/>
      </tp>
      <tp>
        <v>4.5</v>
        <stp/>
        <stp>136</stp>
        <stp>BOOM</stp>
        <stp>CASHFLOWQ_X</stp>
        <stp>3</stp>
        <stp>0</stp>
        <stp>0</stp>
        <stp>0</stp>
        <stp>0</stp>
        <tr r="E41" s="11"/>
        <tr r="E41" s="12"/>
      </tp>
      <tp>
        <v>1.5</v>
        <stp/>
        <stp>136</stp>
        <stp>BOOM</stp>
        <stp>CASHFLOWQ_X</stp>
        <stp>1</stp>
        <stp>0</stp>
        <stp>0</stp>
        <stp>0</stp>
        <stp>0</stp>
        <tr r="C41" s="12"/>
        <tr r="C41" s="11"/>
      </tp>
      <tp>
        <v>0.1</v>
        <stp/>
        <stp>136</stp>
        <stp>BOOM</stp>
        <stp>CASHFLOWQ_X</stp>
        <stp>6</stp>
        <stp>0</stp>
        <stp>0</stp>
        <stp>0</stp>
        <stp>0</stp>
        <tr r="H41" s="12"/>
        <tr r="H41" s="11"/>
      </tp>
      <tp>
        <v>0.2</v>
        <stp/>
        <stp>136</stp>
        <stp>BOOM</stp>
        <stp>CASHFLOWQ_X</stp>
        <stp>7</stp>
        <stp>0</stp>
        <stp>0</stp>
        <stp>0</stp>
        <stp>0</stp>
        <tr r="I41" s="12"/>
        <tr r="I41" s="11"/>
      </tp>
      <tp>
        <v>-2.4</v>
        <stp/>
        <stp>136</stp>
        <stp>BOOM</stp>
        <stp>CASHFLOWQ_X</stp>
        <stp>4</stp>
        <stp>0</stp>
        <stp>0</stp>
        <stp>0</stp>
        <stp>0</stp>
        <tr r="F41" s="12"/>
        <tr r="F41" s="11"/>
      </tp>
      <tp>
        <v>1.8</v>
        <stp/>
        <stp>136</stp>
        <stp>BOOM</stp>
        <stp>CASHFLOWQ_X</stp>
        <stp>5</stp>
        <stp>0</stp>
        <stp>0</stp>
        <stp>0</stp>
        <stp>0</stp>
        <tr r="G41" s="11"/>
        <tr r="G41" s="12"/>
      </tp>
      <tp>
        <v>2.2000000000000002</v>
        <stp/>
        <stp>136</stp>
        <stp>BOOM</stp>
        <stp>CASHFLOWQ_X</stp>
        <stp>8</stp>
        <stp>0</stp>
        <stp>0</stp>
        <stp>0</stp>
        <stp>0</stp>
        <tr r="J41" s="11"/>
        <tr r="J41" s="12"/>
      </tp>
      <tp>
        <v>0.15</v>
        <stp/>
        <stp>136</stp>
        <stp>BOOM</stp>
        <stp>CASHFLOWPERSHAREQ_X</stp>
        <stp>8</stp>
        <stp>0</stp>
        <stp>0</stp>
        <stp>0</stp>
        <stp>0</stp>
        <tr r="J46" s="11"/>
        <tr r="J46" s="12"/>
      </tp>
      <tp>
        <v>0.15</v>
        <stp/>
        <stp>136</stp>
        <stp>BOOM</stp>
        <stp>CASHFLOWPERSHAREQ_X</stp>
        <stp>2</stp>
        <stp>0</stp>
        <stp>0</stp>
        <stp>0</stp>
        <stp>0</stp>
        <tr r="D46" s="11"/>
        <tr r="D46" s="12"/>
      </tp>
      <tp>
        <v>0.31</v>
        <stp/>
        <stp>136</stp>
        <stp>BOOM</stp>
        <stp>CASHFLOWPERSHAREQ_X</stp>
        <stp>3</stp>
        <stp>0</stp>
        <stp>0</stp>
        <stp>0</stp>
        <stp>0</stp>
        <tr r="E46" s="12"/>
        <tr r="E46" s="11"/>
      </tp>
      <tp>
        <v>0.1</v>
        <stp/>
        <stp>136</stp>
        <stp>BOOM</stp>
        <stp>CASHFLOWPERSHAREQ_X</stp>
        <stp>1</stp>
        <stp>0</stp>
        <stp>0</stp>
        <stp>0</stp>
        <stp>0</stp>
        <tr r="C46" s="12"/>
        <tr r="C46" s="11"/>
      </tp>
      <tp>
        <v>0.01</v>
        <stp/>
        <stp>136</stp>
        <stp>BOOM</stp>
        <stp>CASHFLOWPERSHAREQ_X</stp>
        <stp>6</stp>
        <stp>0</stp>
        <stp>0</stp>
        <stp>0</stp>
        <stp>0</stp>
        <tr r="H46" s="12"/>
        <tr r="H46" s="11"/>
      </tp>
      <tp>
        <v>0.02</v>
        <stp/>
        <stp>136</stp>
        <stp>BOOM</stp>
        <stp>CASHFLOWPERSHAREQ_X</stp>
        <stp>7</stp>
        <stp>0</stp>
        <stp>0</stp>
        <stp>0</stp>
        <stp>0</stp>
        <tr r="I46" s="12"/>
        <tr r="I46" s="11"/>
      </tp>
      <tp>
        <v>-0.16</v>
        <stp/>
        <stp>136</stp>
        <stp>BOOM</stp>
        <stp>CASHFLOWPERSHAREQ_X</stp>
        <stp>4</stp>
        <stp>0</stp>
        <stp>0</stp>
        <stp>0</stp>
        <stp>0</stp>
        <tr r="F46" s="11"/>
        <tr r="F46" s="12"/>
      </tp>
      <tp>
        <v>0.12</v>
        <stp/>
        <stp>136</stp>
        <stp>BOOM</stp>
        <stp>CASHFLOWPERSHAREQ_X</stp>
        <stp>5</stp>
        <stp>0</stp>
        <stp>0</stp>
        <stp>0</stp>
        <stp>0</stp>
        <tr r="G46" s="11"/>
        <tr r="G46" s="12"/>
      </tp>
      <tp t="s">
        <v>LT Debt/Equity Year</v>
        <stp/>
        <stp>137</stp>
        <stp/>
        <stp>LTDEBTEQUITYY_X</stp>
        <stp>0</stp>
        <stp>0</stp>
        <stp>0</stp>
        <stp>0</stp>
        <stp>0</stp>
        <tr r="D55" s="13"/>
        <tr r="B22" s="7"/>
      </tp>
      <tp t="s">
        <v>% Rank-LT Debt/Equity</v>
        <stp/>
        <stp>137</stp>
        <stp/>
        <stp>PCNTRANKLTDEBTEQUITYY_X</stp>
        <stp>0</stp>
        <stp>0</stp>
        <stp>0</stp>
        <stp>0</stp>
        <stp>0</stp>
        <tr r="B103" s="7"/>
      </tp>
      <tp>
        <v>76367</v>
        <stp/>
        <stp>136</stp>
        <stp>MSFT</stp>
        <stp>LTDEBTQ_X</stp>
        <stp>4</stp>
        <stp>0</stp>
        <stp>0</stp>
        <stp>0</stp>
        <stp>0</stp>
        <tr r="F76" s="1"/>
      </tp>
      <tp>
        <v>77630</v>
        <stp/>
        <stp>136</stp>
        <stp>MSFT</stp>
        <stp>LTDEBTQ_X</stp>
        <stp>5</stp>
        <stp>0</stp>
        <stp>0</stp>
        <stp>0</stp>
        <stp>0</stp>
        <tr r="G76" s="1"/>
      </tp>
      <tp>
        <v>77094</v>
        <stp/>
        <stp>136</stp>
        <stp>MSFT</stp>
        <stp>LTDEBTQ_X</stp>
        <stp>6</stp>
        <stp>0</stp>
        <stp>0</stp>
        <stp>0</stp>
        <stp>0</stp>
        <tr r="H76" s="1"/>
      </tp>
      <tp>
        <v>79382</v>
        <stp/>
        <stp>136</stp>
        <stp>MSFT</stp>
        <stp>LTDEBTQ_X</stp>
        <stp>7</stp>
        <stp>0</stp>
        <stp>0</stp>
        <stp>0</stp>
        <stp>0</stp>
        <tr r="I76" s="1"/>
      </tp>
      <tp>
        <v>72113</v>
        <stp/>
        <stp>136</stp>
        <stp>MSFT</stp>
        <stp>LTDEBTQ_X</stp>
        <stp>1</stp>
        <stp>0</stp>
        <stp>0</stp>
        <stp>0</stp>
        <stp>0</stp>
        <tr r="C76" s="1"/>
      </tp>
      <tp>
        <v>74618</v>
        <stp/>
        <stp>136</stp>
        <stp>MSFT</stp>
        <stp>LTDEBTQ_X</stp>
        <stp>2</stp>
        <stp>0</stp>
        <stp>0</stp>
        <stp>0</stp>
        <stp>0</stp>
        <tr r="D76" s="1"/>
      </tp>
      <tp>
        <v>74204</v>
        <stp/>
        <stp>136</stp>
        <stp>MSFT</stp>
        <stp>LTDEBTQ_X</stp>
        <stp>3</stp>
        <stp>0</stp>
        <stp>0</stp>
        <stp>0</stp>
        <stp>0</stp>
        <tr r="E76" s="1"/>
      </tp>
      <tp>
        <v>78498</v>
        <stp/>
        <stp>136</stp>
        <stp>MSFT</stp>
        <stp>LTDEBTQ_X</stp>
        <stp>8</stp>
        <stp>0</stp>
        <stp>0</stp>
        <stp>0</stp>
        <stp>0</stp>
        <tr r="J76" s="1"/>
      </tp>
      <tp t="s">
        <v>Other Long-Term Liabilities</v>
        <stp/>
        <stp>137</stp>
        <stp/>
        <stp>OTHERLTLIABILITIESQ_X</stp>
        <stp>0</stp>
        <stp>0</stp>
        <stp>0</stp>
        <stp>0</stp>
        <stp>0</stp>
        <tr r="D52" s="13"/>
        <tr r="B77" s="1"/>
        <tr r="B75" s="11"/>
        <tr r="B75" s="12"/>
      </tp>
      <tp t="s">
        <v>Price Change vs BV Change</v>
        <stp/>
        <stp>137</stp>
        <stp/>
        <stp>PRICECHANGEVSBVCHANGE</stp>
        <stp>0</stp>
        <stp>0</stp>
        <stp>0</stp>
        <stp>0</stp>
        <stp>0</stp>
        <tr r="B107" s="5"/>
      </tp>
      <tp>
        <v>0</v>
        <stp/>
        <stp>136</stp>
        <stp>BOOM</stp>
        <stp>PREFERREDSTOCKQ_X</stp>
        <stp>8</stp>
        <stp>0</stp>
        <stp>0</stp>
        <stp>0</stp>
        <stp>0</stp>
        <tr r="J78" s="11"/>
        <tr r="J78" s="12"/>
      </tp>
      <tp>
        <v>0</v>
        <stp/>
        <stp>136</stp>
        <stp>BOOM</stp>
        <stp>PREFERREDSTOCKQ_X</stp>
        <stp>2</stp>
        <stp>0</stp>
        <stp>0</stp>
        <stp>0</stp>
        <stp>0</stp>
        <tr r="D78" s="11"/>
        <tr r="D78" s="12"/>
      </tp>
      <tp>
        <v>0</v>
        <stp/>
        <stp>136</stp>
        <stp>BOOM</stp>
        <stp>PREFERREDSTOCKQ_X</stp>
        <stp>3</stp>
        <stp>0</stp>
        <stp>0</stp>
        <stp>0</stp>
        <stp>0</stp>
        <tr r="E78" s="12"/>
        <tr r="E78" s="11"/>
      </tp>
      <tp>
        <v>0</v>
        <stp/>
        <stp>136</stp>
        <stp>BOOM</stp>
        <stp>PREFERREDSTOCKQ_X</stp>
        <stp>1</stp>
        <stp>0</stp>
        <stp>0</stp>
        <stp>0</stp>
        <stp>0</stp>
        <tr r="C78" s="12"/>
        <tr r="C78" s="11"/>
      </tp>
      <tp>
        <v>0</v>
        <stp/>
        <stp>136</stp>
        <stp>BOOM</stp>
        <stp>PREFERREDSTOCKQ_X</stp>
        <stp>6</stp>
        <stp>0</stp>
        <stp>0</stp>
        <stp>0</stp>
        <stp>0</stp>
        <tr r="H78" s="12"/>
        <tr r="H78" s="11"/>
      </tp>
      <tp>
        <v>0</v>
        <stp/>
        <stp>136</stp>
        <stp>BOOM</stp>
        <stp>PREFERREDSTOCKQ_X</stp>
        <stp>7</stp>
        <stp>0</stp>
        <stp>0</stp>
        <stp>0</stp>
        <stp>0</stp>
        <tr r="I78" s="11"/>
        <tr r="I78" s="12"/>
      </tp>
      <tp>
        <v>0</v>
        <stp/>
        <stp>136</stp>
        <stp>BOOM</stp>
        <stp>PREFERREDSTOCKQ_X</stp>
        <stp>4</stp>
        <stp>0</stp>
        <stp>0</stp>
        <stp>0</stp>
        <stp>0</stp>
        <tr r="F78" s="11"/>
        <tr r="F78" s="12"/>
      </tp>
      <tp>
        <v>0</v>
        <stp/>
        <stp>136</stp>
        <stp>BOOM</stp>
        <stp>PREFERREDSTOCKQ_X</stp>
        <stp>5</stp>
        <stp>0</stp>
        <stp>0</stp>
        <stp>0</stp>
        <stp>0</stp>
        <tr r="G78" s="12"/>
        <tr r="G78" s="11"/>
      </tp>
      <tp>
        <v>58.1</v>
        <stp/>
        <stp>136</stp>
        <stp>BOOM</stp>
        <stp>NETFIXEDASSETSQ_X</stp>
        <stp>8</stp>
        <stp>0</stp>
        <stp>0</stp>
        <stp>0</stp>
        <stp>0</stp>
        <tr r="J62" s="12"/>
        <tr r="J62" s="11"/>
      </tp>
      <tp>
        <v>79.8</v>
        <stp/>
        <stp>136</stp>
        <stp>BOOM</stp>
        <stp>NETFIXEDASSETSQ_X</stp>
        <stp>3</stp>
        <stp>0</stp>
        <stp>0</stp>
        <stp>0</stp>
        <stp>0</stp>
        <tr r="E62" s="11"/>
        <tr r="E62" s="12"/>
      </tp>
      <tp>
        <v>95.1</v>
        <stp/>
        <stp>136</stp>
        <stp>BOOM</stp>
        <stp>NETFIXEDASSETSQ_X</stp>
        <stp>2</stp>
        <stp>0</stp>
        <stp>0</stp>
        <stp>0</stp>
        <stp>0</stp>
        <tr r="D62" s="11"/>
        <tr r="D62" s="12"/>
      </tp>
      <tp>
        <v>99.9</v>
        <stp/>
        <stp>136</stp>
        <stp>BOOM</stp>
        <stp>NETFIXEDASSETSQ_X</stp>
        <stp>1</stp>
        <stp>0</stp>
        <stp>0</stp>
        <stp>0</stp>
        <stp>0</stp>
        <tr r="C62" s="12"/>
        <tr r="C62" s="11"/>
      </tp>
      <tp>
        <v>59.6</v>
        <stp/>
        <stp>136</stp>
        <stp>BOOM</stp>
        <stp>NETFIXEDASSETSQ_X</stp>
        <stp>7</stp>
        <stp>0</stp>
        <stp>0</stp>
        <stp>0</stp>
        <stp>0</stp>
        <tr r="I62" s="11"/>
        <tr r="I62" s="12"/>
      </tp>
      <tp>
        <v>59.9</v>
        <stp/>
        <stp>136</stp>
        <stp>BOOM</stp>
        <stp>NETFIXEDASSETSQ_X</stp>
        <stp>6</stp>
        <stp>0</stp>
        <stp>0</stp>
        <stp>0</stp>
        <stp>0</stp>
        <tr r="H62" s="12"/>
        <tr r="H62" s="11"/>
      </tp>
      <tp>
        <v>61</v>
        <stp/>
        <stp>136</stp>
        <stp>BOOM</stp>
        <stp>NETFIXEDASSETSQ_X</stp>
        <stp>5</stp>
        <stp>0</stp>
        <stp>0</stp>
        <stp>0</stp>
        <stp>0</stp>
        <tr r="G62" s="11"/>
        <tr r="G62" s="12"/>
      </tp>
      <tp>
        <v>70.5</v>
        <stp/>
        <stp>136</stp>
        <stp>BOOM</stp>
        <stp>NETFIXEDASSETSQ_X</stp>
        <stp>4</stp>
        <stp>0</stp>
        <stp>0</stp>
        <stp>0</stp>
        <stp>0</stp>
        <tr r="F62" s="11"/>
        <tr r="F62" s="12"/>
      </tp>
      <tp t="s">
        <v>NA</v>
        <stp/>
        <stp>136</stp>
        <stp>MSFT</stp>
        <stp>EPSESTLASTWEEKY2</stp>
        <stp>0</stp>
        <stp>0</stp>
        <stp>0</stp>
        <stp>0</stp>
        <stp>0</stp>
        <tr r="G14" s="8"/>
      </tp>
      <tp t="s">
        <v>Pretax Margin 12 Month</v>
        <stp/>
        <stp>137</stp>
        <stp/>
        <stp>PRETAXMARGIN12M</stp>
        <stp>0</stp>
        <stp>0</stp>
        <stp>0</stp>
        <stp>0</stp>
        <stp>0</stp>
        <tr r="B100" s="5"/>
      </tp>
      <tp>
        <v>-4.5999999999999996</v>
        <stp/>
        <stp>136</stp>
        <stp>MSFT</stp>
        <stp>INDUSTRYRETURNONASSETSY_X</stp>
        <stp>6</stp>
        <stp>0</stp>
        <stp>0</stp>
        <stp>0</stp>
        <stp>0</stp>
        <tr r="I37" s="7"/>
      </tp>
      <tp>
        <v>-6.8</v>
        <stp/>
        <stp>136</stp>
        <stp>MSFT</stp>
        <stp>INDUSTRYRETURNONASSETSY_X</stp>
        <stp>7</stp>
        <stp>0</stp>
        <stp>0</stp>
        <stp>0</stp>
        <stp>0</stp>
        <tr r="J37" s="7"/>
      </tp>
      <tp>
        <v>-10.8</v>
        <stp/>
        <stp>136</stp>
        <stp>MSFT</stp>
        <stp>INDUSTRYRETURNONASSETSY_X</stp>
        <stp>4</stp>
        <stp>0</stp>
        <stp>0</stp>
        <stp>0</stp>
        <stp>0</stp>
        <tr r="G37" s="7"/>
      </tp>
      <tp>
        <v>-12.7</v>
        <stp/>
        <stp>136</stp>
        <stp>MSFT</stp>
        <stp>INDUSTRYRETURNONASSETSY_X</stp>
        <stp>5</stp>
        <stp>0</stp>
        <stp>0</stp>
        <stp>0</stp>
        <stp>0</stp>
        <tr r="H37" s="7"/>
      </tp>
      <tp>
        <v>-9.4</v>
        <stp/>
        <stp>136</stp>
        <stp>MSFT</stp>
        <stp>INDUSTRYRETURNONASSETSY_X</stp>
        <stp>2</stp>
        <stp>0</stp>
        <stp>0</stp>
        <stp>0</stp>
        <stp>0</stp>
        <tr r="E37" s="7"/>
      </tp>
      <tp>
        <v>-12.5</v>
        <stp/>
        <stp>136</stp>
        <stp>MSFT</stp>
        <stp>INDUSTRYRETURNONASSETSY_X</stp>
        <stp>3</stp>
        <stp>0</stp>
        <stp>0</stp>
        <stp>0</stp>
        <stp>0</stp>
        <tr r="F37" s="7"/>
      </tp>
      <tp>
        <v>-8.3000000000000007</v>
        <stp/>
        <stp>136</stp>
        <stp>MSFT</stp>
        <stp>INDUSTRYRETURNONASSETSY_X</stp>
        <stp>1</stp>
        <stp>0</stp>
        <stp>0</stp>
        <stp>0</stp>
        <stp>0</stp>
        <tr r="D37" s="7"/>
      </tp>
      <tp>
        <v>48</v>
        <stp/>
        <stp>136</stp>
        <stp>BOOM</stp>
        <stp>NETINCOMEGROWTH3Y</stp>
        <stp>0</stp>
        <stp>0</stp>
        <stp>0</stp>
        <stp>0</stp>
        <stp>0</stp>
        <tr r="D10" s="3"/>
      </tp>
      <tp>
        <v>258</v>
        <stp/>
        <stp>136</stp>
        <stp>BOOM</stp>
        <stp>NETINCOMEGROWTH1Y</stp>
        <stp>0</stp>
        <stp>0</stp>
        <stp>0</stp>
        <stp>0</stp>
        <stp>0</stp>
        <tr r="C10" s="3"/>
      </tp>
      <tp>
        <v>14.2</v>
        <stp/>
        <stp>136</stp>
        <stp>BOOM</stp>
        <stp>NETINCOMEGROWTH7Y</stp>
        <stp>0</stp>
        <stp>0</stp>
        <stp>0</stp>
        <stp>0</stp>
        <stp>0</stp>
        <tr r="F10" s="3"/>
      </tp>
      <tp>
        <v>36.299999999999997</v>
        <stp/>
        <stp>136</stp>
        <stp>BOOM</stp>
        <stp>NETINCOMEGROWTH5Y</stp>
        <stp>0</stp>
        <stp>0</stp>
        <stp>0</stp>
        <stp>0</stp>
        <stp>0</stp>
        <tr r="E10" s="3"/>
      </tp>
      <tp t="s">
        <v>NA</v>
        <stp/>
        <stp>136</stp>
        <stp>MSFT</stp>
        <stp>EPSESTLASTWEEKY1</stp>
        <stp>0</stp>
        <stp>0</stp>
        <stp>0</stp>
        <stp>0</stp>
        <stp>0</stp>
        <tr r="F14" s="8"/>
      </tp>
      <tp t="s">
        <v>NA</v>
        <stp/>
        <stp>136</stp>
        <stp>MSFT</stp>
        <stp>EPSESTLASTWEEKQ1</stp>
        <stp>0</stp>
        <stp>0</stp>
        <stp>0</stp>
        <stp>0</stp>
        <stp>0</stp>
        <tr r="D14" s="8"/>
      </tp>
      <tp t="s">
        <v>NA</v>
        <stp/>
        <stp>136</stp>
        <stp>AAPL</stp>
        <stp>FLASHEQUITYCOMMON</stp>
        <stp>0</stp>
        <stp>0</stp>
        <stp>0</stp>
        <stp>0</stp>
        <stp>0</stp>
        <tr r="C85" s="5"/>
      </tp>
      <tp>
        <v>69.400000000000006</v>
        <stp/>
        <stp>136</stp>
        <stp>MSFT</stp>
        <stp>INDUSTRYPRICEPERCFPSAVE3Y</stp>
        <stp>0</stp>
        <stp>0</stp>
        <stp>0</stp>
        <stp>0</stp>
        <stp>0</stp>
        <tr r="E17" s="6"/>
      </tp>
      <tp>
        <v>124.9</v>
        <stp/>
        <stp>136</stp>
        <stp>MSFT</stp>
        <stp>INDUSTRYPRICEPERCFPSAVE5Y</stp>
        <stp>0</stp>
        <stp>0</stp>
        <stp>0</stp>
        <stp>0</stp>
        <stp>0</stp>
        <tr r="F17" s="6"/>
      </tp>
      <tp>
        <v>0</v>
        <stp/>
        <stp>136</stp>
        <stp>MSFT</stp>
        <stp>INDUSTRYPRICEPERCFPSAVE7Y</stp>
        <stp>0</stp>
        <stp>0</stp>
        <stp>0</stp>
        <stp>0</stp>
        <stp>0</stp>
        <tr r="G17" s="6"/>
      </tp>
      <tp t="s">
        <v>Industry Yield</v>
        <stp/>
        <stp>137</stp>
        <stp/>
        <stp>INDUSTRYYIELD</stp>
        <stp>0</stp>
        <stp>0</stp>
        <stp>0</stp>
        <stp>0</stp>
        <stp>0</stp>
        <tr r="B19" s="6"/>
      </tp>
      <tp t="s">
        <v>NA</v>
        <stp/>
        <stp>136</stp>
        <stp>AAPL</stp>
        <stp>FLASHCASH</stp>
        <stp>0</stp>
        <stp>0</stp>
        <stp>0</stp>
        <stp>0</stp>
        <stp>0</stp>
        <tr r="C83" s="5"/>
      </tp>
      <tp t="s">
        <v>EPS Growth-Hist Y1 to Est Y0</v>
        <stp/>
        <stp>137</stp>
        <stp/>
        <stp>EPSGROWTHHISTY1TOESTY0</stp>
        <stp>0</stp>
        <stp>0</stp>
        <stp>0</stp>
        <stp>0</stp>
        <stp>0</stp>
        <tr r="B32" s="8"/>
      </tp>
      <tp t="s">
        <v>NA</v>
        <stp/>
        <stp>136</stp>
        <stp>MSFT</stp>
        <stp>EPSESTLASTWEEKY0</stp>
        <stp>0</stp>
        <stp>0</stp>
        <stp>0</stp>
        <stp>0</stp>
        <stp>0</stp>
        <tr r="E14" s="8"/>
      </tp>
      <tp t="s">
        <v>NA</v>
        <stp/>
        <stp>136</stp>
        <stp>MSFT</stp>
        <stp>EPSESTLASTWEEKQ0</stp>
        <stp>0</stp>
        <stp>0</stp>
        <stp>0</stp>
        <stp>0</stp>
        <stp>0</stp>
        <tr r="C14" s="8"/>
      </tp>
      <tp>
        <v>119.01</v>
        <stp/>
        <stp>136</stp>
        <stp>MSFT</stp>
        <stp>PRICELOWM_X</stp>
        <stp>2</stp>
        <stp>0</stp>
        <stp>0</stp>
        <stp>0</stp>
        <stp>0</stp>
        <tr r="E17" s="4"/>
      </tp>
      <tp>
        <v>123.04</v>
        <stp/>
        <stp>136</stp>
        <stp>MSFT</stp>
        <stp>PRICELOWM_X</stp>
        <stp>3</stp>
        <stp>0</stp>
        <stp>0</stp>
        <stp>0</stp>
        <stp>0</stp>
        <tr r="E18" s="4"/>
      </tp>
      <tp>
        <v>134.97</v>
        <stp/>
        <stp>136</stp>
        <stp>MSFT</stp>
        <stp>PRICELOWM_X</stp>
        <stp>1</stp>
        <stp>0</stp>
        <stp>0</stp>
        <stp>0</stp>
        <stp>0</stp>
        <tr r="E16" s="4"/>
      </tp>
      <tp>
        <v>102.35</v>
        <stp/>
        <stp>136</stp>
        <stp>MSFT</stp>
        <stp>PRICELOWM_X</stp>
        <stp>6</stp>
        <stp>0</stp>
        <stp>0</stp>
        <stp>0</stp>
        <stp>0</stp>
        <tr r="E21" s="4"/>
      </tp>
      <tp>
        <v>97.2</v>
        <stp/>
        <stp>136</stp>
        <stp>MSFT</stp>
        <stp>PRICELOWM_X</stp>
        <stp>7</stp>
        <stp>0</stp>
        <stp>0</stp>
        <stp>0</stp>
        <stp>0</stp>
        <tr r="E22" s="4"/>
      </tp>
      <tp>
        <v>118.1</v>
        <stp/>
        <stp>136</stp>
        <stp>MSFT</stp>
        <stp>PRICELOWM_X</stp>
        <stp>4</stp>
        <stp>0</stp>
        <stp>0</stp>
        <stp>0</stp>
        <stp>0</stp>
        <tr r="E19" s="4"/>
      </tp>
      <tp>
        <v>108.8</v>
        <stp/>
        <stp>136</stp>
        <stp>MSFT</stp>
        <stp>PRICELOWM_X</stp>
        <stp>5</stp>
        <stp>0</stp>
        <stp>0</stp>
        <stp>0</stp>
        <stp>0</stp>
        <tr r="E20" s="4"/>
      </tp>
      <tp>
        <v>93.96</v>
        <stp/>
        <stp>136</stp>
        <stp>MSFT</stp>
        <stp>PRICELOWM_X</stp>
        <stp>8</stp>
        <stp>0</stp>
        <stp>0</stp>
        <stp>0</stp>
        <stp>0</stp>
        <tr r="E23" s="4"/>
      </tp>
      <tp>
        <v>99.352999999999994</v>
        <stp/>
        <stp>136</stp>
        <stp>MSFT</stp>
        <stp>PRICELOWM_X</stp>
        <stp>9</stp>
        <stp>0</stp>
        <stp>0</stp>
        <stp>0</stp>
        <stp>0</stp>
        <tr r="E24" s="4"/>
      </tp>
      <tp t="s">
        <v>Depreciation &amp; Amortization</v>
        <stp/>
        <stp>137</stp>
        <stp/>
        <stp>DEPRECIATIONQ_X</stp>
        <stp>0</stp>
        <stp>0</stp>
        <stp>0</stp>
        <stp>0</stp>
        <stp>0</stp>
        <tr r="B11" s="1"/>
      </tp>
      <tp>
        <v>26.28</v>
        <stp/>
        <stp>136</stp>
        <stp>MSFT</stp>
        <stp>PRICELOWY_X</stp>
        <stp>6</stp>
        <stp>0</stp>
        <stp>0</stp>
        <stp>0</stp>
        <stp>0</stp>
        <tr r="E12" s="4"/>
      </tp>
      <tp>
        <v>26.26</v>
        <stp/>
        <stp>136</stp>
        <stp>MSFT</stp>
        <stp>PRICELOWY_X</stp>
        <stp>7</stp>
        <stp>0</stp>
        <stp>0</stp>
        <stp>0</stp>
        <stp>0</stp>
        <tr r="E13" s="4"/>
      </tp>
      <tp>
        <v>39.72</v>
        <stp/>
        <stp>136</stp>
        <stp>MSFT</stp>
        <stp>PRICELOWY_X</stp>
        <stp>4</stp>
        <stp>0</stp>
        <stp>0</stp>
        <stp>0</stp>
        <stp>0</stp>
        <tr r="E10" s="4"/>
      </tp>
      <tp>
        <v>34.630000000000003</v>
        <stp/>
        <stp>136</stp>
        <stp>MSFT</stp>
        <stp>PRICELOWY_X</stp>
        <stp>5</stp>
        <stp>0</stp>
        <stp>0</stp>
        <stp>0</stp>
        <stp>0</stp>
        <tr r="E11" s="4"/>
      </tp>
      <tp>
        <v>61.95</v>
        <stp/>
        <stp>136</stp>
        <stp>MSFT</stp>
        <stp>PRICELOWY_X</stp>
        <stp>2</stp>
        <stp>0</stp>
        <stp>0</stp>
        <stp>0</stp>
        <stp>0</stp>
        <tr r="E8" s="4"/>
      </tp>
      <tp>
        <v>48.034999999999997</v>
        <stp/>
        <stp>136</stp>
        <stp>MSFT</stp>
        <stp>PRICELOWY_X</stp>
        <stp>3</stp>
        <stp>0</stp>
        <stp>0</stp>
        <stp>0</stp>
        <stp>0</stp>
        <tr r="E9" s="4"/>
      </tp>
      <tp>
        <v>83.83</v>
        <stp/>
        <stp>136</stp>
        <stp>MSFT</stp>
        <stp>PRICELOWY_X</stp>
        <stp>1</stp>
        <stp>0</stp>
        <stp>0</stp>
        <stp>0</stp>
        <stp>0</stp>
        <tr r="E7" s="4"/>
      </tp>
      <tp>
        <v>0</v>
        <stp/>
        <stp>136</stp>
        <stp>MSFT</stp>
        <stp>SECTORYIELD</stp>
        <stp>0</stp>
        <stp>0</stp>
        <stp>0</stp>
        <stp>0</stp>
        <stp>0</stp>
        <tr r="C27" s="6"/>
      </tp>
      <tp t="s">
        <v>Dividend Increases-Y7 to Y1</v>
        <stp/>
        <stp>137</stp>
        <stp/>
        <stp>DIVIDENDINCREASESY7TOY1</stp>
        <stp>0</stp>
        <stp>0</stp>
        <stp>0</stp>
        <stp>0</stp>
        <stp>0</stp>
        <tr r="B109" s="5"/>
      </tp>
      <tp t="s">
        <v>Sector Return on assets</v>
        <stp/>
        <stp>137</stp>
        <stp/>
        <stp>SECTORRETURNONASSETSY_X</stp>
        <stp>0</stp>
        <stp>0</stp>
        <stp>0</stp>
        <stp>0</stp>
        <stp>0</stp>
        <tr r="B64" s="7"/>
      </tp>
      <tp t="s">
        <v>PE using Avg EPS 3 Years</v>
        <stp/>
        <stp>137</stp>
        <stp/>
        <stp>PEUSINGAVEEPS3Y</stp>
        <stp>0</stp>
        <stp>0</stp>
        <stp>0</stp>
        <stp>0</stp>
        <stp>0</stp>
        <tr r="B42" s="6"/>
      </tp>
      <tp>
        <v>26.74</v>
        <stp/>
        <stp>136</stp>
        <stp>AAPL</stp>
        <stp>PRICECHANGE3YSTDDEV</stp>
        <stp>0</stp>
        <stp>0</stp>
        <stp>0</stp>
        <stp>0</stp>
        <stp>0</stp>
        <tr r="C41" s="5"/>
      </tp>
      <tp>
        <v>25</v>
        <stp/>
        <stp>136</stp>
        <stp>AAPL</stp>
        <stp>PRICECHANGE3YANNUAL</stp>
        <stp>0</stp>
        <stp>0</stp>
        <stp>0</stp>
        <stp>0</stp>
        <stp>0</stp>
        <tr r="C42" s="5"/>
      </tp>
      <tp>
        <v>4.46</v>
        <stp/>
        <stp>136</stp>
        <stp>MSFT</stp>
        <stp>INDUSTRYPRICEPERBOOKAVE3Y</stp>
        <stp>0</stp>
        <stp>0</stp>
        <stp>0</stp>
        <stp>0</stp>
        <stp>0</stp>
        <tr r="E15" s="6"/>
      </tp>
      <tp>
        <v>4.45</v>
        <stp/>
        <stp>136</stp>
        <stp>MSFT</stp>
        <stp>INDUSTRYPRICEPERBOOKAVE5Y</stp>
        <stp>0</stp>
        <stp>0</stp>
        <stp>0</stp>
        <stp>0</stp>
        <stp>0</stp>
        <tr r="F15" s="6"/>
      </tp>
      <tp>
        <v>3.82</v>
        <stp/>
        <stp>136</stp>
        <stp>MSFT</stp>
        <stp>INDUSTRYPRICEPERBOOKAVE7Y</stp>
        <stp>0</stp>
        <stp>0</stp>
        <stp>0</stp>
        <stp>0</stp>
        <stp>0</stp>
        <tr r="G15" s="6"/>
      </tp>
      <tp>
        <v>47.1</v>
        <stp/>
        <stp>136</stp>
        <stp>BEAT</stp>
        <stp>TOTALLIABILITIESASSETSY_X</stp>
        <stp>1</stp>
        <stp>0</stp>
        <stp>0</stp>
        <stp>0</stp>
        <stp>0</stp>
        <tr r="F57" s="13"/>
      </tp>
      <tp t="s">
        <v>NA</v>
        <stp/>
        <stp>136</stp>
        <stp>BOOM</stp>
        <stp>EPSCONTGROWTHR27Y</stp>
        <stp>0</stp>
        <stp>0</stp>
        <stp>0</stp>
        <stp>0</stp>
        <stp>0</stp>
        <tr r="N12" s="3"/>
      </tp>
      <tp t="s">
        <v>NA</v>
        <stp/>
        <stp>136</stp>
        <stp>BOOM</stp>
        <stp>EPSCONTGROWTHLS3Y</stp>
        <stp>0</stp>
        <stp>0</stp>
        <stp>0</stp>
        <stp>0</stp>
        <stp>0</stp>
        <tr r="L12" s="3"/>
      </tp>
      <tp t="s">
        <v>NA</v>
        <stp/>
        <stp>136</stp>
        <stp>BOOM</stp>
        <stp>EPSCONTGROWTHLS5Y</stp>
        <stp>0</stp>
        <stp>0</stp>
        <stp>0</stp>
        <stp>0</stp>
        <stp>0</stp>
        <tr r="M12" s="3"/>
      </tp>
      <tp>
        <v>89</v>
        <stp/>
        <stp>136</stp>
        <stp>BOOM</stp>
        <stp>PCNTRANKNETINCOMEGROWTH5Y</stp>
        <stp>0</stp>
        <stp>0</stp>
        <stp>0</stp>
        <stp>0</stp>
        <stp>0</stp>
        <tr r="E52" s="3"/>
      </tp>
      <tp>
        <v>71</v>
        <stp/>
        <stp>136</stp>
        <stp>BOOM</stp>
        <stp>PCNTRANKNETINCOMEGROWTH7Y</stp>
        <stp>0</stp>
        <stp>0</stp>
        <stp>0</stp>
        <stp>0</stp>
        <stp>0</stp>
        <tr r="F52" s="3"/>
      </tp>
      <tp>
        <v>95</v>
        <stp/>
        <stp>136</stp>
        <stp>BOOM</stp>
        <stp>PCNTRANKNETINCOMEGROWTH1Y</stp>
        <stp>0</stp>
        <stp>0</stp>
        <stp>0</stp>
        <stp>0</stp>
        <stp>0</stp>
        <tr r="C52" s="3"/>
      </tp>
      <tp>
        <v>87</v>
        <stp/>
        <stp>136</stp>
        <stp>BOOM</stp>
        <stp>PCNTRANKNETINCOMEGROWTH3Y</stp>
        <stp>0</stp>
        <stp>0</stp>
        <stp>0</stp>
        <stp>0</stp>
        <stp>0</stp>
        <tr r="D52" s="3"/>
      </tp>
      <tp t="s">
        <v>Dividend-Growth</v>
        <stp/>
        <stp>137</stp>
        <stp/>
        <stp>DIVIDENDGROWTH1Y</stp>
        <stp>1</stp>
        <stp>0</stp>
        <stp>0</stp>
        <stp>0</stp>
        <stp>0</stp>
        <tr r="B17" s="3"/>
      </tp>
      <tp t="s">
        <v>PE / EPS</v>
        <stp/>
        <stp>137</stp>
        <stp/>
        <stp>PE</stp>
        <stp>0</stp>
        <stp>0</stp>
        <stp>0</stp>
        <stp>0</stp>
        <stp>0</stp>
        <tr r="B6" s="6"/>
      </tp>
      <tp>
        <v>257619</v>
        <stp/>
        <stp>136</stp>
        <stp>MSFT</stp>
        <stp>TOTALASSETSQ_X</stp>
        <stp>3</stp>
        <stp>0</stp>
        <stp>0</stp>
        <stp>0</stp>
        <stp>0</stp>
        <tr r="E68" s="1"/>
      </tp>
      <tp>
        <v>258859</v>
        <stp/>
        <stp>136</stp>
        <stp>MSFT</stp>
        <stp>TOTALASSETSQ_X</stp>
        <stp>2</stp>
        <stp>0</stp>
        <stp>0</stp>
        <stp>0</stp>
        <stp>0</stp>
        <tr r="D68" s="1"/>
      </tp>
      <tp>
        <v>263281</v>
        <stp/>
        <stp>136</stp>
        <stp>MSFT</stp>
        <stp>TOTALASSETSQ_X</stp>
        <stp>1</stp>
        <stp>0</stp>
        <stp>0</stp>
        <stp>0</stp>
        <stp>0</stp>
        <tr r="C68" s="1"/>
      </tp>
      <tp>
        <v>249097</v>
        <stp/>
        <stp>136</stp>
        <stp>MSFT</stp>
        <stp>TOTALASSETSQ_X</stp>
        <stp>7</stp>
        <stp>0</stp>
        <stp>0</stp>
        <stp>0</stp>
        <stp>0</stp>
        <tr r="I68" s="1"/>
      </tp>
      <tp>
        <v>256003</v>
        <stp/>
        <stp>136</stp>
        <stp>MSFT</stp>
        <stp>TOTALASSETSQ_X</stp>
        <stp>6</stp>
        <stp>0</stp>
        <stp>0</stp>
        <stp>0</stp>
        <stp>0</stp>
        <tr r="H68" s="1"/>
      </tp>
      <tp>
        <v>245497</v>
        <stp/>
        <stp>136</stp>
        <stp>MSFT</stp>
        <stp>TOTALASSETSQ_X</stp>
        <stp>5</stp>
        <stp>0</stp>
        <stp>0</stp>
        <stp>0</stp>
        <stp>0</stp>
        <tr r="G68" s="1"/>
      </tp>
      <tp>
        <v>258848</v>
        <stp/>
        <stp>136</stp>
        <stp>MSFT</stp>
        <stp>TOTALASSETSQ_X</stp>
        <stp>4</stp>
        <stp>0</stp>
        <stp>0</stp>
        <stp>0</stp>
        <stp>0</stp>
        <tr r="F68" s="1"/>
      </tp>
      <tp>
        <v>250312</v>
        <stp/>
        <stp>136</stp>
        <stp>MSFT</stp>
        <stp>TOTALASSETSQ_X</stp>
        <stp>8</stp>
        <stp>0</stp>
        <stp>0</stp>
        <stp>0</stp>
        <stp>0</stp>
        <tr r="J68" s="1"/>
      </tp>
      <tp>
        <v>64</v>
        <stp/>
        <stp>136</stp>
        <stp>AAPL</stp>
        <stp>PCNTRANKBETA</stp>
        <stp>0</stp>
        <stp>0</stp>
        <stp>0</stp>
        <stp>0</stp>
        <stp>0</stp>
        <tr r="F38" s="5"/>
      </tp>
      <tp>
        <v>98</v>
        <stp/>
        <stp>136</stp>
        <stp>AAPL</stp>
        <stp>PCNTRANKPRICEHIGH52WEEK</stp>
        <stp>0</stp>
        <stp>0</stp>
        <stp>0</stp>
        <stp>0</stp>
        <stp>0</stp>
        <tr r="F23" s="5"/>
      </tp>
      <tp>
        <v>0</v>
        <stp/>
        <stp>136</stp>
        <stp>AAPL</stp>
        <stp>PCNTRANKINSIDEROWNERSHIPPCNT</stp>
        <stp>0</stp>
        <stp>0</stp>
        <stp>0</stp>
        <stp>0</stp>
        <stp>0</stp>
        <tr r="F32" s="5"/>
      </tp>
      <tp>
        <v>8.4</v>
        <stp/>
        <stp>136</stp>
        <stp>BOOM</stp>
        <stp>SECTOREPSCONTGROWTH12M</stp>
        <stp>0</stp>
        <stp>0</stp>
        <stp>0</stp>
        <stp>0</stp>
        <stp>0</stp>
        <tr r="G40" s="3"/>
      </tp>
      <tp>
        <v>15.1</v>
        <stp/>
        <stp>136</stp>
        <stp>MSFT</stp>
        <stp>INDUSTRYEPSGROWTHEST</stp>
        <stp>0</stp>
        <stp>0</stp>
        <stp>0</stp>
        <stp>0</stp>
        <stp>0</stp>
        <tr r="I6" s="8"/>
      </tp>
      <tp>
        <v>33.654000000000003</v>
        <stp/>
        <stp>136</stp>
        <stp>BEAT</stp>
        <stp>SHARESAVEQ_X</stp>
        <stp>1</stp>
        <stp>0</stp>
        <stp>0</stp>
        <stp>0</stp>
        <stp>0</stp>
        <tr r="E10" s="13"/>
      </tp>
      <tp>
        <v>-2.8</v>
        <stp/>
        <stp>136</stp>
        <stp>BOOM</stp>
        <stp>NETINCOMEQ_X</stp>
        <stp>8</stp>
        <stp>0</stp>
        <stp>0</stp>
        <stp>0</stp>
        <stp>0</stp>
        <tr r="J27" s="12"/>
        <tr r="J27" s="11"/>
      </tp>
      <tp>
        <v>10.1</v>
        <stp/>
        <stp>136</stp>
        <stp>BOOM</stp>
        <stp>NETINCOMEQ_X</stp>
        <stp>4</stp>
        <stp>0</stp>
        <stp>0</stp>
        <stp>0</stp>
        <stp>0</stp>
        <tr r="F27" s="12"/>
        <tr r="F27" s="11"/>
      </tp>
      <tp>
        <v>3.8</v>
        <stp/>
        <stp>136</stp>
        <stp>BOOM</stp>
        <stp>NETINCOMEQ_X</stp>
        <stp>5</stp>
        <stp>0</stp>
        <stp>0</stp>
        <stp>0</stp>
        <stp>0</stp>
        <tr r="G27" s="11"/>
        <tr r="G27" s="12"/>
      </tp>
      <tp>
        <v>-2</v>
        <stp/>
        <stp>136</stp>
        <stp>BOOM</stp>
        <stp>NETINCOMEQ_X</stp>
        <stp>6</stp>
        <stp>0</stp>
        <stp>0</stp>
        <stp>0</stp>
        <stp>0</stp>
        <tr r="H27" s="12"/>
        <tr r="H27" s="11"/>
      </tp>
      <tp>
        <v>-14.1</v>
        <stp/>
        <stp>136</stp>
        <stp>BOOM</stp>
        <stp>NETINCOMEQ_X</stp>
        <stp>7</stp>
        <stp>0</stp>
        <stp>0</stp>
        <stp>0</stp>
        <stp>0</stp>
        <tr r="I27" s="11"/>
        <tr r="I27" s="12"/>
      </tp>
      <tp>
        <v>14.9</v>
        <stp/>
        <stp>136</stp>
        <stp>BOOM</stp>
        <stp>NETINCOMEQ_X</stp>
        <stp>1</stp>
        <stp>0</stp>
        <stp>0</stp>
        <stp>0</stp>
        <stp>0</stp>
        <tr r="C27" s="11"/>
        <tr r="C27" s="12"/>
      </tp>
      <tp>
        <v>14.9</v>
        <stp/>
        <stp>136</stp>
        <stp>BOOM</stp>
        <stp>NETINCOMEQ_X</stp>
        <stp>2</stp>
        <stp>0</stp>
        <stp>0</stp>
        <stp>0</stp>
        <stp>0</stp>
        <tr r="D27" s="12"/>
        <tr r="D27" s="11"/>
      </tp>
      <tp>
        <v>4.8</v>
        <stp/>
        <stp>136</stp>
        <stp>BOOM</stp>
        <stp>NETINCOMEQ_X</stp>
        <stp>3</stp>
        <stp>0</stp>
        <stp>0</stp>
        <stp>0</stp>
        <stp>0</stp>
        <tr r="E27" s="11"/>
        <tr r="E27" s="12"/>
      </tp>
      <tp t="s">
        <v>% Rank-EPS Dil Cont-Growth</v>
        <stp/>
        <stp>137</stp>
        <stp/>
        <stp>PCNTRANKEPSDILCONTGROWTH1Y</stp>
        <stp>1</stp>
        <stp>0</stp>
        <stp>0</stp>
        <stp>0</stp>
        <stp>0</stp>
        <tr r="B55" s="3"/>
      </tp>
      <tp>
        <v>14.1</v>
        <stp/>
        <stp>136</stp>
        <stp>MSFT</stp>
        <stp>QTRLYSURPRISEPERCENT</stp>
        <stp>0</stp>
        <stp>0</stp>
        <stp>0</stp>
        <stp>0</stp>
        <stp>0</stp>
        <tr r="C27" s="8"/>
      </tp>
      <tp>
        <v>10.4</v>
        <stp/>
        <stp>136</stp>
        <stp>BEAT</stp>
        <stp>NETINCOMEQ_X</stp>
        <stp>2</stp>
        <stp>0</stp>
        <stp>0</stp>
        <stp>0</stp>
        <stp>0</stp>
        <tr r="G15" s="13"/>
      </tp>
      <tp>
        <v>16</v>
        <stp/>
        <stp>136</stp>
        <stp>BEAT</stp>
        <stp>NETINCOMEQ_X</stp>
        <stp>3</stp>
        <stp>0</stp>
        <stp>0</stp>
        <stp>0</stp>
        <stp>0</stp>
        <tr r="H15" s="13"/>
      </tp>
      <tp>
        <v>11.7</v>
        <stp/>
        <stp>136</stp>
        <stp>BEAT</stp>
        <stp>NETINCOMEQ_X</stp>
        <stp>1</stp>
        <stp>0</stp>
        <stp>0</stp>
        <stp>0</stp>
        <stp>0</stp>
        <tr r="F15" s="13"/>
      </tp>
      <tp>
        <v>10.4</v>
        <stp/>
        <stp>136</stp>
        <stp>BEAT</stp>
        <stp>NETINCOMEQ_X</stp>
        <stp>4</stp>
        <stp>0</stp>
        <stp>0</stp>
        <stp>0</stp>
        <stp>0</stp>
        <tr r="I15" s="13"/>
      </tp>
      <tp t="s">
        <v>% Rank-Sales</v>
        <stp/>
        <stp>137</stp>
        <stp/>
        <stp>PCNTRANKSALESY_X</stp>
        <stp>0</stp>
        <stp>0</stp>
        <stp>0</stp>
        <stp>0</stp>
        <stp>0</stp>
        <tr r="B86" s="7"/>
      </tp>
      <tp>
        <v>5.5</v>
        <stp/>
        <stp>136</stp>
        <stp>MSFT</stp>
        <stp>INDUSTRYRECEIVABLESTURNOVERY_X</stp>
        <stp>1</stp>
        <stp>0</stp>
        <stp>0</stp>
        <stp>0</stp>
        <stp>0</stp>
        <tr r="D52" s="7"/>
      </tp>
      <tp>
        <v>5.7</v>
        <stp/>
        <stp>136</stp>
        <stp>MSFT</stp>
        <stp>INDUSTRYRECEIVABLESTURNOVERY_X</stp>
        <stp>3</stp>
        <stp>0</stp>
        <stp>0</stp>
        <stp>0</stp>
        <stp>0</stp>
        <tr r="F52" s="7"/>
      </tp>
      <tp>
        <v>5.4</v>
        <stp/>
        <stp>136</stp>
        <stp>MSFT</stp>
        <stp>INDUSTRYRECEIVABLESTURNOVERY_X</stp>
        <stp>2</stp>
        <stp>0</stp>
        <stp>0</stp>
        <stp>0</stp>
        <stp>0</stp>
        <tr r="E52" s="7"/>
      </tp>
      <tp>
        <v>5.7</v>
        <stp/>
        <stp>136</stp>
        <stp>MSFT</stp>
        <stp>INDUSTRYRECEIVABLESTURNOVERY_X</stp>
        <stp>5</stp>
        <stp>0</stp>
        <stp>0</stp>
        <stp>0</stp>
        <stp>0</stp>
        <tr r="H52" s="7"/>
      </tp>
      <tp>
        <v>5.6</v>
        <stp/>
        <stp>136</stp>
        <stp>MSFT</stp>
        <stp>INDUSTRYRECEIVABLESTURNOVERY_X</stp>
        <stp>4</stp>
        <stp>0</stp>
        <stp>0</stp>
        <stp>0</stp>
        <stp>0</stp>
        <tr r="G52" s="7"/>
      </tp>
      <tp>
        <v>5.4</v>
        <stp/>
        <stp>136</stp>
        <stp>MSFT</stp>
        <stp>INDUSTRYRECEIVABLESTURNOVERY_X</stp>
        <stp>7</stp>
        <stp>0</stp>
        <stp>0</stp>
        <stp>0</stp>
        <stp>0</stp>
        <tr r="J52" s="7"/>
      </tp>
      <tp>
        <v>5.8</v>
        <stp/>
        <stp>136</stp>
        <stp>MSFT</stp>
        <stp>INDUSTRYRECEIVABLESTURNOVERY_X</stp>
        <stp>6</stp>
        <stp>0</stp>
        <stp>0</stp>
        <stp>0</stp>
        <stp>0</stp>
        <tr r="I52" s="7"/>
      </tp>
      <tp>
        <v>5.3</v>
        <stp/>
        <stp>136</stp>
        <stp>BEAT</stp>
        <stp>CAPITALEXPENDITURESQ_X</stp>
        <stp>1</stp>
        <stp>0</stp>
        <stp>0</stp>
        <stp>0</stp>
        <stp>0</stp>
        <tr r="F19" s="13"/>
      </tp>
      <tp>
        <v>7.6</v>
        <stp/>
        <stp>136</stp>
        <stp>BEAT</stp>
        <stp>CAPITALEXPENDITURESQ_X</stp>
        <stp>3</stp>
        <stp>0</stp>
        <stp>0</stp>
        <stp>0</stp>
        <stp>0</stp>
        <tr r="H19" s="13"/>
      </tp>
      <tp>
        <v>7.1</v>
        <stp/>
        <stp>136</stp>
        <stp>BEAT</stp>
        <stp>CAPITALEXPENDITURESQ_X</stp>
        <stp>2</stp>
        <stp>0</stp>
        <stp>0</stp>
        <stp>0</stp>
        <stp>0</stp>
        <tr r="G19" s="13"/>
      </tp>
      <tp>
        <v>6</v>
        <stp/>
        <stp>136</stp>
        <stp>BEAT</stp>
        <stp>CAPITALEXPENDITURESQ_X</stp>
        <stp>4</stp>
        <stp>0</stp>
        <stp>0</stp>
        <stp>0</stp>
        <stp>0</stp>
        <tr r="I19" s="13"/>
      </tp>
      <tp>
        <v>36.700000000000003</v>
        <stp/>
        <stp>136</stp>
        <stp>MSFT</stp>
        <stp>INDUSTRYPRICEPERCFPS1YEARAGO</stp>
        <stp>0</stp>
        <stp>0</stp>
        <stp>0</stp>
        <stp>0</stp>
        <stp>0</stp>
        <tr r="D17" s="6"/>
      </tp>
      <tp>
        <v>145.01</v>
        <stp/>
        <stp>136</stp>
        <stp>MSFT</stp>
        <stp>VALUATIONFCFPS</stp>
        <stp>0</stp>
        <stp>0</stp>
        <stp>0</stp>
        <stp>0</stp>
        <stp>0</stp>
        <tr r="C9" s="9"/>
      </tp>
      <tp>
        <v>6477.1880000000001</v>
        <stp/>
        <stp>136</stp>
        <stp>AAPL</stp>
        <stp>SHARESAVEY_X</stp>
        <stp>6</stp>
        <stp>0</stp>
        <stp>0</stp>
        <stp>0</stp>
        <stp>0</stp>
        <tr r="D70" s="5"/>
      </tp>
      <tp>
        <v>6543.7259999999997</v>
        <stp/>
        <stp>136</stp>
        <stp>AAPL</stp>
        <stp>SHARESAVEY_X</stp>
        <stp>7</stp>
        <stp>0</stp>
        <stp>0</stp>
        <stp>0</stp>
        <stp>0</stp>
        <tr r="D71" s="5"/>
      </tp>
      <tp>
        <v>5753.4210000000003</v>
        <stp/>
        <stp>136</stp>
        <stp>AAPL</stp>
        <stp>SHARESAVEY_X</stp>
        <stp>4</stp>
        <stp>0</stp>
        <stp>0</stp>
        <stp>0</stp>
        <stp>0</stp>
        <tr r="D68" s="5"/>
      </tp>
      <tp>
        <v>6085.5720000000001</v>
        <stp/>
        <stp>136</stp>
        <stp>AAPL</stp>
        <stp>SHARESAVEY_X</stp>
        <stp>5</stp>
        <stp>0</stp>
        <stp>0</stp>
        <stp>0</stp>
        <stp>0</stp>
        <tr r="D69" s="5"/>
      </tp>
      <tp>
        <v>5217.2420000000002</v>
        <stp/>
        <stp>136</stp>
        <stp>AAPL</stp>
        <stp>SHARESAVEY_X</stp>
        <stp>2</stp>
        <stp>0</stp>
        <stp>0</stp>
        <stp>0</stp>
        <stp>0</stp>
        <tr r="D66" s="5"/>
      </tp>
      <tp>
        <v>5470.82</v>
        <stp/>
        <stp>136</stp>
        <stp>AAPL</stp>
        <stp>SHARESAVEY_X</stp>
        <stp>3</stp>
        <stp>0</stp>
        <stp>0</stp>
        <stp>0</stp>
        <stp>0</stp>
        <tr r="D67" s="5"/>
      </tp>
      <tp>
        <v>5195.0879999999997</v>
        <stp/>
        <stp>136</stp>
        <stp>AAPL</stp>
        <stp>SHARESAVEQ_X</stp>
        <stp>8</stp>
        <stp>0</stp>
        <stp>0</stp>
        <stp>0</stp>
        <stp>0</stp>
        <tr r="C72" s="5"/>
      </tp>
      <tp>
        <v>4955.3770000000004</v>
        <stp/>
        <stp>136</stp>
        <stp>AAPL</stp>
        <stp>SHARESAVEY_X</stp>
        <stp>1</stp>
        <stp>0</stp>
        <stp>0</stp>
        <stp>0</stp>
        <stp>0</stp>
        <tr r="D65" s="5"/>
      </tp>
      <tp>
        <v>5112.8770000000004</v>
        <stp/>
        <stp>136</stp>
        <stp>AAPL</stp>
        <stp>SHARESAVEQ_X</stp>
        <stp>6</stp>
        <stp>0</stp>
        <stp>0</stp>
        <stp>0</stp>
        <stp>0</stp>
        <tr r="C70" s="5"/>
      </tp>
      <tp>
        <v>5149.4269999999997</v>
        <stp/>
        <stp>136</stp>
        <stp>AAPL</stp>
        <stp>SHARESAVEQ_X</stp>
        <stp>7</stp>
        <stp>0</stp>
        <stp>0</stp>
        <stp>0</stp>
        <stp>0</stp>
        <tr r="C71" s="5"/>
      </tp>
      <tp>
        <v>4882.1670000000004</v>
        <stp/>
        <stp>136</stp>
        <stp>AAPL</stp>
        <stp>SHARESAVEQ_X</stp>
        <stp>4</stp>
        <stp>0</stp>
        <stp>0</stp>
        <stp>0</stp>
        <stp>0</stp>
        <tr r="C68" s="5"/>
      </tp>
      <tp>
        <v>5024.8770000000004</v>
        <stp/>
        <stp>136</stp>
        <stp>AAPL</stp>
        <stp>SHARESAVEQ_X</stp>
        <stp>5</stp>
        <stp>0</stp>
        <stp>0</stp>
        <stp>0</stp>
        <stp>0</stp>
        <tr r="C69" s="5"/>
      </tp>
      <tp>
        <v>4735.82</v>
        <stp/>
        <stp>136</stp>
        <stp>AAPL</stp>
        <stp>SHARESAVEQ_X</stp>
        <stp>2</stp>
        <stp>0</stp>
        <stp>0</stp>
        <stp>0</stp>
        <stp>0</stp>
        <tr r="C66" s="5"/>
      </tp>
      <tp>
        <v>4801.5879999999997</v>
        <stp/>
        <stp>136</stp>
        <stp>AAPL</stp>
        <stp>SHARESAVEQ_X</stp>
        <stp>3</stp>
        <stp>0</stp>
        <stp>0</stp>
        <stp>0</stp>
        <stp>0</stp>
        <tr r="C67" s="5"/>
      </tp>
      <tp>
        <v>4674.0709999999999</v>
        <stp/>
        <stp>136</stp>
        <stp>AAPL</stp>
        <stp>SHARESAVEQ_X</stp>
        <stp>1</stp>
        <stp>0</stp>
        <stp>0</stp>
        <stp>0</stp>
        <stp>0</stp>
        <tr r="C65" s="5"/>
      </tp>
      <tp t="s">
        <v>% Rank-PE</v>
        <stp/>
        <stp>137</stp>
        <stp/>
        <stp>PCNTRANKPE</stp>
        <stp>0</stp>
        <stp>0</stp>
        <stp>0</stp>
        <stp>0</stp>
        <stp>0</stp>
        <tr r="B30" s="6"/>
      </tp>
      <tp>
        <v>98</v>
        <stp/>
        <stp>136</stp>
        <stp>MSFT</stp>
        <stp>PCNTRANKTOTALASSETSY_X</stp>
        <stp>4</stp>
        <stp>0</stp>
        <stp>0</stp>
        <stp>0</stp>
        <stp>0</stp>
        <tr r="G90" s="7"/>
      </tp>
      <tp>
        <v>98</v>
        <stp/>
        <stp>136</stp>
        <stp>MSFT</stp>
        <stp>PCNTRANKTOTALASSETSY_X</stp>
        <stp>5</stp>
        <stp>0</stp>
        <stp>0</stp>
        <stp>0</stp>
        <stp>0</stp>
        <tr r="H90" s="7"/>
      </tp>
      <tp t="s">
        <v>NA</v>
        <stp/>
        <stp>136</stp>
        <stp>MSFT</stp>
        <stp>PCNTRANKTOTALASSETSY_X</stp>
        <stp>6</stp>
        <stp>0</stp>
        <stp>0</stp>
        <stp>0</stp>
        <stp>0</stp>
        <tr r="I90" s="7"/>
      </tp>
      <tp t="s">
        <v>NA</v>
        <stp/>
        <stp>136</stp>
        <stp>MSFT</stp>
        <stp>PCNTRANKTOTALASSETSY_X</stp>
        <stp>7</stp>
        <stp>0</stp>
        <stp>0</stp>
        <stp>0</stp>
        <stp>0</stp>
        <tr r="J90" s="7"/>
      </tp>
      <tp>
        <v>99</v>
        <stp/>
        <stp>136</stp>
        <stp>MSFT</stp>
        <stp>PCNTRANKTOTALASSETSY_X</stp>
        <stp>1</stp>
        <stp>0</stp>
        <stp>0</stp>
        <stp>0</stp>
        <stp>0</stp>
        <tr r="D90" s="7"/>
      </tp>
      <tp>
        <v>99</v>
        <stp/>
        <stp>136</stp>
        <stp>MSFT</stp>
        <stp>PCNTRANKTOTALASSETSY_X</stp>
        <stp>2</stp>
        <stp>0</stp>
        <stp>0</stp>
        <stp>0</stp>
        <stp>0</stp>
        <tr r="E90" s="7"/>
      </tp>
      <tp>
        <v>99</v>
        <stp/>
        <stp>136</stp>
        <stp>MSFT</stp>
        <stp>PCNTRANKTOTALASSETSY_X</stp>
        <stp>3</stp>
        <stp>0</stp>
        <stp>0</stp>
        <stp>0</stp>
        <stp>0</stp>
        <tr r="F90" s="7"/>
      </tp>
      <tp t="s">
        <v>NA</v>
        <stp/>
        <stp>136</stp>
        <stp>BOOM</stp>
        <stp>NONRECURRINGITEMS12M</stp>
        <stp>0</stp>
        <stp>0</stp>
        <stp>0</stp>
        <stp>0</stp>
        <stp>0</stp>
        <tr r="L26" s="11"/>
        <tr r="L26" s="12"/>
      </tp>
      <tp>
        <v>73</v>
        <stp/>
        <stp>136</stp>
        <stp>AAPL</stp>
        <stp>PCNTRANKRELSTRENGTH52W</stp>
        <stp>0</stp>
        <stp>0</stp>
        <stp>0</stp>
        <stp>0</stp>
        <stp>0</stp>
        <tr r="F60" s="5"/>
      </tp>
      <tp>
        <v>84</v>
        <stp/>
        <stp>136</stp>
        <stp>AAPL</stp>
        <stp>PCNTRANKRELSTRENGTH26W</stp>
        <stp>0</stp>
        <stp>0</stp>
        <stp>0</stp>
        <stp>0</stp>
        <stp>0</stp>
        <tr r="E60" s="5"/>
      </tp>
      <tp>
        <v>64</v>
        <stp/>
        <stp>136</stp>
        <stp>AAPL</stp>
        <stp>PCNTRANKRELSTRENGTH13W</stp>
        <stp>0</stp>
        <stp>0</stp>
        <stp>0</stp>
        <stp>0</stp>
        <stp>0</stp>
        <tr r="D60" s="5"/>
      </tp>
      <tp t="s">
        <v>NA</v>
        <stp/>
        <stp>136</stp>
        <stp>BOOM</stp>
        <stp>CASHFROMFINANCING12M</stp>
        <stp>0</stp>
        <stp>0</stp>
        <stp>0</stp>
        <stp>0</stp>
        <stp>0</stp>
        <tr r="L39" s="11"/>
        <tr r="L39" s="12"/>
      </tp>
      <tp>
        <v>322</v>
        <stp/>
        <stp>136</stp>
        <stp>AAPL</stp>
        <stp>INSIDERSHARESPURCHASED</stp>
        <stp>0</stp>
        <stp>0</stp>
        <stp>0</stp>
        <stp>0</stp>
        <stp>0</stp>
        <tr r="C33" s="5"/>
      </tp>
      <tp>
        <v>23.03</v>
        <stp/>
        <stp>136</stp>
        <stp>MSFT</stp>
        <stp>PRICELOWM_X</stp>
        <stp>120</stp>
        <stp>0</stp>
        <stp>0</stp>
        <stp>0</stp>
        <stp>0</stp>
        <tr r="E135" s="4"/>
      </tp>
      <tp>
        <v>23.76</v>
        <stp/>
        <stp>136</stp>
        <stp>MSFT</stp>
        <stp>PRICELOWM_X</stp>
        <stp>119</stp>
        <stp>0</stp>
        <stp>0</stp>
        <stp>0</stp>
        <stp>0</stp>
        <tr r="E134" s="4"/>
      </tp>
      <tp>
        <v>24.43</v>
        <stp/>
        <stp>136</stp>
        <stp>MSFT</stp>
        <stp>PRICELOWM_X</stp>
        <stp>118</stp>
        <stp>0</stp>
        <stp>0</stp>
        <stp>0</stp>
        <stp>0</stp>
        <tr r="E133" s="4"/>
      </tp>
      <tp>
        <v>27.41</v>
        <stp/>
        <stp>136</stp>
        <stp>MSFT</stp>
        <stp>PRICELOWM_X</stp>
        <stp>117</stp>
        <stp>0</stp>
        <stp>0</stp>
        <stp>0</stp>
        <stp>0</stp>
        <tr r="E132" s="4"/>
      </tp>
      <tp>
        <v>29.25</v>
        <stp/>
        <stp>136</stp>
        <stp>MSFT</stp>
        <stp>PRICELOWM_X</stp>
        <stp>116</stp>
        <stp>0</stp>
        <stp>0</stp>
        <stp>0</stp>
        <stp>0</stp>
        <tr r="E131" s="4"/>
      </tp>
      <tp>
        <v>27.66</v>
        <stp/>
        <stp>136</stp>
        <stp>MSFT</stp>
        <stp>PRICELOWM_X</stp>
        <stp>115</stp>
        <stp>0</stp>
        <stp>0</stp>
        <stp>0</stp>
        <stp>0</stp>
        <tr r="E130" s="4"/>
      </tp>
      <tp>
        <v>27.57</v>
        <stp/>
        <stp>136</stp>
        <stp>MSFT</stp>
        <stp>PRICELOWM_X</stp>
        <stp>114</stp>
        <stp>0</stp>
        <stp>0</stp>
        <stp>0</stp>
        <stp>0</stp>
        <tr r="E129" s="4"/>
      </tp>
      <tp>
        <v>28.24</v>
        <stp/>
        <stp>136</stp>
        <stp>MSFT</stp>
        <stp>PRICELOWM_X</stp>
        <stp>113</stp>
        <stp>0</stp>
        <stp>0</stp>
        <stp>0</stp>
        <stp>0</stp>
        <tr r="E128" s="4"/>
      </tp>
      <tp>
        <v>28.62</v>
        <stp/>
        <stp>136</stp>
        <stp>MSFT</stp>
        <stp>PRICELOWM_X</stp>
        <stp>112</stp>
        <stp>0</stp>
        <stp>0</stp>
        <stp>0</stp>
        <stp>0</stp>
        <tr r="E127" s="4"/>
      </tp>
      <tp>
        <v>24.56</v>
        <stp/>
        <stp>136</stp>
        <stp>MSFT</stp>
        <stp>PRICELOWM_X</stp>
        <stp>111</stp>
        <stp>0</stp>
        <stp>0</stp>
        <stp>0</stp>
        <stp>0</stp>
        <tr r="E126" s="4"/>
      </tp>
      <tp>
        <v>22.95</v>
        <stp/>
        <stp>136</stp>
        <stp>MSFT</stp>
        <stp>PRICELOWM_X</stp>
        <stp>110</stp>
        <stp>0</stp>
        <stp>0</stp>
        <stp>0</stp>
        <stp>0</stp>
        <tr r="E125" s="4"/>
      </tp>
      <tp>
        <v>22.73</v>
        <stp/>
        <stp>136</stp>
        <stp>MSFT</stp>
        <stp>PRICELOWM_X</stp>
        <stp>109</stp>
        <stp>0</stp>
        <stp>0</stp>
        <stp>0</stp>
        <stp>0</stp>
        <tr r="E124" s="4"/>
      </tp>
      <tp>
        <v>23.32</v>
        <stp/>
        <stp>136</stp>
        <stp>MSFT</stp>
        <stp>PRICELOWM_X</stp>
        <stp>108</stp>
        <stp>0</stp>
        <stp>0</stp>
        <stp>0</stp>
        <stp>0</stp>
        <tr r="E123" s="4"/>
      </tp>
      <tp>
        <v>23.54</v>
        <stp/>
        <stp>136</stp>
        <stp>MSFT</stp>
        <stp>PRICELOWM_X</stp>
        <stp>107</stp>
        <stp>0</stp>
        <stp>0</stp>
        <stp>0</stp>
        <stp>0</stp>
        <tr r="E122" s="4"/>
      </tp>
      <tp>
        <v>23.78</v>
        <stp/>
        <stp>136</stp>
        <stp>MSFT</stp>
        <stp>PRICELOWM_X</stp>
        <stp>106</stp>
        <stp>0</stp>
        <stp>0</stp>
        <stp>0</stp>
        <stp>0</stp>
        <tr r="E121" s="4"/>
      </tp>
      <tp>
        <v>24.93</v>
        <stp/>
        <stp>136</stp>
        <stp>MSFT</stp>
        <stp>PRICELOWM_X</stp>
        <stp>105</stp>
        <stp>0</stp>
        <stp>0</stp>
        <stp>0</stp>
        <stp>0</stp>
        <tr r="E120" s="4"/>
      </tp>
      <tp>
        <v>25.56</v>
        <stp/>
        <stp>136</stp>
        <stp>MSFT</stp>
        <stp>PRICELOWM_X</stp>
        <stp>104</stp>
        <stp>0</stp>
        <stp>0</stp>
        <stp>0</stp>
        <stp>0</stp>
        <tr r="E119" s="4"/>
      </tp>
      <tp>
        <v>27.42</v>
        <stp/>
        <stp>136</stp>
        <stp>MSFT</stp>
        <stp>PRICELOWM_X</stp>
        <stp>103</stp>
        <stp>0</stp>
        <stp>0</stp>
        <stp>0</stp>
        <stp>0</stp>
        <tr r="E118" s="4"/>
      </tp>
      <tp>
        <v>26.43</v>
        <stp/>
        <stp>136</stp>
        <stp>MSFT</stp>
        <stp>PRICELOWM_X</stp>
        <stp>102</stp>
        <stp>0</stp>
        <stp>0</stp>
        <stp>0</stp>
        <stp>0</stp>
        <tr r="E117" s="4"/>
      </tp>
      <tp>
        <v>24.68</v>
        <stp/>
        <stp>136</stp>
        <stp>MSFT</stp>
        <stp>PRICELOWM_X</stp>
        <stp>101</stp>
        <stp>0</stp>
        <stp>0</stp>
        <stp>0</stp>
        <stp>0</stp>
        <tr r="E116" s="4"/>
      </tp>
      <tp>
        <v>24.72</v>
        <stp/>
        <stp>136</stp>
        <stp>MSFT</stp>
        <stp>PRICELOWM_X</stp>
        <stp>100</stp>
        <stp>0</stp>
        <stp>0</stp>
        <stp>0</stp>
        <stp>0</stp>
        <tr r="E115" s="4"/>
      </tp>
      <tp t="s">
        <v>Net Cash Per Share Q1</v>
        <stp/>
        <stp>137</stp>
        <stp/>
        <stp>NETCASHPERSHAREQ1</stp>
        <stp>0</stp>
        <stp>0</stp>
        <stp>0</stp>
        <stp>0</stp>
        <stp>0</stp>
        <tr r="B51" s="5"/>
      </tp>
      <tp t="s">
        <v>EPS Increases-Y7 to Y1</v>
        <stp/>
        <stp>137</stp>
        <stp/>
        <stp>EPSINCREASESY7TOY1</stp>
        <stp>0</stp>
        <stp>0</stp>
        <stp>0</stp>
        <stp>0</stp>
        <stp>0</stp>
        <tr r="B110" s="5"/>
      </tp>
      <tp t="s">
        <v>NA</v>
        <stp/>
        <stp>136</stp>
        <stp>BOOM</stp>
        <stp>EPSGROWTH12M</stp>
        <stp>0</stp>
        <stp>0</stp>
        <stp>0</stp>
        <stp>0</stp>
        <stp>0</stp>
        <tr r="G11" s="3"/>
      </tp>
      <tp>
        <v>-0.13600000000000001</v>
        <stp/>
        <stp>136</stp>
        <stp>BOOM</stp>
        <stp>EPSQ_X</stp>
        <stp>6</stp>
        <stp>0</stp>
        <stp>0</stp>
        <stp>0</stp>
        <stp>0</stp>
        <tr r="H29" s="11"/>
        <tr r="H29" s="12"/>
      </tp>
      <tp>
        <v>-0.97899999999999998</v>
        <stp/>
        <stp>136</stp>
        <stp>BOOM</stp>
        <stp>EPSQ_X</stp>
        <stp>7</stp>
        <stp>0</stp>
        <stp>0</stp>
        <stp>0</stp>
        <stp>0</stp>
        <tr r="I29" s="11"/>
        <tr r="I29" s="12"/>
      </tp>
      <tp>
        <v>0.69199999999999995</v>
        <stp/>
        <stp>136</stp>
        <stp>BOOM</stp>
        <stp>EPSQ_X</stp>
        <stp>4</stp>
        <stp>0</stp>
        <stp>0</stp>
        <stp>0</stp>
        <stp>0</stp>
        <tr r="F29" s="11"/>
        <tr r="F29" s="12"/>
      </tp>
      <tp>
        <v>0.26400000000000001</v>
        <stp/>
        <stp>136</stp>
        <stp>BOOM</stp>
        <stp>EPSQ_X</stp>
        <stp>5</stp>
        <stp>0</stp>
        <stp>0</stp>
        <stp>0</stp>
        <stp>0</stp>
        <tr r="G29" s="11"/>
        <tr r="G29" s="12"/>
      </tp>
      <tp>
        <v>1.0249999999999999</v>
        <stp/>
        <stp>136</stp>
        <stp>BOOM</stp>
        <stp>EPSQ_X</stp>
        <stp>2</stp>
        <stp>0</stp>
        <stp>0</stp>
        <stp>0</stp>
        <stp>0</stp>
        <tr r="D29" s="12"/>
        <tr r="D29" s="11"/>
      </tp>
      <tp>
        <v>0.32900000000000001</v>
        <stp/>
        <stp>136</stp>
        <stp>BOOM</stp>
        <stp>EPSQ_X</stp>
        <stp>3</stp>
        <stp>0</stp>
        <stp>0</stp>
        <stp>0</stp>
        <stp>0</stp>
        <tr r="E29" s="11"/>
        <tr r="E29" s="12"/>
      </tp>
      <tp>
        <v>1.0169999999999999</v>
        <stp/>
        <stp>136</stp>
        <stp>BOOM</stp>
        <stp>EPSQ_X</stp>
        <stp>1</stp>
        <stp>0</stp>
        <stp>0</stp>
        <stp>0</stp>
        <stp>0</stp>
        <tr r="C29" s="11"/>
        <tr r="C29" s="12"/>
      </tp>
      <tp>
        <v>-0.19700000000000001</v>
        <stp/>
        <stp>136</stp>
        <stp>BOOM</stp>
        <stp>EPSQ_X</stp>
        <stp>8</stp>
        <stp>0</stp>
        <stp>0</stp>
        <stp>0</stp>
        <stp>0</stp>
        <tr r="J29" s="12"/>
        <tr r="J29" s="11"/>
      </tp>
      <tp>
        <v>11.3</v>
        <stp/>
        <stp>136</stp>
        <stp>BOOM</stp>
        <stp>SECTOREPSDILGROWTH1Y</stp>
        <stp>0</stp>
        <stp>0</stp>
        <stp>0</stp>
        <stp>0</stp>
        <stp>0</stp>
        <tr r="C41" s="3"/>
      </tp>
      <tp>
        <v>22.1</v>
        <stp/>
        <stp>136</stp>
        <stp>BOOM</stp>
        <stp>SECTOREPSDILGROWTH3Y</stp>
        <stp>0</stp>
        <stp>0</stp>
        <stp>0</stp>
        <stp>0</stp>
        <stp>0</stp>
        <tr r="D41" s="3"/>
      </tp>
      <tp>
        <v>12.8</v>
        <stp/>
        <stp>136</stp>
        <stp>BOOM</stp>
        <stp>SECTOREPSDILGROWTH5Y</stp>
        <stp>0</stp>
        <stp>0</stp>
        <stp>0</stp>
        <stp>0</stp>
        <stp>0</stp>
        <tr r="E41" s="3"/>
      </tp>
      <tp>
        <v>5.8</v>
        <stp/>
        <stp>136</stp>
        <stp>BOOM</stp>
        <stp>SECTOREPSDILGROWTH7Y</stp>
        <stp>0</stp>
        <stp>0</stp>
        <stp>0</stp>
        <stp>0</stp>
        <stp>0</stp>
        <tr r="F41" s="3"/>
      </tp>
      <tp>
        <v>5</v>
        <stp/>
        <stp>136</stp>
        <stp>BOOM</stp>
        <stp>INDUSTRYEPSDILGROWTH7Y</stp>
        <stp>0</stp>
        <stp>0</stp>
        <stp>0</stp>
        <stp>0</stp>
        <stp>0</stp>
        <tr r="F27" s="3"/>
      </tp>
      <tp>
        <v>11.5</v>
        <stp/>
        <stp>136</stp>
        <stp>BOOM</stp>
        <stp>INDUSTRYEPSDILGROWTH5Y</stp>
        <stp>0</stp>
        <stp>0</stp>
        <stp>0</stp>
        <stp>0</stp>
        <stp>0</stp>
        <tr r="E27" s="3"/>
      </tp>
      <tp>
        <v>36.299999999999997</v>
        <stp/>
        <stp>136</stp>
        <stp>BOOM</stp>
        <stp>INDUSTRYEPSDILGROWTH3Y</stp>
        <stp>0</stp>
        <stp>0</stp>
        <stp>0</stp>
        <stp>0</stp>
        <stp>0</stp>
        <tr r="D27" s="3"/>
      </tp>
      <tp>
        <v>62.8</v>
        <stp/>
        <stp>136</stp>
        <stp>BOOM</stp>
        <stp>INDUSTRYEPSDILGROWTH1Y</stp>
        <stp>0</stp>
        <stp>0</stp>
        <stp>0</stp>
        <stp>0</stp>
        <stp>0</stp>
        <tr r="C27" s="3"/>
      </tp>
      <tp>
        <v>8.15</v>
        <stp/>
        <stp>136</stp>
        <stp>BOOM</stp>
        <stp>BOOKVALUEPERSHAREQ_X</stp>
        <stp>8</stp>
        <stp>0</stp>
        <stp>0</stp>
        <stp>0</stp>
        <stp>0</stp>
        <tr r="J82" s="11"/>
        <tr r="J82" s="12"/>
      </tp>
      <tp>
        <v>7.85</v>
        <stp/>
        <stp>136</stp>
        <stp>BOOM</stp>
        <stp>BOOKVALUEPERSHAREQ_X</stp>
        <stp>4</stp>
        <stp>0</stp>
        <stp>0</stp>
        <stp>0</stp>
        <stp>0</stp>
        <tr r="F82" s="12"/>
        <tr r="F82" s="11"/>
      </tp>
      <tp>
        <v>7.67</v>
        <stp/>
        <stp>136</stp>
        <stp>BOOM</stp>
        <stp>BOOKVALUEPERSHAREQ_X</stp>
        <stp>5</stp>
        <stp>0</stp>
        <stp>0</stp>
        <stp>0</stp>
        <stp>0</stp>
        <tr r="G82" s="11"/>
        <tr r="G82" s="12"/>
      </tp>
      <tp>
        <v>7.35</v>
        <stp/>
        <stp>136</stp>
        <stp>BOOM</stp>
        <stp>BOOKVALUEPERSHAREQ_X</stp>
        <stp>6</stp>
        <stp>0</stp>
        <stp>0</stp>
        <stp>0</stp>
        <stp>0</stp>
        <tr r="H82" s="12"/>
        <tr r="H82" s="11"/>
      </tp>
      <tp>
        <v>7.4</v>
        <stp/>
        <stp>136</stp>
        <stp>BOOM</stp>
        <stp>BOOKVALUEPERSHAREQ_X</stp>
        <stp>7</stp>
        <stp>0</stp>
        <stp>0</stp>
        <stp>0</stp>
        <stp>0</stp>
        <tr r="I82" s="12"/>
        <tr r="I82" s="11"/>
      </tp>
      <tp>
        <v>10.199999999999999</v>
        <stp/>
        <stp>136</stp>
        <stp>BOOM</stp>
        <stp>BOOKVALUEPERSHAREQ_X</stp>
        <stp>1</stp>
        <stp>0</stp>
        <stp>0</stp>
        <stp>0</stp>
        <stp>0</stp>
        <tr r="C82" s="12"/>
        <tr r="C82" s="11"/>
      </tp>
      <tp>
        <v>9.2200000000000006</v>
        <stp/>
        <stp>136</stp>
        <stp>BOOM</stp>
        <stp>BOOKVALUEPERSHAREQ_X</stp>
        <stp>2</stp>
        <stp>0</stp>
        <stp>0</stp>
        <stp>0</stp>
        <stp>0</stp>
        <tr r="D82" s="12"/>
        <tr r="D82" s="11"/>
      </tp>
      <tp>
        <v>8.19</v>
        <stp/>
        <stp>136</stp>
        <stp>BOOM</stp>
        <stp>BOOKVALUEPERSHAREQ_X</stp>
        <stp>3</stp>
        <stp>0</stp>
        <stp>0</stp>
        <stp>0</stp>
        <stp>0</stp>
        <tr r="E82" s="12"/>
        <tr r="E82" s="11"/>
      </tp>
      <tp t="s">
        <v>EPS Dil Cont-Growth</v>
        <stp/>
        <stp>137</stp>
        <stp/>
        <stp>EPSDILCONTGROWTH1Y</stp>
        <stp>1</stp>
        <stp>0</stp>
        <stp>0</stp>
        <stp>0</stp>
        <stp>0</stp>
        <tr r="B14" s="3"/>
      </tp>
      <tp>
        <v>10.9</v>
        <stp/>
        <stp>136</stp>
        <stp>MSFT</stp>
        <stp>INDUSTRYINVENTORYTURNOVER12M</stp>
        <stp>0</stp>
        <stp>0</stp>
        <stp>0</stp>
        <stp>0</stp>
        <stp>0</stp>
        <tr r="C53" s="7"/>
      </tp>
      <tp>
        <v>66.2</v>
        <stp/>
        <stp>136</stp>
        <stp>MSFT</stp>
        <stp>INDUSTRYGROSSMARGIN12M</stp>
        <stp>0</stp>
        <stp>0</stp>
        <stp>0</stp>
        <stp>0</stp>
        <stp>0</stp>
        <tr r="C33" s="7"/>
      </tp>
      <tp>
        <v>0.6</v>
        <stp/>
        <stp>136</stp>
        <stp>BOOM</stp>
        <stp>OTHERINCOMEQ_X</stp>
        <stp>8</stp>
        <stp>0</stp>
        <stp>0</stp>
        <stp>0</stp>
        <stp>0</stp>
        <tr r="J18" s="12"/>
        <tr r="J18" s="11"/>
      </tp>
      <tp>
        <v>0</v>
        <stp/>
        <stp>136</stp>
        <stp>BOOM</stp>
        <stp>OTHERINCOMEQ_X</stp>
        <stp>1</stp>
        <stp>0</stp>
        <stp>0</stp>
        <stp>0</stp>
        <stp>0</stp>
        <tr r="C18" s="11"/>
        <tr r="C18" s="12"/>
      </tp>
      <tp>
        <v>0.1</v>
        <stp/>
        <stp>136</stp>
        <stp>BOOM</stp>
        <stp>OTHERINCOMEQ_X</stp>
        <stp>2</stp>
        <stp>0</stp>
        <stp>0</stp>
        <stp>0</stp>
        <stp>0</stp>
        <tr r="D18" s="12"/>
        <tr r="D18" s="11"/>
      </tp>
      <tp>
        <v>0.4</v>
        <stp/>
        <stp>136</stp>
        <stp>BOOM</stp>
        <stp>OTHERINCOMEQ_X</stp>
        <stp>3</stp>
        <stp>0</stp>
        <stp>0</stp>
        <stp>0</stp>
        <stp>0</stp>
        <tr r="E18" s="11"/>
        <tr r="E18" s="12"/>
      </tp>
      <tp>
        <v>0.7</v>
        <stp/>
        <stp>136</stp>
        <stp>BOOM</stp>
        <stp>OTHERINCOMEQ_X</stp>
        <stp>4</stp>
        <stp>0</stp>
        <stp>0</stp>
        <stp>0</stp>
        <stp>0</stp>
        <tr r="F18" s="12"/>
        <tr r="F18" s="11"/>
      </tp>
      <tp>
        <v>0.4</v>
        <stp/>
        <stp>136</stp>
        <stp>BOOM</stp>
        <stp>OTHERINCOMEQ_X</stp>
        <stp>5</stp>
        <stp>0</stp>
        <stp>0</stp>
        <stp>0</stp>
        <stp>0</stp>
        <tr r="G18" s="12"/>
        <tr r="G18" s="11"/>
      </tp>
      <tp>
        <v>0.4</v>
        <stp/>
        <stp>136</stp>
        <stp>BOOM</stp>
        <stp>OTHERINCOMEQ_X</stp>
        <stp>6</stp>
        <stp>0</stp>
        <stp>0</stp>
        <stp>0</stp>
        <stp>0</stp>
        <tr r="H18" s="11"/>
        <tr r="H18" s="12"/>
      </tp>
      <tp>
        <v>0.5</v>
        <stp/>
        <stp>136</stp>
        <stp>BOOM</stp>
        <stp>OTHERINCOMEQ_X</stp>
        <stp>7</stp>
        <stp>0</stp>
        <stp>0</stp>
        <stp>0</stp>
        <stp>0</stp>
        <tr r="I18" s="12"/>
        <tr r="I18" s="11"/>
      </tp>
      <tp t="s">
        <v>Technology</v>
        <stp/>
        <stp>136</stp>
        <stp>AAPL</stp>
        <stp>SECTOR</stp>
        <stp>0</stp>
        <stp>0</stp>
        <stp>0</stp>
        <stp>0</stp>
        <stp>0</stp>
        <tr r="C13" s="5"/>
      </tp>
      <tp t="s">
        <v>NA</v>
        <stp/>
        <stp>136</stp>
        <stp>BOOM</stp>
        <stp>EXCHANGERATEEFFECTS12M</stp>
        <stp>0</stp>
        <stp>0</stp>
        <stp>0</stp>
        <stp>0</stp>
        <stp>0</stp>
        <tr r="L40" s="11"/>
        <tr r="L40" s="12"/>
      </tp>
      <tp>
        <v>99</v>
        <stp/>
        <stp>136</stp>
        <stp>MSFT</stp>
        <stp>PCNTRANKTOTALASSETSQ1</stp>
        <stp>0</stp>
        <stp>0</stp>
        <stp>0</stp>
        <stp>0</stp>
        <stp>0</stp>
        <tr r="C90" s="7"/>
      </tp>
      <tp>
        <v>87</v>
        <stp/>
        <stp>136</stp>
        <stp>MSFT</stp>
        <stp>PCNTRANKPAYOUTRATIOY_X</stp>
        <stp>1</stp>
        <stp>0</stp>
        <stp>0</stp>
        <stp>0</stp>
        <stp>0</stp>
        <tr r="D97" s="7"/>
      </tp>
      <tp>
        <v>73</v>
        <stp/>
        <stp>136</stp>
        <stp>MSFT</stp>
        <stp>PCNTRANKPAYOUTRATIOY_X</stp>
        <stp>2</stp>
        <stp>0</stp>
        <stp>0</stp>
        <stp>0</stp>
        <stp>0</stp>
        <tr r="E97" s="7"/>
      </tp>
      <tp>
        <v>77</v>
        <stp/>
        <stp>136</stp>
        <stp>MSFT</stp>
        <stp>PCNTRANKPAYOUTRATIOY_X</stp>
        <stp>3</stp>
        <stp>0</stp>
        <stp>0</stp>
        <stp>0</stp>
        <stp>0</stp>
        <tr r="F97" s="7"/>
      </tp>
      <tp>
        <v>86</v>
        <stp/>
        <stp>136</stp>
        <stp>MSFT</stp>
        <stp>PCNTRANKPAYOUTRATIOY_X</stp>
        <stp>4</stp>
        <stp>0</stp>
        <stp>0</stp>
        <stp>0</stp>
        <stp>0</stp>
        <tr r="G97" s="7"/>
      </tp>
      <tp>
        <v>70</v>
        <stp/>
        <stp>136</stp>
        <stp>MSFT</stp>
        <stp>PCNTRANKPAYOUTRATIOY_X</stp>
        <stp>5</stp>
        <stp>0</stp>
        <stp>0</stp>
        <stp>0</stp>
        <stp>0</stp>
        <tr r="H97" s="7"/>
      </tp>
      <tp t="s">
        <v>NA</v>
        <stp/>
        <stp>136</stp>
        <stp>MSFT</stp>
        <stp>PCNTRANKPAYOUTRATIOY_X</stp>
        <stp>6</stp>
        <stp>0</stp>
        <stp>0</stp>
        <stp>0</stp>
        <stp>0</stp>
        <tr r="I97" s="7"/>
      </tp>
      <tp t="s">
        <v>NA</v>
        <stp/>
        <stp>136</stp>
        <stp>MSFT</stp>
        <stp>PCNTRANKPAYOUTRATIOY_X</stp>
        <stp>7</stp>
        <stp>0</stp>
        <stp>0</stp>
        <stp>0</stp>
        <stp>0</stp>
        <tr r="J97" s="7"/>
      </tp>
      <tp>
        <v>44.8</v>
        <stp/>
        <stp>136</stp>
        <stp>MSFT</stp>
        <stp>INDUSTRYPRICEPERCFPS</stp>
        <stp>0</stp>
        <stp>0</stp>
        <stp>0</stp>
        <stp>0</stp>
        <stp>0</stp>
        <tr r="C17" s="6"/>
      </tp>
      <tp t="s">
        <v>NA</v>
        <stp/>
        <stp>136</stp>
        <stp>BOOM</stp>
        <stp>PCNTRANKEPSGROWTH12M</stp>
        <stp>0</stp>
        <stp>0</stp>
        <stp>0</stp>
        <stp>0</stp>
        <stp>0</stp>
        <tr r="G53" s="3"/>
      </tp>
      <tp t="s">
        <v>Industry Dividend-Growth</v>
        <stp/>
        <stp>137</stp>
        <stp/>
        <stp>INDUSTRYDIVIDENDGROWTH1Y</stp>
        <stp>1</stp>
        <stp>0</stp>
        <stp>0</stp>
        <stp>0</stp>
        <stp>0</stp>
        <tr r="B31" s="3"/>
      </tp>
      <tp>
        <v>-111</v>
        <stp/>
        <stp>136</stp>
        <stp>MSFT</stp>
        <stp>INCOMETAXQ_X</stp>
        <stp>8</stp>
        <stp>0</stp>
        <stp>0</stp>
        <stp>0</stp>
        <stp>0</stp>
        <tr r="J23" s="1"/>
      </tp>
      <tp>
        <v>1677</v>
        <stp/>
        <stp>136</stp>
        <stp>MSFT</stp>
        <stp>INCOMETAXQ_X</stp>
        <stp>1</stp>
        <stp>0</stp>
        <stp>0</stp>
        <stp>0</stp>
        <stp>0</stp>
        <tr r="C23" s="1"/>
      </tp>
      <tp>
        <v>1965</v>
        <stp/>
        <stp>136</stp>
        <stp>MSFT</stp>
        <stp>INCOMETAXQ_X</stp>
        <stp>2</stp>
        <stp>0</stp>
        <stp>0</stp>
        <stp>0</stp>
        <stp>0</stp>
        <tr r="D23" s="1"/>
      </tp>
      <tp>
        <v>1397</v>
        <stp/>
        <stp>136</stp>
        <stp>MSFT</stp>
        <stp>INCOMETAXQ_X</stp>
        <stp>3</stp>
        <stp>0</stp>
        <stp>0</stp>
        <stp>0</stp>
        <stp>0</stp>
        <tr r="E23" s="1"/>
      </tp>
      <tp>
        <v>1911</v>
        <stp/>
        <stp>136</stp>
        <stp>MSFT</stp>
        <stp>INCOMETAXQ_X</stp>
        <stp>4</stp>
        <stp>0</stp>
        <stp>0</stp>
        <stp>0</stp>
        <stp>0</stp>
        <tr r="F23" s="1"/>
      </tp>
      <tp>
        <v>1217</v>
        <stp/>
        <stp>136</stp>
        <stp>MSFT</stp>
        <stp>INCOMETAXQ_X</stp>
        <stp>5</stp>
        <stp>0</stp>
        <stp>0</stp>
        <stp>0</stp>
        <stp>0</stp>
        <tr r="G23" s="1"/>
      </tp>
      <tp>
        <v>1671</v>
        <stp/>
        <stp>136</stp>
        <stp>MSFT</stp>
        <stp>INCOMETAXQ_X</stp>
        <stp>6</stp>
        <stp>0</stp>
        <stp>0</stp>
        <stp>0</stp>
        <stp>0</stp>
        <tr r="H23" s="1"/>
      </tp>
      <tp>
        <v>1408</v>
        <stp/>
        <stp>136</stp>
        <stp>MSFT</stp>
        <stp>INCOMETAXQ_X</stp>
        <stp>7</stp>
        <stp>0</stp>
        <stp>0</stp>
        <stp>0</stp>
        <stp>0</stp>
        <tr r="I23" s="1"/>
      </tp>
      <tp>
        <v>80</v>
        <stp/>
        <stp>136</stp>
        <stp>MSFT</stp>
        <stp>PCNTRANKINVENTORYTURNOVERY_X</stp>
        <stp>1</stp>
        <stp>0</stp>
        <stp>0</stp>
        <stp>0</stp>
        <stp>0</stp>
        <tr r="D107" s="7"/>
      </tp>
      <tp>
        <v>79</v>
        <stp/>
        <stp>136</stp>
        <stp>MSFT</stp>
        <stp>PCNTRANKINVENTORYTURNOVERY_X</stp>
        <stp>2</stp>
        <stp>0</stp>
        <stp>0</stp>
        <stp>0</stp>
        <stp>0</stp>
        <tr r="E107" s="7"/>
      </tp>
      <tp>
        <v>76</v>
        <stp/>
        <stp>136</stp>
        <stp>MSFT</stp>
        <stp>PCNTRANKINVENTORYTURNOVERY_X</stp>
        <stp>3</stp>
        <stp>0</stp>
        <stp>0</stp>
        <stp>0</stp>
        <stp>0</stp>
        <tr r="F107" s="7"/>
      </tp>
      <tp>
        <v>75</v>
        <stp/>
        <stp>136</stp>
        <stp>MSFT</stp>
        <stp>PCNTRANKINVENTORYTURNOVERY_X</stp>
        <stp>4</stp>
        <stp>0</stp>
        <stp>0</stp>
        <stp>0</stp>
        <stp>0</stp>
        <tr r="G107" s="7"/>
      </tp>
      <tp>
        <v>73</v>
        <stp/>
        <stp>136</stp>
        <stp>MSFT</stp>
        <stp>PCNTRANKINVENTORYTURNOVERY_X</stp>
        <stp>5</stp>
        <stp>0</stp>
        <stp>0</stp>
        <stp>0</stp>
        <stp>0</stp>
        <tr r="H107" s="7"/>
      </tp>
      <tp t="s">
        <v>NA</v>
        <stp/>
        <stp>136</stp>
        <stp>MSFT</stp>
        <stp>PCNTRANKINVENTORYTURNOVERY_X</stp>
        <stp>6</stp>
        <stp>0</stp>
        <stp>0</stp>
        <stp>0</stp>
        <stp>0</stp>
        <tr r="I107" s="7"/>
      </tp>
      <tp t="s">
        <v>NA</v>
        <stp/>
        <stp>136</stp>
        <stp>MSFT</stp>
        <stp>PCNTRANKINVENTORYTURNOVERY_X</stp>
        <stp>7</stp>
        <stp>0</stp>
        <stp>0</stp>
        <stp>0</stp>
        <stp>0</stp>
        <tr r="J107" s="7"/>
      </tp>
      <tp t="s">
        <v>% Rank-Cash Flow Growth</v>
        <stp/>
        <stp>137</stp>
        <stp/>
        <stp>PCNTRANKCASHFLOWGROWTH1Y</stp>
        <stp>1</stp>
        <stp>0</stp>
        <stp>0</stp>
        <stp>0</stp>
        <stp>0</stp>
        <tr r="B57" s="3"/>
      </tp>
      <tp>
        <v>34822</v>
        <stp/>
        <stp>136</stp>
        <stp>MSFT</stp>
        <stp>INCOMEFORPRIMARYEPS12M</stp>
        <stp>0</stp>
        <stp>0</stp>
        <stp>0</stp>
        <stp>0</stp>
        <stp>0</stp>
        <tr r="L27" s="1"/>
      </tp>
      <tp>
        <v>49</v>
        <stp/>
        <stp>136</stp>
        <stp>MSFT</stp>
        <stp>SECTORGROSSMARGIN12M</stp>
        <stp>0</stp>
        <stp>0</stp>
        <stp>0</stp>
        <stp>0</stp>
        <stp>0</stp>
        <tr r="C60" s="7"/>
      </tp>
      <tp>
        <v>24.4</v>
        <stp/>
        <stp>136</stp>
        <stp>BOOM</stp>
        <stp>GROSSINCOMEQ_X</stp>
        <stp>8</stp>
        <stp>0</stp>
        <stp>0</stp>
        <stp>0</stp>
        <stp>0</stp>
        <tr r="J9" s="11"/>
        <tr r="J9" s="12"/>
      </tp>
      <tp>
        <v>17.899999999999999</v>
        <stp/>
        <stp>136</stp>
        <stp>BOOM</stp>
        <stp>GROSSINCOMEQ_X</stp>
        <stp>6</stp>
        <stp>0</stp>
        <stp>0</stp>
        <stp>0</stp>
        <stp>0</stp>
        <tr r="H9" s="11"/>
        <tr r="H9" s="12"/>
      </tp>
      <tp>
        <v>17.2</v>
        <stp/>
        <stp>136</stp>
        <stp>BOOM</stp>
        <stp>GROSSINCOMEQ_X</stp>
        <stp>7</stp>
        <stp>0</stp>
        <stp>0</stp>
        <stp>0</stp>
        <stp>0</stp>
        <tr r="I9" s="11"/>
        <tr r="I9" s="12"/>
      </tp>
      <tp>
        <v>49.5</v>
        <stp/>
        <stp>136</stp>
        <stp>BOOM</stp>
        <stp>GROSSINCOMEQ_X</stp>
        <stp>4</stp>
        <stp>0</stp>
        <stp>0</stp>
        <stp>0</stp>
        <stp>0</stp>
        <tr r="F9" s="11"/>
        <tr r="F9" s="12"/>
      </tp>
      <tp>
        <v>22.7</v>
        <stp/>
        <stp>136</stp>
        <stp>BOOM</stp>
        <stp>GROSSINCOMEQ_X</stp>
        <stp>5</stp>
        <stp>0</stp>
        <stp>0</stp>
        <stp>0</stp>
        <stp>0</stp>
        <tr r="G9" s="11"/>
        <tr r="G9" s="12"/>
      </tp>
      <tp>
        <v>31.4</v>
        <stp/>
        <stp>136</stp>
        <stp>BOOM</stp>
        <stp>GROSSINCOMEQ_X</stp>
        <stp>2</stp>
        <stp>0</stp>
        <stp>0</stp>
        <stp>0</stp>
        <stp>0</stp>
        <tr r="D9" s="12"/>
        <tr r="D9" s="11"/>
      </tp>
      <tp>
        <v>29.7</v>
        <stp/>
        <stp>136</stp>
        <stp>BOOM</stp>
        <stp>GROSSINCOMEQ_X</stp>
        <stp>3</stp>
        <stp>0</stp>
        <stp>0</stp>
        <stp>0</stp>
        <stp>0</stp>
        <tr r="E9" s="11"/>
        <tr r="E9" s="12"/>
      </tp>
      <tp>
        <v>36.4</v>
        <stp/>
        <stp>136</stp>
        <stp>BOOM</stp>
        <stp>GROSSINCOMEQ_X</stp>
        <stp>1</stp>
        <stp>0</stp>
        <stp>0</stp>
        <stp>0</stp>
        <stp>0</stp>
        <tr r="C9" s="11"/>
        <tr r="C9" s="12"/>
      </tp>
      <tp>
        <v>321.5</v>
        <stp/>
        <stp>136</stp>
        <stp>MSFT</stp>
        <stp>PRICEPERCFPS1YEARAGO</stp>
        <stp>0</stp>
        <stp>0</stp>
        <stp>0</stp>
        <stp>0</stp>
        <stp>0</stp>
        <tr r="D9" s="6"/>
      </tp>
      <tp t="s">
        <v>Sector Free Cash Flow-Growth</v>
        <stp/>
        <stp>137</stp>
        <stp/>
        <stp>SECTORFREECASHFLOWGROWTH1Y</stp>
        <stp>1</stp>
        <stp>0</stp>
        <stp>0</stp>
        <stp>0</stp>
        <stp>0</stp>
        <tr r="B44" s="3"/>
      </tp>
      <tp>
        <v>39.6</v>
        <stp/>
        <stp>136</stp>
        <stp>MSFT</stp>
        <stp>PAYOUTRATIOY_X</stp>
        <stp>7</stp>
        <stp>0</stp>
        <stp>0</stp>
        <stp>0</stp>
        <stp>0</stp>
        <tr r="J16" s="7"/>
      </tp>
      <tp>
        <v>34.1</v>
        <stp/>
        <stp>136</stp>
        <stp>MSFT</stp>
        <stp>PAYOUTRATIOY_X</stp>
        <stp>6</stp>
        <stp>0</stp>
        <stp>0</stp>
        <stp>0</stp>
        <stp>0</stp>
        <tr r="I16" s="7"/>
      </tp>
      <tp>
        <v>40.200000000000003</v>
        <stp/>
        <stp>136</stp>
        <stp>MSFT</stp>
        <stp>PAYOUTRATIOY_X</stp>
        <stp>5</stp>
        <stp>0</stp>
        <stp>0</stp>
        <stp>0</stp>
        <stp>0</stp>
        <tr r="H16" s="7"/>
      </tp>
      <tp>
        <v>81.099999999999994</v>
        <stp/>
        <stp>136</stp>
        <stp>MSFT</stp>
        <stp>PAYOUTRATIOY_X</stp>
        <stp>4</stp>
        <stp>0</stp>
        <stp>0</stp>
        <stp>0</stp>
        <stp>0</stp>
        <tr r="G16" s="7"/>
      </tp>
      <tp>
        <v>53.6</v>
        <stp/>
        <stp>136</stp>
        <stp>MSFT</stp>
        <stp>PAYOUTRATIOY_X</stp>
        <stp>3</stp>
        <stp>0</stp>
        <stp>0</stp>
        <stp>0</stp>
        <stp>0</stp>
        <tr r="F16" s="7"/>
      </tp>
      <tp>
        <v>46.5</v>
        <stp/>
        <stp>136</stp>
        <stp>MSFT</stp>
        <stp>PAYOUTRATIOY_X</stp>
        <stp>2</stp>
        <stp>0</stp>
        <stp>0</stp>
        <stp>0</stp>
        <stp>0</stp>
        <tr r="E16" s="7"/>
      </tp>
      <tp>
        <v>76.7</v>
        <stp/>
        <stp>136</stp>
        <stp>MSFT</stp>
        <stp>PAYOUTRATIOY_X</stp>
        <stp>1</stp>
        <stp>0</stp>
        <stp>0</stp>
        <stp>0</stp>
        <stp>0</stp>
        <tr r="D16" s="7"/>
      </tp>
      <tp>
        <v>0</v>
        <stp/>
        <stp>136</stp>
        <stp>BOOM</stp>
        <stp>PCNTRANKFREECASHFLOWGROWTH7Y</stp>
        <stp>0</stp>
        <stp>0</stp>
        <stp>0</stp>
        <stp>0</stp>
        <stp>0</stp>
        <tr r="F58" s="3"/>
      </tp>
      <tp>
        <v>13</v>
        <stp/>
        <stp>136</stp>
        <stp>BOOM</stp>
        <stp>PCNTRANKFREECASHFLOWGROWTH5Y</stp>
        <stp>0</stp>
        <stp>0</stp>
        <stp>0</stp>
        <stp>0</stp>
        <stp>0</stp>
        <tr r="E58" s="3"/>
      </tp>
      <tp>
        <v>13</v>
        <stp/>
        <stp>136</stp>
        <stp>BOOM</stp>
        <stp>PCNTRANKFREECASHFLOWGROWTH3Y</stp>
        <stp>0</stp>
        <stp>0</stp>
        <stp>0</stp>
        <stp>0</stp>
        <stp>0</stp>
        <tr r="D58" s="3"/>
      </tp>
      <tp t="s">
        <v>NA</v>
        <stp/>
        <stp>136</stp>
        <stp>BOOM</stp>
        <stp>PCNTRANKFREECASHFLOWGROWTH1Y</stp>
        <stp>0</stp>
        <stp>0</stp>
        <stp>0</stp>
        <stp>0</stp>
        <stp>0</stp>
        <tr r="C58" s="3"/>
      </tp>
      <tp t="s">
        <v>NA</v>
        <stp/>
        <stp>136</stp>
        <stp>BOOM</stp>
        <stp>CASHFROMINVESTING12M</stp>
        <stp>0</stp>
        <stp>0</stp>
        <stp>0</stp>
        <stp>0</stp>
        <stp>0</stp>
        <tr r="L38" s="11"/>
        <tr r="L38" s="12"/>
      </tp>
      <tp t="s">
        <v>Sales</v>
        <stp/>
        <stp>137</stp>
        <stp/>
        <stp>SALESQ_X</stp>
        <stp>0</stp>
        <stp>0</stp>
        <stp>0</stp>
        <stp>0</stp>
        <stp>0</stp>
        <tr r="D13" s="13"/>
        <tr r="D65" s="13"/>
        <tr r="B7" s="12"/>
        <tr r="B7" s="1"/>
        <tr r="B7" s="11"/>
      </tp>
      <tp t="s">
        <v>NA</v>
        <stp/>
        <stp>136</stp>
        <stp>BOOM</stp>
        <stp>ADJTOINCOME12M</stp>
        <stp>0</stp>
        <stp>0</stp>
        <stp>0</stp>
        <stp>0</stp>
        <stp>0</stp>
        <tr r="L24" s="12"/>
        <tr r="L24" s="11"/>
      </tp>
      <tp t="s">
        <v>Industrial</v>
        <stp/>
        <stp>136</stp>
        <stp>AAPL</stp>
        <stp>DOWCOMPONENT</stp>
        <stp>0</stp>
        <stp>0</stp>
        <stp>0</stp>
        <stp>0</stp>
        <stp>0</stp>
        <tr r="G8" s="5"/>
      </tp>
      <tp>
        <v>2283</v>
        <stp/>
        <stp>136</stp>
        <stp>MSFT</stp>
        <stp>CAPITALEXPENDITURESQ_X</stp>
        <stp>8</stp>
        <stp>0</stp>
        <stp>0</stp>
        <stp>0</stp>
        <stp>0</stp>
        <tr r="J46" s="1"/>
      </tp>
      <tp>
        <v>2586</v>
        <stp/>
        <stp>136</stp>
        <stp>MSFT</stp>
        <stp>CAPITALEXPENDITURESQ_X</stp>
        <stp>6</stp>
        <stp>0</stp>
        <stp>0</stp>
        <stp>0</stp>
        <stp>0</stp>
        <tr r="H46" s="1"/>
      </tp>
      <tp>
        <v>2132</v>
        <stp/>
        <stp>136</stp>
        <stp>MSFT</stp>
        <stp>CAPITALEXPENDITURESQ_X</stp>
        <stp>7</stp>
        <stp>0</stp>
        <stp>0</stp>
        <stp>0</stp>
        <stp>0</stp>
        <tr r="I46" s="1"/>
      </tp>
      <tp>
        <v>3980</v>
        <stp/>
        <stp>136</stp>
        <stp>MSFT</stp>
        <stp>CAPITALEXPENDITURESQ_X</stp>
        <stp>4</stp>
        <stp>0</stp>
        <stp>0</stp>
        <stp>0</stp>
        <stp>0</stp>
        <tr r="F46" s="1"/>
      </tp>
      <tp>
        <v>2934</v>
        <stp/>
        <stp>136</stp>
        <stp>MSFT</stp>
        <stp>CAPITALEXPENDITURESQ_X</stp>
        <stp>5</stp>
        <stp>0</stp>
        <stp>0</stp>
        <stp>0</stp>
        <stp>0</stp>
        <tr r="G46" s="1"/>
      </tp>
      <tp>
        <v>3707</v>
        <stp/>
        <stp>136</stp>
        <stp>MSFT</stp>
        <stp>CAPITALEXPENDITURESQ_X</stp>
        <stp>2</stp>
        <stp>0</stp>
        <stp>0</stp>
        <stp>0</stp>
        <stp>0</stp>
        <tr r="D46" s="1"/>
      </tp>
      <tp>
        <v>3602</v>
        <stp/>
        <stp>136</stp>
        <stp>MSFT</stp>
        <stp>CAPITALEXPENDITURESQ_X</stp>
        <stp>3</stp>
        <stp>0</stp>
        <stp>0</stp>
        <stp>0</stp>
        <stp>0</stp>
        <tr r="E46" s="1"/>
      </tp>
      <tp>
        <v>2565</v>
        <stp/>
        <stp>136</stp>
        <stp>MSFT</stp>
        <stp>CAPITALEXPENDITURESQ_X</stp>
        <stp>1</stp>
        <stp>0</stp>
        <stp>0</stp>
        <stp>0</stp>
        <stp>0</stp>
        <tr r="C46" s="1"/>
      </tp>
      <tp>
        <v>69</v>
        <stp/>
        <stp>136</stp>
        <stp>AAPL</stp>
        <stp>PCNTRANKPRICEASPCNTOF52WEEKHIGH</stp>
        <stp>0</stp>
        <stp>0</stp>
        <stp>0</stp>
        <stp>0</stp>
        <stp>0</stp>
        <tr r="F25" s="5"/>
      </tp>
      <tp>
        <v>7.04</v>
        <stp/>
        <stp>136</stp>
        <stp>MSFT</stp>
        <stp>INVE$TWAREPAR</stp>
        <stp>0</stp>
        <stp>0</stp>
        <stp>0</stp>
        <stp>0</stp>
        <stp>0</stp>
        <tr r="C26" s="9"/>
      </tp>
      <tp t="s">
        <v>Industry Operating margin</v>
        <stp/>
        <stp>137</stp>
        <stp/>
        <stp>INDUSTRYOPERATINGMARGINY_X</stp>
        <stp>0</stp>
        <stp>0</stp>
        <stp>0</stp>
        <stp>0</stp>
        <stp>0</stp>
        <tr r="B34" s="7"/>
      </tp>
      <tp t="s">
        <v>NA</v>
        <stp/>
        <stp>136</stp>
        <stp>BOOM</stp>
        <stp>DEPRECIATIONAMORTCF12M</stp>
        <stp>0</stp>
        <stp>0</stp>
        <stp>0</stp>
        <stp>0</stp>
        <stp>0</stp>
        <tr r="L43" s="11"/>
        <tr r="L43" s="12"/>
      </tp>
      <tp t="s">
        <v>Sector Operating margin</v>
        <stp/>
        <stp>137</stp>
        <stp/>
        <stp>SECTOROPERATINGMARGINY_X</stp>
        <stp>0</stp>
        <stp>0</stp>
        <stp>0</stp>
        <stp>0</stp>
        <stp>0</stp>
        <tr r="B61" s="7"/>
      </tp>
      <tp>
        <v>16.600000000000001</v>
        <stp/>
        <stp>136</stp>
        <stp>MSFT</stp>
        <stp>INVENTORYTURNOVER12M</stp>
        <stp>0</stp>
        <stp>0</stp>
        <stp>0</stp>
        <stp>0</stp>
        <stp>0</stp>
        <tr r="C26" s="7"/>
      </tp>
      <tp>
        <v>548.4</v>
        <stp/>
        <stp>136</stp>
        <stp>BEAT</stp>
        <stp>TOTALASSETSQ_X</stp>
        <stp>4</stp>
        <stp>0</stp>
        <stp>0</stp>
        <stp>0</stp>
        <stp>0</stp>
        <tr r="I47" s="13"/>
      </tp>
      <tp>
        <v>660</v>
        <stp/>
        <stp>136</stp>
        <stp>BEAT</stp>
        <stp>TOTALASSETSQ_X</stp>
        <stp>1</stp>
        <stp>0</stp>
        <stp>0</stp>
        <stp>0</stp>
        <stp>0</stp>
        <tr r="F47" s="13"/>
      </tp>
      <tp>
        <v>586.79999999999995</v>
        <stp/>
        <stp>136</stp>
        <stp>BEAT</stp>
        <stp>TOTALASSETSQ_X</stp>
        <stp>2</stp>
        <stp>0</stp>
        <stp>0</stp>
        <stp>0</stp>
        <stp>0</stp>
        <tr r="G47" s="13"/>
      </tp>
      <tp>
        <v>574.20000000000005</v>
        <stp/>
        <stp>136</stp>
        <stp>BEAT</stp>
        <stp>TOTALASSETSQ_X</stp>
        <stp>3</stp>
        <stp>0</stp>
        <stp>0</stp>
        <stp>0</stp>
        <stp>0</stp>
        <tr r="H47" s="13"/>
      </tp>
      <tp>
        <v>-0.7</v>
        <stp/>
        <stp>136</stp>
        <stp>MSFT</stp>
        <stp>INDUSTRYTIMESINTERESTEARNED12M</stp>
        <stp>0</stp>
        <stp>0</stp>
        <stp>0</stp>
        <stp>0</stp>
        <stp>0</stp>
        <tr r="C44" s="7"/>
      </tp>
      <tp t="s">
        <v>Inve$tWare Est Yield</v>
        <stp/>
        <stp>137</stp>
        <stp/>
        <stp>INVE$TWAREESTYIELD</stp>
        <stp>0</stp>
        <stp>0</stp>
        <stp>0</stp>
        <stp>0</stp>
        <stp>0</stp>
        <tr r="B28" s="9"/>
      </tp>
      <tp>
        <v>138.9</v>
        <stp/>
        <stp>136</stp>
        <stp>MSFT</stp>
        <stp>SECTORSALESY_X</stp>
        <stp>4</stp>
        <stp>0</stp>
        <stp>0</stp>
        <stp>0</stp>
        <stp>0</stp>
        <tr r="G59" s="7"/>
      </tp>
      <tp>
        <v>129.4</v>
        <stp/>
        <stp>136</stp>
        <stp>MSFT</stp>
        <stp>SECTORSALESY_X</stp>
        <stp>5</stp>
        <stp>0</stp>
        <stp>0</stp>
        <stp>0</stp>
        <stp>0</stp>
        <tr r="H59" s="7"/>
      </tp>
      <tp>
        <v>120.4</v>
        <stp/>
        <stp>136</stp>
        <stp>MSFT</stp>
        <stp>SECTORSALESY_X</stp>
        <stp>6</stp>
        <stp>0</stp>
        <stp>0</stp>
        <stp>0</stp>
        <stp>0</stp>
        <tr r="I59" s="7"/>
      </tp>
      <tp>
        <v>114.6</v>
        <stp/>
        <stp>136</stp>
        <stp>MSFT</stp>
        <stp>SECTORSALESY_X</stp>
        <stp>7</stp>
        <stp>0</stp>
        <stp>0</stp>
        <stp>0</stp>
        <stp>0</stp>
        <tr r="J59" s="7"/>
      </tp>
      <tp>
        <v>280.60000000000002</v>
        <stp/>
        <stp>136</stp>
        <stp>MSFT</stp>
        <stp>SECTORSALESY_X</stp>
        <stp>1</stp>
        <stp>0</stp>
        <stp>0</stp>
        <stp>0</stp>
        <stp>0</stp>
        <tr r="D59" s="7"/>
      </tp>
      <tp>
        <v>176.7</v>
        <stp/>
        <stp>136</stp>
        <stp>MSFT</stp>
        <stp>SECTORSALESY_X</stp>
        <stp>2</stp>
        <stp>0</stp>
        <stp>0</stp>
        <stp>0</stp>
        <stp>0</stp>
        <tr r="E59" s="7"/>
      </tp>
      <tp>
        <v>158.6</v>
        <stp/>
        <stp>136</stp>
        <stp>MSFT</stp>
        <stp>SECTORSALESY_X</stp>
        <stp>3</stp>
        <stp>0</stp>
        <stp>0</stp>
        <stp>0</stp>
        <stp>0</stp>
        <tr r="F59" s="7"/>
      </tp>
      <tp>
        <v>14.3</v>
        <stp/>
        <stp>136</stp>
        <stp>MSFT</stp>
        <stp>TIMESINTERESTEARNEDY_X</stp>
        <stp>1</stp>
        <stp>0</stp>
        <stp>0</stp>
        <stp>0</stp>
        <stp>0</stp>
        <tr r="D17" s="7"/>
      </tp>
      <tp>
        <v>11.3</v>
        <stp/>
        <stp>136</stp>
        <stp>MSFT</stp>
        <stp>TIMESINTERESTEARNEDY_X</stp>
        <stp>3</stp>
        <stp>0</stp>
        <stp>0</stp>
        <stp>0</stp>
        <stp>0</stp>
        <tr r="F17" s="7"/>
      </tp>
      <tp>
        <v>7.7</v>
        <stp/>
        <stp>136</stp>
        <stp>MSFT</stp>
        <stp>TIMESINTERESTEARNEDY_X</stp>
        <stp>2</stp>
        <stp>0</stp>
        <stp>0</stp>
        <stp>0</stp>
        <stp>0</stp>
        <tr r="E17" s="7"/>
      </tp>
      <tp>
        <v>47.6</v>
        <stp/>
        <stp>136</stp>
        <stp>MSFT</stp>
        <stp>TIMESINTERESTEARNEDY_X</stp>
        <stp>5</stp>
        <stp>0</stp>
        <stp>0</stp>
        <stp>0</stp>
        <stp>0</stp>
        <tr r="H17" s="7"/>
      </tp>
      <tp>
        <v>24.7</v>
        <stp/>
        <stp>136</stp>
        <stp>MSFT</stp>
        <stp>TIMESINTERESTEARNEDY_X</stp>
        <stp>4</stp>
        <stp>0</stp>
        <stp>0</stp>
        <stp>0</stp>
        <stp>0</stp>
        <tr r="G17" s="7"/>
      </tp>
      <tp>
        <v>59.6</v>
        <stp/>
        <stp>136</stp>
        <stp>MSFT</stp>
        <stp>TIMESINTERESTEARNEDY_X</stp>
        <stp>7</stp>
        <stp>0</stp>
        <stp>0</stp>
        <stp>0</stp>
        <stp>0</stp>
        <tr r="J17" s="7"/>
      </tp>
      <tp>
        <v>64.099999999999994</v>
        <stp/>
        <stp>136</stp>
        <stp>MSFT</stp>
        <stp>TIMESINTERESTEARNEDY_X</stp>
        <stp>6</stp>
        <stp>0</stp>
        <stp>0</stp>
        <stp>0</stp>
        <stp>0</stp>
        <tr r="I17" s="7"/>
      </tp>
      <tp t="s">
        <v>Sector Price/Book</v>
        <stp/>
        <stp>137</stp>
        <stp/>
        <stp>SECTORPRICEPERBOOK</stp>
        <stp>0</stp>
        <stp>0</stp>
        <stp>0</stp>
        <stp>0</stp>
        <stp>0</stp>
        <tr r="B23" s="6"/>
      </tp>
      <tp t="s">
        <v>Operating Margin 12 Month</v>
        <stp/>
        <stp>137</stp>
        <stp/>
        <stp>OPERATINGMARGIN12M</stp>
        <stp>0</stp>
        <stp>0</stp>
        <stp>0</stp>
        <stp>0</stp>
        <stp>0</stp>
        <tr r="D62" s="13"/>
      </tp>
      <tp>
        <v>11.23</v>
        <stp/>
        <stp>136</stp>
        <stp>MSFT</stp>
        <stp>PRICEPERBOOK</stp>
        <stp>0</stp>
        <stp>0</stp>
        <stp>0</stp>
        <stp>0</stp>
        <stp>0</stp>
        <tr r="C7" s="6"/>
      </tp>
      <tp>
        <v>90</v>
        <stp/>
        <stp>136</stp>
        <stp>MSFT</stp>
        <stp>PCNTRANKPRICEPERBOOK1YEARAGO</stp>
        <stp>0</stp>
        <stp>0</stp>
        <stp>0</stp>
        <stp>0</stp>
        <stp>0</stp>
        <tr r="D31" s="6"/>
      </tp>
      <tp t="s">
        <v>Insiders -Buy Trades</v>
        <stp/>
        <stp>137</stp>
        <stp/>
        <stp>INSIDERBUYTRADES</stp>
        <stp>0</stp>
        <stp>0</stp>
        <stp>0</stp>
        <stp>0</stp>
        <stp>0</stp>
        <tr r="B34" s="5"/>
      </tp>
      <tp t="s">
        <v>NA</v>
        <stp/>
        <stp>136</stp>
        <stp>MSFT</stp>
        <stp>PCNTRANKNETMARGINY_X</stp>
        <stp>6</stp>
        <stp>0</stp>
        <stp>0</stp>
        <stp>0</stp>
        <stp>0</stp>
        <tr r="I89" s="7"/>
      </tp>
      <tp t="s">
        <v>NA</v>
        <stp/>
        <stp>136</stp>
        <stp>MSFT</stp>
        <stp>PCNTRANKNETMARGINY_X</stp>
        <stp>7</stp>
        <stp>0</stp>
        <stp>0</stp>
        <stp>0</stp>
        <stp>0</stp>
        <tr r="J89" s="7"/>
      </tp>
      <tp>
        <v>76</v>
        <stp/>
        <stp>136</stp>
        <stp>MSFT</stp>
        <stp>PCNTRANKNETMARGINY_X</stp>
        <stp>4</stp>
        <stp>0</stp>
        <stp>0</stp>
        <stp>0</stp>
        <stp>0</stp>
        <tr r="G89" s="7"/>
      </tp>
      <tp>
        <v>89</v>
        <stp/>
        <stp>136</stp>
        <stp>MSFT</stp>
        <stp>PCNTRANKNETMARGINY_X</stp>
        <stp>5</stp>
        <stp>0</stp>
        <stp>0</stp>
        <stp>0</stp>
        <stp>0</stp>
        <tr r="H89" s="7"/>
      </tp>
      <tp>
        <v>90</v>
        <stp/>
        <stp>136</stp>
        <stp>MSFT</stp>
        <stp>PCNTRANKNETMARGINY_X</stp>
        <stp>2</stp>
        <stp>0</stp>
        <stp>0</stp>
        <stp>0</stp>
        <stp>0</stp>
        <tr r="E89" s="7"/>
      </tp>
      <tp>
        <v>87</v>
        <stp/>
        <stp>136</stp>
        <stp>MSFT</stp>
        <stp>PCNTRANKNETMARGINY_X</stp>
        <stp>3</stp>
        <stp>0</stp>
        <stp>0</stp>
        <stp>0</stp>
        <stp>0</stp>
        <tr r="F89" s="7"/>
      </tp>
      <tp>
        <v>76</v>
        <stp/>
        <stp>136</stp>
        <stp>MSFT</stp>
        <stp>PCNTRANKNETMARGINY_X</stp>
        <stp>1</stp>
        <stp>0</stp>
        <stp>0</stp>
        <stp>0</stp>
        <stp>0</stp>
        <tr r="D89" s="7"/>
      </tp>
      <tp>
        <v>88</v>
        <stp/>
        <stp>136</stp>
        <stp>AAPL</stp>
        <stp>PCNTRANKLTDEBTWORKINGCAPITAL</stp>
        <stp>0</stp>
        <stp>0</stp>
        <stp>0</stp>
        <stp>0</stp>
        <stp>0</stp>
        <tr r="F53" s="5"/>
      </tp>
      <tp t="s">
        <v>Institutional Ownership %</v>
        <stp/>
        <stp>137</stp>
        <stp/>
        <stp>INSTITUTIONALOWNERSHIPPCNT</stp>
        <stp>0</stp>
        <stp>0</stp>
        <stp>0</stp>
        <stp>0</stp>
        <stp>0</stp>
        <tr r="B28" s="5"/>
      </tp>
      <tp>
        <v>173.9</v>
        <stp/>
        <stp>136</stp>
        <stp>BOOM</stp>
        <stp>TOTALASSETSQ_X</stp>
        <stp>8</stp>
        <stp>0</stp>
        <stp>0</stp>
        <stp>0</stp>
        <stp>0</stp>
        <tr r="J66" s="12"/>
        <tr r="J66" s="11"/>
      </tp>
      <tp>
        <v>210.8</v>
        <stp/>
        <stp>136</stp>
        <stp>BOOM</stp>
        <stp>TOTALASSETSQ_X</stp>
        <stp>4</stp>
        <stp>0</stp>
        <stp>0</stp>
        <stp>0</stp>
        <stp>0</stp>
        <tr r="F66" s="12"/>
        <tr r="F66" s="11"/>
      </tp>
      <tp>
        <v>198.4</v>
        <stp/>
        <stp>136</stp>
        <stp>BOOM</stp>
        <stp>TOTALASSETSQ_X</stp>
        <stp>5</stp>
        <stp>0</stp>
        <stp>0</stp>
        <stp>0</stp>
        <stp>0</stp>
        <tr r="G66" s="11"/>
        <tr r="G66" s="12"/>
      </tp>
      <tp>
        <v>173.1</v>
        <stp/>
        <stp>136</stp>
        <stp>BOOM</stp>
        <stp>TOTALASSETSQ_X</stp>
        <stp>6</stp>
        <stp>0</stp>
        <stp>0</stp>
        <stp>0</stp>
        <stp>0</stp>
        <tr r="H66" s="11"/>
        <tr r="H66" s="12"/>
      </tp>
      <tp>
        <v>164.9</v>
        <stp/>
        <stp>136</stp>
        <stp>BOOM</stp>
        <stp>TOTALASSETSQ_X</stp>
        <stp>7</stp>
        <stp>0</stp>
        <stp>0</stp>
        <stp>0</stp>
        <stp>0</stp>
        <tr r="I66" s="11"/>
        <tr r="I66" s="12"/>
      </tp>
      <tp>
        <v>266.10000000000002</v>
        <stp/>
        <stp>136</stp>
        <stp>BOOM</stp>
        <stp>TOTALASSETSQ_X</stp>
        <stp>1</stp>
        <stp>0</stp>
        <stp>0</stp>
        <stp>0</stp>
        <stp>0</stp>
        <tr r="C66" s="12"/>
        <tr r="C66" s="11"/>
      </tp>
      <tp>
        <v>240.4</v>
        <stp/>
        <stp>136</stp>
        <stp>BOOM</stp>
        <stp>TOTALASSETSQ_X</stp>
        <stp>2</stp>
        <stp>0</stp>
        <stp>0</stp>
        <stp>0</stp>
        <stp>0</stp>
        <tr r="D66" s="11"/>
        <tr r="D66" s="12"/>
      </tp>
      <tp>
        <v>229.5</v>
        <stp/>
        <stp>136</stp>
        <stp>BOOM</stp>
        <stp>TOTALASSETSQ_X</stp>
        <stp>3</stp>
        <stp>0</stp>
        <stp>0</stp>
        <stp>0</stp>
        <stp>0</stp>
        <tr r="E66" s="11"/>
        <tr r="E66" s="12"/>
      </tp>
      <tp t="s">
        <v>Flash - Sales</v>
        <stp/>
        <stp>137</stp>
        <stp/>
        <stp>FLASHSALES</stp>
        <stp>0</stp>
        <stp>0</stp>
        <stp>0</stp>
        <stp>0</stp>
        <stp>0</stp>
        <tr r="B80" s="5"/>
      </tp>
      <tp>
        <v>5.2</v>
        <stp/>
        <stp>136</stp>
        <stp>MSFT</stp>
        <stp>BUFFETTPRICEGROWTHSUSTGROWTH</stp>
        <stp>0</stp>
        <stp>0</stp>
        <stp>0</stp>
        <stp>0</stp>
        <stp>0</stp>
        <tr r="C19" s="9"/>
      </tp>
      <tp t="s">
        <v>Asset Turnover</v>
        <stp/>
        <stp>137</stp>
        <stp/>
        <stp>ASSETTURNOVERY_X</stp>
        <stp>0</stp>
        <stp>0</stp>
        <stp>0</stp>
        <stp>0</stp>
        <stp>0</stp>
        <tr r="B27" s="7"/>
      </tp>
      <tp>
        <v>0</v>
        <stp/>
        <stp>136</stp>
        <stp>MSFT</stp>
        <stp>INDUSTRYPAYOUTRATIO12M</stp>
        <stp>0</stp>
        <stp>0</stp>
        <stp>0</stp>
        <stp>0</stp>
        <stp>0</stp>
        <tr r="C43" s="7"/>
      </tp>
      <tp>
        <v>-11186</v>
        <stp/>
        <stp>136</stp>
        <stp>MSFT</stp>
        <stp>CASHFROMINVESTING12M</stp>
        <stp>0</stp>
        <stp>0</stp>
        <stp>0</stp>
        <stp>0</stp>
        <stp>0</stp>
        <tr r="L40" s="1"/>
      </tp>
      <tp>
        <v>0.7</v>
        <stp/>
        <stp>136</stp>
        <stp>MSFT</stp>
        <stp>SECTORTIMESINTERESTEARNED12M</stp>
        <stp>0</stp>
        <stp>0</stp>
        <stp>0</stp>
        <stp>0</stp>
        <stp>0</stp>
        <tr r="C71" s="7"/>
      </tp>
      <tp>
        <v>10.34</v>
        <stp/>
        <stp>136</stp>
        <stp>MSFT</stp>
        <stp>INVE$TWARETOTALRETURN</stp>
        <stp>0</stp>
        <stp>0</stp>
        <stp>0</stp>
        <stp>0</stp>
        <stp>0</stp>
        <tr r="C25" s="9"/>
      </tp>
      <tp t="s">
        <v>NA</v>
        <stp/>
        <stp>136</stp>
        <stp>MSFT</stp>
        <stp>PCNTRANKTIMESINTERESTEARNEDY_X</stp>
        <stp>6</stp>
        <stp>0</stp>
        <stp>0</stp>
        <stp>0</stp>
        <stp>0</stp>
        <tr r="I98" s="7"/>
      </tp>
      <tp t="s">
        <v>NA</v>
        <stp/>
        <stp>136</stp>
        <stp>MSFT</stp>
        <stp>PCNTRANKTIMESINTERESTEARNEDY_X</stp>
        <stp>7</stp>
        <stp>0</stp>
        <stp>0</stp>
        <stp>0</stp>
        <stp>0</stp>
        <tr r="J98" s="7"/>
      </tp>
      <tp>
        <v>90</v>
        <stp/>
        <stp>136</stp>
        <stp>MSFT</stp>
        <stp>PCNTRANKTIMESINTERESTEARNEDY_X</stp>
        <stp>4</stp>
        <stp>0</stp>
        <stp>0</stp>
        <stp>0</stp>
        <stp>0</stp>
        <tr r="G98" s="7"/>
      </tp>
      <tp>
        <v>93</v>
        <stp/>
        <stp>136</stp>
        <stp>MSFT</stp>
        <stp>PCNTRANKTIMESINTERESTEARNEDY_X</stp>
        <stp>5</stp>
        <stp>0</stp>
        <stp>0</stp>
        <stp>0</stp>
        <stp>0</stp>
        <tr r="H98" s="7"/>
      </tp>
      <tp>
        <v>77</v>
        <stp/>
        <stp>136</stp>
        <stp>MSFT</stp>
        <stp>PCNTRANKTIMESINTERESTEARNEDY_X</stp>
        <stp>2</stp>
        <stp>0</stp>
        <stp>0</stp>
        <stp>0</stp>
        <stp>0</stp>
        <tr r="E98" s="7"/>
      </tp>
      <tp>
        <v>83</v>
        <stp/>
        <stp>136</stp>
        <stp>MSFT</stp>
        <stp>PCNTRANKTIMESINTERESTEARNEDY_X</stp>
        <stp>3</stp>
        <stp>0</stp>
        <stp>0</stp>
        <stp>0</stp>
        <stp>0</stp>
        <tr r="F98" s="7"/>
      </tp>
      <tp>
        <v>87</v>
        <stp/>
        <stp>136</stp>
        <stp>MSFT</stp>
        <stp>PCNTRANKTIMESINTERESTEARNEDY_X</stp>
        <stp>1</stp>
        <stp>0</stp>
        <stp>0</stp>
        <stp>0</stp>
        <stp>0</stp>
        <tr r="D98" s="7"/>
      </tp>
      <tp>
        <v>-954</v>
        <stp/>
        <stp>136</stp>
        <stp>MSFT</stp>
        <stp>OTHERINCOMEQ_X</stp>
        <stp>7</stp>
        <stp>0</stp>
        <stp>0</stp>
        <stp>0</stp>
        <stp>0</stp>
        <tr r="I20" s="1"/>
      </tp>
      <tp>
        <v>-1212</v>
        <stp/>
        <stp>136</stp>
        <stp>MSFT</stp>
        <stp>OTHERINCOMEQ_X</stp>
        <stp>6</stp>
        <stp>0</stp>
        <stp>0</stp>
        <stp>0</stp>
        <stp>0</stp>
        <tr r="H20" s="1"/>
      </tp>
      <tp>
        <v>-1057</v>
        <stp/>
        <stp>136</stp>
        <stp>MSFT</stp>
        <stp>OTHERINCOMEQ_X</stp>
        <stp>5</stp>
        <stp>0</stp>
        <stp>0</stp>
        <stp>0</stp>
        <stp>0</stp>
        <tr r="G20" s="1"/>
      </tp>
      <tp>
        <v>-973</v>
        <stp/>
        <stp>136</stp>
        <stp>MSFT</stp>
        <stp>OTHERINCOMEQ_X</stp>
        <stp>4</stp>
        <stp>0</stp>
        <stp>0</stp>
        <stp>0</stp>
        <stp>0</stp>
        <tr r="F20" s="1"/>
      </tp>
      <tp>
        <v>-940</v>
        <stp/>
        <stp>136</stp>
        <stp>MSFT</stp>
        <stp>OTHERINCOMEQ_X</stp>
        <stp>3</stp>
        <stp>0</stp>
        <stp>0</stp>
        <stp>0</stp>
        <stp>0</stp>
        <tr r="E20" s="1"/>
      </tp>
      <tp>
        <v>-806</v>
        <stp/>
        <stp>136</stp>
        <stp>MSFT</stp>
        <stp>OTHERINCOMEQ_X</stp>
        <stp>2</stp>
        <stp>0</stp>
        <stp>0</stp>
        <stp>0</stp>
        <stp>0</stp>
        <tr r="D20" s="1"/>
      </tp>
      <tp>
        <v>-816</v>
        <stp/>
        <stp>136</stp>
        <stp>MSFT</stp>
        <stp>OTHERINCOMEQ_X</stp>
        <stp>1</stp>
        <stp>0</stp>
        <stp>0</stp>
        <stp>0</stp>
        <stp>0</stp>
        <tr r="C20" s="1"/>
      </tp>
      <tp>
        <v>-1587</v>
        <stp/>
        <stp>136</stp>
        <stp>MSFT</stp>
        <stp>OTHERINCOMEQ_X</stp>
        <stp>8</stp>
        <stp>0</stp>
        <stp>0</stp>
        <stp>0</stp>
        <stp>0</stp>
        <tr r="J20" s="1"/>
      </tp>
      <tp t="s">
        <v>Sector PE / EPS</v>
        <stp/>
        <stp>137</stp>
        <stp/>
        <stp>SECTORPE</stp>
        <stp>0</stp>
        <stp>0</stp>
        <stp>0</stp>
        <stp>0</stp>
        <stp>0</stp>
        <tr r="B22" s="6"/>
      </tp>
      <tp t="s">
        <v>PE to EPS Est growth 5 Years</v>
        <stp/>
        <stp>137</stp>
        <stp/>
        <stp>PETOEPSESTGROWTH5Y</stp>
        <stp>0</stp>
        <stp>0</stp>
        <stp>0</stp>
        <stp>0</stp>
        <stp>0</stp>
        <tr r="B40" s="6"/>
      </tp>
      <tp>
        <v>-78</v>
        <stp/>
        <stp>136</stp>
        <stp>MSFT</stp>
        <stp>EXCHANGERATEEFFECTS12M</stp>
        <stp>0</stp>
        <stp>0</stp>
        <stp>0</stp>
        <stp>0</stp>
        <stp>0</stp>
        <tr r="L42" s="1"/>
      </tp>
      <tp>
        <v>0.8</v>
        <stp/>
        <stp>136</stp>
        <stp>MSFT</stp>
        <stp>SECTORASSETTURNOVER12M</stp>
        <stp>0</stp>
        <stp>0</stp>
        <stp>0</stp>
        <stp>0</stp>
        <stp>0</stp>
        <tr r="C81" s="7"/>
      </tp>
      <tp>
        <v>157.1</v>
        <stp/>
        <stp>136</stp>
        <stp>MSFT</stp>
        <stp>VALUATIONYIELD</stp>
        <stp>0</stp>
        <stp>0</stp>
        <stp>0</stp>
        <stp>0</stp>
        <stp>0</stp>
        <tr r="C10" s="9"/>
      </tp>
      <tp t="s">
        <v>Sector Inventory turnover</v>
        <stp/>
        <stp>137</stp>
        <stp/>
        <stp>SECTORINVENTORYTURNOVERY_X</stp>
        <stp>0</stp>
        <stp>0</stp>
        <stp>0</stp>
        <stp>0</stp>
        <stp>0</stp>
        <tr r="B80" s="7"/>
      </tp>
      <tp>
        <v>1.046</v>
        <stp/>
        <stp>136</stp>
        <stp>MSFT</stp>
        <stp>EPSQ_X</stp>
        <stp>8</stp>
        <stp>0</stp>
        <stp>0</stp>
        <stp>0</stp>
        <stp>0</stp>
        <tr r="J31" s="1"/>
      </tp>
      <tp>
        <v>1.1479999999999999</v>
        <stp/>
        <stp>136</stp>
        <stp>MSFT</stp>
        <stp>EPSQ_X</stp>
        <stp>1</stp>
        <stp>0</stp>
        <stp>0</stp>
        <stp>0</stp>
        <stp>0</stp>
        <tr r="C31" s="1"/>
      </tp>
      <tp>
        <v>1.1499999999999999</v>
        <stp/>
        <stp>136</stp>
        <stp>MSFT</stp>
        <stp>EPSQ_X</stp>
        <stp>3</stp>
        <stp>0</stp>
        <stp>0</stp>
        <stp>0</stp>
        <stp>0</stp>
        <tr r="E31" s="1"/>
      </tp>
      <tp>
        <v>1.095</v>
        <stp/>
        <stp>136</stp>
        <stp>MSFT</stp>
        <stp>EPSQ_X</stp>
        <stp>2</stp>
        <stp>0</stp>
        <stp>0</stp>
        <stp>0</stp>
        <stp>0</stp>
        <tr r="D31" s="1"/>
      </tp>
      <tp>
        <v>0.96399999999999997</v>
        <stp/>
        <stp>136</stp>
        <stp>MSFT</stp>
        <stp>EPSQ_X</stp>
        <stp>5</stp>
        <stp>0</stp>
        <stp>0</stp>
        <stp>0</stp>
        <stp>0</stp>
        <tr r="G31" s="1"/>
      </tp>
      <tp>
        <v>1.155</v>
        <stp/>
        <stp>136</stp>
        <stp>MSFT</stp>
        <stp>EPSQ_X</stp>
        <stp>4</stp>
        <stp>0</stp>
        <stp>0</stp>
        <stp>0</stp>
        <stp>0</stp>
        <tr r="F31" s="1"/>
      </tp>
      <tp>
        <v>0.85299999999999998</v>
        <stp/>
        <stp>136</stp>
        <stp>MSFT</stp>
        <stp>EPSQ_X</stp>
        <stp>7</stp>
        <stp>0</stp>
        <stp>0</stp>
        <stp>0</stp>
        <stp>0</stp>
        <tr r="I31" s="1"/>
      </tp>
      <tp>
        <v>-0.81699999999999995</v>
        <stp/>
        <stp>136</stp>
        <stp>MSFT</stp>
        <stp>EPSQ_X</stp>
        <stp>6</stp>
        <stp>0</stp>
        <stp>0</stp>
        <stp>0</stp>
        <stp>0</stp>
        <tr r="H31" s="1"/>
      </tp>
      <tp t="s">
        <v>Price/Growth Flow</v>
        <stp/>
        <stp>137</stp>
        <stp/>
        <stp>PRICEPERGROWTHFLOW</stp>
        <stp>0</stp>
        <stp>0</stp>
        <stp>0</stp>
        <stp>0</stp>
        <stp>0</stp>
        <tr r="B88" s="5"/>
      </tp>
      <tp t="s">
        <v>Other Long-Term Assets</v>
        <stp/>
        <stp>137</stp>
        <stp/>
        <stp>OTHERLTASSETSQ_X</stp>
        <stp>0</stp>
        <stp>0</stp>
        <stp>0</stp>
        <stp>0</stp>
        <stp>0</stp>
        <tr r="D46" s="13"/>
        <tr r="B67" s="1"/>
        <tr r="B65" s="11"/>
        <tr r="B65" s="12"/>
      </tp>
      <tp>
        <v>4.9000000000000004</v>
        <stp/>
        <stp>136</stp>
        <stp>BOOM</stp>
        <stp>INCOMETAXQ_X</stp>
        <stp>1</stp>
        <stp>0</stp>
        <stp>0</stp>
        <stp>0</stp>
        <stp>0</stp>
        <tr r="C21" s="11"/>
        <tr r="C21" s="12"/>
      </tp>
      <tp>
        <v>3.1</v>
        <stp/>
        <stp>136</stp>
        <stp>BOOM</stp>
        <stp>INCOMETAXQ_X</stp>
        <stp>3</stp>
        <stp>0</stp>
        <stp>0</stp>
        <stp>0</stp>
        <stp>0</stp>
        <tr r="E21" s="12"/>
        <tr r="E21" s="11"/>
      </tp>
      <tp>
        <v>-3.8</v>
        <stp/>
        <stp>136</stp>
        <stp>BOOM</stp>
        <stp>INCOMETAXQ_X</stp>
        <stp>2</stp>
        <stp>0</stp>
        <stp>0</stp>
        <stp>0</stp>
        <stp>0</stp>
        <tr r="D21" s="11"/>
        <tr r="D21" s="12"/>
      </tp>
      <tp>
        <v>0.8</v>
        <stp/>
        <stp>136</stp>
        <stp>BOOM</stp>
        <stp>INCOMETAXQ_X</stp>
        <stp>5</stp>
        <stp>0</stp>
        <stp>0</stp>
        <stp>0</stp>
        <stp>0</stp>
        <tr r="G21" s="11"/>
        <tr r="G21" s="12"/>
      </tp>
      <tp>
        <v>4.2</v>
        <stp/>
        <stp>136</stp>
        <stp>BOOM</stp>
        <stp>INCOMETAXQ_X</stp>
        <stp>4</stp>
        <stp>0</stp>
        <stp>0</stp>
        <stp>0</stp>
        <stp>0</stp>
        <tr r="F21" s="11"/>
        <tr r="F21" s="12"/>
      </tp>
      <tp>
        <v>0.8</v>
        <stp/>
        <stp>136</stp>
        <stp>BOOM</stp>
        <stp>INCOMETAXQ_X</stp>
        <stp>7</stp>
        <stp>0</stp>
        <stp>0</stp>
        <stp>0</stp>
        <stp>0</stp>
        <tr r="I21" s="11"/>
        <tr r="I21" s="12"/>
      </tp>
      <tp>
        <v>0.7</v>
        <stp/>
        <stp>136</stp>
        <stp>BOOM</stp>
        <stp>INCOMETAXQ_X</stp>
        <stp>6</stp>
        <stp>0</stp>
        <stp>0</stp>
        <stp>0</stp>
        <stp>0</stp>
        <tr r="H21" s="12"/>
        <tr r="H21" s="11"/>
      </tp>
      <tp>
        <v>1.1000000000000001</v>
        <stp/>
        <stp>136</stp>
        <stp>BOOM</stp>
        <stp>INCOMETAXQ_X</stp>
        <stp>8</stp>
        <stp>0</stp>
        <stp>0</stp>
        <stp>0</stp>
        <stp>0</stp>
        <tr r="J21" s="11"/>
        <tr r="J21" s="12"/>
      </tp>
      <tp>
        <v>51.2</v>
        <stp/>
        <stp>136</stp>
        <stp>BOOM</stp>
        <stp>GROSSINCOMEGROWTH12M</stp>
        <stp>0</stp>
        <stp>0</stp>
        <stp>0</stp>
        <stp>0</stp>
        <stp>0</stp>
        <tr r="G7" s="3"/>
      </tp>
      <tp t="s">
        <v>NA</v>
        <stp/>
        <stp>136</stp>
        <stp>AAPL</stp>
        <stp>SHADOW</stp>
        <stp>0</stp>
        <stp>0</stp>
        <stp>0</stp>
        <stp>0</stp>
        <stp>0</stp>
        <tr r="G6" s="5"/>
      </tp>
      <tp>
        <v>65.2</v>
        <stp/>
        <stp>136</stp>
        <stp>MSFT</stp>
        <stp>GROSSMARGINY_X</stp>
        <stp>1</stp>
        <stp>0</stp>
        <stp>0</stp>
        <stp>0</stp>
        <stp>0</stp>
        <tr r="D7" s="7"/>
      </tp>
      <tp>
        <v>64.5</v>
        <stp/>
        <stp>136</stp>
        <stp>MSFT</stp>
        <stp>GROSSMARGINY_X</stp>
        <stp>2</stp>
        <stp>0</stp>
        <stp>0</stp>
        <stp>0</stp>
        <stp>0</stp>
        <tr r="E7" s="7"/>
      </tp>
      <tp>
        <v>64</v>
        <stp/>
        <stp>136</stp>
        <stp>MSFT</stp>
        <stp>GROSSMARGINY_X</stp>
        <stp>3</stp>
        <stp>0</stp>
        <stp>0</stp>
        <stp>0</stp>
        <stp>0</stp>
        <tr r="F7" s="7"/>
      </tp>
      <tp>
        <v>64.7</v>
        <stp/>
        <stp>136</stp>
        <stp>MSFT</stp>
        <stp>GROSSMARGINY_X</stp>
        <stp>4</stp>
        <stp>0</stp>
        <stp>0</stp>
        <stp>0</stp>
        <stp>0</stp>
        <tr r="G7" s="7"/>
      </tp>
      <tp>
        <v>68.8</v>
        <stp/>
        <stp>136</stp>
        <stp>MSFT</stp>
        <stp>GROSSMARGINY_X</stp>
        <stp>5</stp>
        <stp>0</stp>
        <stp>0</stp>
        <stp>0</stp>
        <stp>0</stp>
        <tr r="H7" s="7"/>
      </tp>
      <tp>
        <v>73.8</v>
        <stp/>
        <stp>136</stp>
        <stp>MSFT</stp>
        <stp>GROSSMARGINY_X</stp>
        <stp>6</stp>
        <stp>0</stp>
        <stp>0</stp>
        <stp>0</stp>
        <stp>0</stp>
        <tr r="I7" s="7"/>
      </tp>
      <tp>
        <v>76.2</v>
        <stp/>
        <stp>136</stp>
        <stp>MSFT</stp>
        <stp>GROSSMARGINY_X</stp>
        <stp>7</stp>
        <stp>0</stp>
        <stp>0</stp>
        <stp>0</stp>
        <stp>0</stp>
        <tr r="J7" s="7"/>
      </tp>
      <tp>
        <v>20401</v>
        <stp/>
        <stp>136</stp>
        <stp>MSFT</stp>
        <stp>GROSSINCOMEQ_X</stp>
        <stp>1</stp>
        <stp>0</stp>
        <stp>0</stp>
        <stp>0</stp>
        <stp>0</stp>
        <tr r="C9" s="1"/>
      </tp>
      <tp>
        <v>19179</v>
        <stp/>
        <stp>136</stp>
        <stp>MSFT</stp>
        <stp>GROSSINCOMEQ_X</stp>
        <stp>3</stp>
        <stp>0</stp>
        <stp>0</stp>
        <stp>0</stp>
        <stp>0</stp>
        <tr r="E9" s="1"/>
      </tp>
      <tp>
        <v>20048</v>
        <stp/>
        <stp>136</stp>
        <stp>MSFT</stp>
        <stp>GROSSINCOMEQ_X</stp>
        <stp>2</stp>
        <stp>0</stp>
        <stp>0</stp>
        <stp>0</stp>
        <stp>0</stp>
        <tr r="D9" s="1"/>
      </tp>
      <tp>
        <v>17550</v>
        <stp/>
        <stp>136</stp>
        <stp>MSFT</stp>
        <stp>GROSSINCOMEQ_X</stp>
        <stp>5</stp>
        <stp>0</stp>
        <stp>0</stp>
        <stp>0</stp>
        <stp>0</stp>
        <tr r="G9" s="1"/>
      </tp>
      <tp>
        <v>20343</v>
        <stp/>
        <stp>136</stp>
        <stp>MSFT</stp>
        <stp>GROSSINCOMEQ_X</stp>
        <stp>4</stp>
        <stp>0</stp>
        <stp>0</stp>
        <stp>0</stp>
        <stp>0</stp>
        <tr r="F9" s="1"/>
      </tp>
      <tp>
        <v>16260</v>
        <stp/>
        <stp>136</stp>
        <stp>MSFT</stp>
        <stp>GROSSINCOMEQ_X</stp>
        <stp>7</stp>
        <stp>0</stp>
        <stp>0</stp>
        <stp>0</stp>
        <stp>0</stp>
        <tr r="I9" s="1"/>
      </tp>
      <tp>
        <v>17854</v>
        <stp/>
        <stp>136</stp>
        <stp>MSFT</stp>
        <stp>GROSSINCOMEQ_X</stp>
        <stp>6</stp>
        <stp>0</stp>
        <stp>0</stp>
        <stp>0</stp>
        <stp>0</stp>
        <tr r="H9" s="1"/>
      </tp>
      <tp>
        <v>17149</v>
        <stp/>
        <stp>136</stp>
        <stp>MSFT</stp>
        <stp>GROSSINCOMEQ_X</stp>
        <stp>8</stp>
        <stp>0</stp>
        <stp>0</stp>
        <stp>0</stp>
        <stp>0</stp>
        <tr r="J9" s="1"/>
      </tp>
      <tp>
        <v>47.6</v>
        <stp/>
        <stp>136</stp>
        <stp>MSFT</stp>
        <stp>SECTORGROSSMARGINAVE5Y</stp>
        <stp>0</stp>
        <stp>0</stp>
        <stp>0</stp>
        <stp>0</stp>
        <stp>0</stp>
        <tr r="K60" s="7"/>
      </tp>
      <tp>
        <v>10.29</v>
        <stp/>
        <stp>136</stp>
        <stp>MSFT</stp>
        <stp>BOOKVALUEPERSHAREQ_X</stp>
        <stp>5</stp>
        <stp>0</stp>
        <stp>0</stp>
        <stp>0</stp>
        <stp>0</stp>
        <tr r="G84" s="1"/>
      </tp>
      <tp>
        <v>10.77</v>
        <stp/>
        <stp>136</stp>
        <stp>MSFT</stp>
        <stp>BOOKVALUEPERSHAREQ_X</stp>
        <stp>4</stp>
        <stp>0</stp>
        <stp>0</stp>
        <stp>0</stp>
        <stp>0</stp>
        <tr r="F84" s="1"/>
      </tp>
      <tp>
        <v>11.63</v>
        <stp/>
        <stp>136</stp>
        <stp>MSFT</stp>
        <stp>BOOKVALUEPERSHAREQ_X</stp>
        <stp>7</stp>
        <stp>0</stp>
        <stp>0</stp>
        <stp>0</stp>
        <stp>0</stp>
        <tr r="I84" s="1"/>
      </tp>
      <tp>
        <v>10.16</v>
        <stp/>
        <stp>136</stp>
        <stp>MSFT</stp>
        <stp>BOOKVALUEPERSHAREQ_X</stp>
        <stp>6</stp>
        <stp>0</stp>
        <stp>0</stp>
        <stp>0</stp>
        <stp>0</stp>
        <tr r="H84" s="1"/>
      </tp>
      <tp>
        <v>12.36</v>
        <stp/>
        <stp>136</stp>
        <stp>MSFT</stp>
        <stp>BOOKVALUEPERSHAREQ_X</stp>
        <stp>1</stp>
        <stp>0</stp>
        <stp>0</stp>
        <stp>0</stp>
        <stp>0</stp>
        <tr r="C84" s="1"/>
      </tp>
      <tp>
        <v>11.2</v>
        <stp/>
        <stp>136</stp>
        <stp>MSFT</stp>
        <stp>BOOKVALUEPERSHAREQ_X</stp>
        <stp>3</stp>
        <stp>0</stp>
        <stp>0</stp>
        <stp>0</stp>
        <stp>0</stp>
        <tr r="E84" s="1"/>
      </tp>
      <tp>
        <v>11.98</v>
        <stp/>
        <stp>136</stp>
        <stp>MSFT</stp>
        <stp>BOOKVALUEPERSHAREQ_X</stp>
        <stp>2</stp>
        <stp>0</stp>
        <stp>0</stp>
        <stp>0</stp>
        <stp>0</stp>
        <tr r="D84" s="1"/>
      </tp>
      <tp>
        <v>11.37</v>
        <stp/>
        <stp>136</stp>
        <stp>MSFT</stp>
        <stp>BOOKVALUEPERSHAREQ_X</stp>
        <stp>8</stp>
        <stp>0</stp>
        <stp>0</stp>
        <stp>0</stp>
        <stp>0</stp>
        <tr r="J84" s="1"/>
      </tp>
      <tp>
        <v>42</v>
        <stp/>
        <stp>136</stp>
        <stp>MSFT</stp>
        <stp>PCNTRANKRECEIVABLESTURNOVER12M</stp>
        <stp>0</stp>
        <stp>0</stp>
        <stp>0</stp>
        <stp>0</stp>
        <stp>0</stp>
        <tr r="C106" s="7"/>
      </tp>
      <tp>
        <v>41.7</v>
        <stp/>
        <stp>136</stp>
        <stp>BOOM</stp>
        <stp>INCOMEFORPRIMARYEPS12M</stp>
        <stp>0</stp>
        <stp>0</stp>
        <stp>0</stp>
        <stp>0</stp>
        <stp>0</stp>
        <tr r="L25" s="11"/>
        <tr r="L25" s="12"/>
      </tp>
      <tp t="s">
        <v>Unusual Expense/(Income)</v>
        <stp/>
        <stp>137</stp>
        <stp/>
        <stp>UNUSUALINCOMEQ_X</stp>
        <stp>0</stp>
        <stp>0</stp>
        <stp>0</stp>
        <stp>0</stp>
        <stp>0</stp>
        <tr r="B12" s="12"/>
        <tr r="B12" s="11"/>
        <tr r="B14" s="1"/>
      </tp>
      <tp t="s">
        <v>MALVERN</v>
        <stp/>
        <stp>136</stp>
        <stp>BEAT</stp>
        <stp>CITY</stp>
        <stp>0</stp>
        <stp>0</stp>
        <stp>0</stp>
        <stp>0</stp>
        <stp>0</stp>
        <tr r="E3" s="13"/>
      </tp>
      <tp t="s">
        <v>PE Low</v>
        <stp/>
        <stp>137</stp>
        <stp/>
        <stp>PELOWY_X</stp>
        <stp>0</stp>
        <stp>0</stp>
        <stp>0</stp>
        <stp>0</stp>
        <stp>0</stp>
        <tr r="B54" s="6"/>
      </tp>
      <tp>
        <v>-34240</v>
        <stp/>
        <stp>136</stp>
        <stp>MSFT</stp>
        <stp>CASHFROMFINANCING12M</stp>
        <stp>0</stp>
        <stp>0</stp>
        <stp>0</stp>
        <stp>0</stp>
        <stp>0</stp>
        <tr r="L41" s="1"/>
      </tp>
      <tp>
        <v>2.1</v>
        <stp/>
        <stp>136</stp>
        <stp>AAPL</stp>
        <stp>YIELDHIGHAVE7Y</stp>
        <stp>0</stp>
        <stp>0</stp>
        <stp>0</stp>
        <stp>0</stp>
        <stp>0</stp>
        <tr r="C98" s="5"/>
      </tp>
      <tp>
        <v>1.3</v>
        <stp/>
        <stp>136</stp>
        <stp>AAPL</stp>
        <stp>PETODIVADJEPSESTGROWTH</stp>
        <stp>0</stp>
        <stp>0</stp>
        <stp>0</stp>
        <stp>0</stp>
        <stp>0</stp>
        <tr r="C89" s="5"/>
      </tp>
      <tp t="s">
        <v>NA</v>
        <stp/>
        <stp>136</stp>
        <stp>MSFT</stp>
        <stp>NONRECURRINGITEMS12M</stp>
        <stp>0</stp>
        <stp>0</stp>
        <stp>0</stp>
        <stp>0</stp>
        <stp>0</stp>
        <tr r="L28" s="1"/>
      </tp>
      <tp t="s">
        <v>NA</v>
        <stp/>
        <stp>136</stp>
        <stp>BOOM</stp>
        <stp>EPSDILCONTGROWTHR27Y</stp>
        <stp>0</stp>
        <stp>0</stp>
        <stp>0</stp>
        <stp>0</stp>
        <stp>0</stp>
        <tr r="N14" s="3"/>
      </tp>
      <tp t="s">
        <v>Industry Asset turnover</v>
        <stp/>
        <stp>137</stp>
        <stp/>
        <stp>INDUSTRYASSETTURNOVERY_X</stp>
        <stp>0</stp>
        <stp>0</stp>
        <stp>0</stp>
        <stp>0</stp>
        <stp>0</stp>
        <tr r="B54" s="7"/>
      </tp>
      <tp>
        <v>-67.900000000000006</v>
        <stp/>
        <stp>136</stp>
        <stp>BOOM</stp>
        <stp>SECTORCASHFLOWGROWTH1Y</stp>
        <stp>0</stp>
        <stp>0</stp>
        <stp>0</stp>
        <stp>0</stp>
        <stp>0</stp>
        <tr r="C43" s="3"/>
      </tp>
      <tp>
        <v>0</v>
        <stp/>
        <stp>136</stp>
        <stp>BOOM</stp>
        <stp>SECTORCASHFLOWGROWTH3Y</stp>
        <stp>0</stp>
        <stp>0</stp>
        <stp>0</stp>
        <stp>0</stp>
        <stp>0</stp>
        <tr r="D43" s="3"/>
      </tp>
      <tp>
        <v>-2.5</v>
        <stp/>
        <stp>136</stp>
        <stp>BOOM</stp>
        <stp>SECTORCASHFLOWGROWTH5Y</stp>
        <stp>0</stp>
        <stp>0</stp>
        <stp>0</stp>
        <stp>0</stp>
        <stp>0</stp>
        <tr r="E43" s="3"/>
      </tp>
      <tp>
        <v>-10.4</v>
        <stp/>
        <stp>136</stp>
        <stp>BOOM</stp>
        <stp>SECTORCASHFLOWGROWTH7Y</stp>
        <stp>0</stp>
        <stp>0</stp>
        <stp>0</stp>
        <stp>0</stp>
        <stp>0</stp>
        <tr r="F43" s="3"/>
      </tp>
      <tp t="s">
        <v>NA</v>
        <stp/>
        <stp>136</stp>
        <stp>BOOM</stp>
        <stp>EPSDILCONTGROWTHLS3Y</stp>
        <stp>0</stp>
        <stp>0</stp>
        <stp>0</stp>
        <stp>0</stp>
        <stp>0</stp>
        <tr r="L14" s="3"/>
      </tp>
      <tp t="s">
        <v>NA</v>
        <stp/>
        <stp>136</stp>
        <stp>BOOM</stp>
        <stp>EPSDILCONTGROWTHLS5Y</stp>
        <stp>0</stp>
        <stp>0</stp>
        <stp>0</stp>
        <stp>0</stp>
        <stp>0</stp>
        <tr r="M14" s="3"/>
      </tp>
      <tp t="s">
        <v>Institutions -Shares Purchased</v>
        <stp/>
        <stp>137</stp>
        <stp/>
        <stp>INSTITUTIONSHARESPURCHASED</stp>
        <stp>0</stp>
        <stp>0</stp>
        <stp>0</stp>
        <stp>0</stp>
        <stp>0</stp>
        <tr r="B30" s="5"/>
      </tp>
      <tp t="s">
        <v>NA</v>
        <stp/>
        <stp>136</stp>
        <stp>MSFT</stp>
        <stp>PCNTRANKGROSSMARGINY_X</stp>
        <stp>7</stp>
        <stp>0</stp>
        <stp>0</stp>
        <stp>0</stp>
        <stp>0</stp>
        <tr r="J87" s="7"/>
      </tp>
      <tp t="s">
        <v>NA</v>
        <stp/>
        <stp>136</stp>
        <stp>MSFT</stp>
        <stp>PCNTRANKGROSSMARGINY_X</stp>
        <stp>6</stp>
        <stp>0</stp>
        <stp>0</stp>
        <stp>0</stp>
        <stp>0</stp>
        <tr r="I87" s="7"/>
      </tp>
      <tp>
        <v>81</v>
        <stp/>
        <stp>136</stp>
        <stp>MSFT</stp>
        <stp>PCNTRANKGROSSMARGINY_X</stp>
        <stp>5</stp>
        <stp>0</stp>
        <stp>0</stp>
        <stp>0</stp>
        <stp>0</stp>
        <tr r="H87" s="7"/>
      </tp>
      <tp>
        <v>78</v>
        <stp/>
        <stp>136</stp>
        <stp>MSFT</stp>
        <stp>PCNTRANKGROSSMARGINY_X</stp>
        <stp>4</stp>
        <stp>0</stp>
        <stp>0</stp>
        <stp>0</stp>
        <stp>0</stp>
        <tr r="G87" s="7"/>
      </tp>
      <tp>
        <v>77</v>
        <stp/>
        <stp>136</stp>
        <stp>MSFT</stp>
        <stp>PCNTRANKGROSSMARGINY_X</stp>
        <stp>3</stp>
        <stp>0</stp>
        <stp>0</stp>
        <stp>0</stp>
        <stp>0</stp>
        <tr r="F87" s="7"/>
      </tp>
      <tp>
        <v>76</v>
        <stp/>
        <stp>136</stp>
        <stp>MSFT</stp>
        <stp>PCNTRANKGROSSMARGINY_X</stp>
        <stp>2</stp>
        <stp>0</stp>
        <stp>0</stp>
        <stp>0</stp>
        <stp>0</stp>
        <tr r="E87" s="7"/>
      </tp>
      <tp>
        <v>76</v>
        <stp/>
        <stp>136</stp>
        <stp>MSFT</stp>
        <stp>PCNTRANKGROSSMARGINY_X</stp>
        <stp>1</stp>
        <stp>0</stp>
        <stp>0</stp>
        <stp>0</stp>
        <stp>0</stp>
        <tr r="D87" s="7"/>
      </tp>
      <tp t="s">
        <v>Flash - Income For Primary EPS</v>
        <stp/>
        <stp>137</stp>
        <stp/>
        <stp>FLASHINCOMEFORPRIMARYEPS</stp>
        <stp>0</stp>
        <stp>0</stp>
        <stp>0</stp>
        <stp>0</stp>
        <stp>0</stp>
        <tr r="B81" s="5"/>
      </tp>
      <tp>
        <v>13</v>
        <stp/>
        <stp>136</stp>
        <stp>MSFT</stp>
        <stp>NETMARGINY_X</stp>
        <stp>4</stp>
        <stp>0</stp>
        <stp>0</stp>
        <stp>0</stp>
        <stp>0</stp>
        <tr r="G9" s="7"/>
      </tp>
      <tp>
        <v>25.4</v>
        <stp/>
        <stp>136</stp>
        <stp>MSFT</stp>
        <stp>NETMARGINY_X</stp>
        <stp>5</stp>
        <stp>0</stp>
        <stp>0</stp>
        <stp>0</stp>
        <stp>0</stp>
        <tr r="H9" s="7"/>
      </tp>
      <tp>
        <v>28.1</v>
        <stp/>
        <stp>136</stp>
        <stp>MSFT</stp>
        <stp>NETMARGINY_X</stp>
        <stp>6</stp>
        <stp>0</stp>
        <stp>0</stp>
        <stp>0</stp>
        <stp>0</stp>
        <tr r="I9" s="7"/>
      </tp>
      <tp>
        <v>23</v>
        <stp/>
        <stp>136</stp>
        <stp>MSFT</stp>
        <stp>NETMARGINY_X</stp>
        <stp>7</stp>
        <stp>0</stp>
        <stp>0</stp>
        <stp>0</stp>
        <stp>0</stp>
        <tr r="J9" s="7"/>
      </tp>
      <tp>
        <v>15</v>
        <stp/>
        <stp>136</stp>
        <stp>MSFT</stp>
        <stp>NETMARGINY_X</stp>
        <stp>1</stp>
        <stp>0</stp>
        <stp>0</stp>
        <stp>0</stp>
        <stp>0</stp>
        <tr r="D9" s="7"/>
      </tp>
      <tp>
        <v>26.4</v>
        <stp/>
        <stp>136</stp>
        <stp>MSFT</stp>
        <stp>NETMARGINY_X</stp>
        <stp>2</stp>
        <stp>0</stp>
        <stp>0</stp>
        <stp>0</stp>
        <stp>0</stp>
        <tr r="E9" s="7"/>
      </tp>
      <tp>
        <v>22.5</v>
        <stp/>
        <stp>136</stp>
        <stp>MSFT</stp>
        <stp>NETMARGINY_X</stp>
        <stp>3</stp>
        <stp>0</stp>
        <stp>0</stp>
        <stp>0</stp>
        <stp>0</stp>
        <tr r="F9" s="7"/>
      </tp>
      <tp>
        <v>5.9</v>
        <stp/>
        <stp>136</stp>
        <stp>MSFT</stp>
        <stp>RECEIVABLESTURNOVER12M</stp>
        <stp>0</stp>
        <stp>0</stp>
        <stp>0</stp>
        <stp>0</stp>
        <stp>0</stp>
        <tr r="C25" s="7"/>
      </tp>
      <tp>
        <v>7424</v>
        <stp/>
        <stp>136</stp>
        <stp>MSFT</stp>
        <stp>NETINCOMEQ_X</stp>
        <stp>5</stp>
        <stp>0</stp>
        <stp>0</stp>
        <stp>0</stp>
        <stp>0</stp>
        <tr r="G29" s="1"/>
      </tp>
      <tp>
        <v>8873</v>
        <stp/>
        <stp>136</stp>
        <stp>MSFT</stp>
        <stp>NETINCOMEQ_X</stp>
        <stp>4</stp>
        <stp>0</stp>
        <stp>0</stp>
        <stp>0</stp>
        <stp>0</stp>
        <tr r="F29" s="1"/>
      </tp>
      <tp>
        <v>6576</v>
        <stp/>
        <stp>136</stp>
        <stp>MSFT</stp>
        <stp>NETINCOMEQ_X</stp>
        <stp>7</stp>
        <stp>0</stp>
        <stp>0</stp>
        <stp>0</stp>
        <stp>0</stp>
        <tr r="I29" s="1"/>
      </tp>
      <tp>
        <v>-6302</v>
        <stp/>
        <stp>136</stp>
        <stp>MSFT</stp>
        <stp>NETINCOMEQ_X</stp>
        <stp>6</stp>
        <stp>0</stp>
        <stp>0</stp>
        <stp>0</stp>
        <stp>0</stp>
        <tr r="H29" s="1"/>
      </tp>
      <tp>
        <v>8809</v>
        <stp/>
        <stp>136</stp>
        <stp>MSFT</stp>
        <stp>NETINCOMEQ_X</stp>
        <stp>1</stp>
        <stp>0</stp>
        <stp>0</stp>
        <stp>0</stp>
        <stp>0</stp>
        <tr r="C29" s="1"/>
      </tp>
      <tp>
        <v>8824</v>
        <stp/>
        <stp>136</stp>
        <stp>MSFT</stp>
        <stp>NETINCOMEQ_X</stp>
        <stp>3</stp>
        <stp>0</stp>
        <stp>0</stp>
        <stp>0</stp>
        <stp>0</stp>
        <tr r="E29" s="1"/>
      </tp>
      <tp>
        <v>8420</v>
        <stp/>
        <stp>136</stp>
        <stp>MSFT</stp>
        <stp>NETINCOMEQ_X</stp>
        <stp>2</stp>
        <stp>0</stp>
        <stp>0</stp>
        <stp>0</stp>
        <stp>0</stp>
        <tr r="D29" s="1"/>
      </tp>
      <tp>
        <v>8069</v>
        <stp/>
        <stp>136</stp>
        <stp>MSFT</stp>
        <stp>NETINCOMEQ_X</stp>
        <stp>8</stp>
        <stp>0</stp>
        <stp>0</stp>
        <stp>0</stp>
        <stp>0</stp>
        <tr r="J29" s="1"/>
      </tp>
      <tp t="s">
        <v>Sector Net margin</v>
        <stp/>
        <stp>137</stp>
        <stp/>
        <stp>SECTORNETMARGINY_X</stp>
        <stp>0</stp>
        <stp>0</stp>
        <stp>0</stp>
        <stp>0</stp>
        <stp>0</stp>
        <tr r="B62" s="7"/>
      </tp>
      <tp>
        <v>120.82</v>
        <stp/>
        <stp>136</stp>
        <stp>MSFT</stp>
        <stp>PRICEHIGHM_X</stp>
        <stp>5</stp>
        <stp>0</stp>
        <stp>0</stp>
        <stp>0</stp>
        <stp>0</stp>
        <tr r="D20" s="4"/>
      </tp>
      <tp>
        <v>131.37</v>
        <stp/>
        <stp>136</stp>
        <stp>MSFT</stp>
        <stp>PRICEHIGHM_X</stp>
        <stp>4</stp>
        <stp>0</stp>
        <stp>0</stp>
        <stp>0</stp>
        <stp>0</stp>
        <tr r="D19" s="4"/>
      </tp>
      <tp>
        <v>107.9</v>
        <stp/>
        <stp>136</stp>
        <stp>MSFT</stp>
        <stp>PRICEHIGHM_X</stp>
        <stp>7</stp>
        <stp>0</stp>
        <stp>0</stp>
        <stp>0</stp>
        <stp>0</stp>
        <tr r="D22" s="4"/>
      </tp>
      <tp>
        <v>113.24</v>
        <stp/>
        <stp>136</stp>
        <stp>MSFT</stp>
        <stp>PRICEHIGHM_X</stp>
        <stp>6</stp>
        <stp>0</stp>
        <stp>0</stp>
        <stp>0</stp>
        <stp>0</stp>
        <tr r="D21" s="4"/>
      </tp>
      <tp>
        <v>139.22</v>
        <stp/>
        <stp>136</stp>
        <stp>MSFT</stp>
        <stp>PRICEHIGHM_X</stp>
        <stp>1</stp>
        <stp>0</stp>
        <stp>0</stp>
        <stp>0</stp>
        <stp>0</stp>
        <tr r="D16" s="4"/>
      </tp>
      <tp>
        <v>130.65</v>
        <stp/>
        <stp>136</stp>
        <stp>MSFT</stp>
        <stp>PRICEHIGHM_X</stp>
        <stp>3</stp>
        <stp>0</stp>
        <stp>0</stp>
        <stp>0</stp>
        <stp>0</stp>
        <tr r="D18" s="4"/>
      </tp>
      <tp>
        <v>138.4</v>
        <stp/>
        <stp>136</stp>
        <stp>MSFT</stp>
        <stp>PRICEHIGHM_X</stp>
        <stp>2</stp>
        <stp>0</stp>
        <stp>0</stp>
        <stp>0</stp>
        <stp>0</stp>
        <tr r="D17" s="4"/>
      </tp>
      <tp>
        <v>112.24</v>
        <stp/>
        <stp>136</stp>
        <stp>MSFT</stp>
        <stp>PRICEHIGHM_X</stp>
        <stp>9</stp>
        <stp>0</stp>
        <stp>0</stp>
        <stp>0</stp>
        <stp>0</stp>
        <tr r="D24" s="4"/>
      </tp>
      <tp>
        <v>113.42</v>
        <stp/>
        <stp>136</stp>
        <stp>MSFT</stp>
        <stp>PRICEHIGHM_X</stp>
        <stp>8</stp>
        <stp>0</stp>
        <stp>0</stp>
        <stp>0</stp>
        <stp>0</stp>
        <tr r="D23" s="4"/>
      </tp>
      <tp>
        <v>116.18</v>
        <stp/>
        <stp>136</stp>
        <stp>MSFT</stp>
        <stp>PRICEHIGHY_X</stp>
        <stp>1</stp>
        <stp>0</stp>
        <stp>0</stp>
        <stp>0</stp>
        <stp>0</stp>
        <tr r="D7" s="4"/>
      </tp>
      <tp>
        <v>64.099999999999994</v>
        <stp/>
        <stp>136</stp>
        <stp>MSFT</stp>
        <stp>PRICEHIGHY_X</stp>
        <stp>3</stp>
        <stp>0</stp>
        <stp>0</stp>
        <stp>0</stp>
        <stp>0</stp>
        <tr r="D9" s="4"/>
      </tp>
      <tp>
        <v>87.5</v>
        <stp/>
        <stp>136</stp>
        <stp>MSFT</stp>
        <stp>PRICEHIGHY_X</stp>
        <stp>2</stp>
        <stp>0</stp>
        <stp>0</stp>
        <stp>0</stp>
        <stp>0</stp>
        <tr r="D8" s="4"/>
      </tp>
      <tp>
        <v>50.045000000000002</v>
        <stp/>
        <stp>136</stp>
        <stp>MSFT</stp>
        <stp>PRICEHIGHY_X</stp>
        <stp>5</stp>
        <stp>0</stp>
        <stp>0</stp>
        <stp>0</stp>
        <stp>0</stp>
        <tr r="D11" s="4"/>
      </tp>
      <tp>
        <v>56.85</v>
        <stp/>
        <stp>136</stp>
        <stp>MSFT</stp>
        <stp>PRICEHIGHY_X</stp>
        <stp>4</stp>
        <stp>0</stp>
        <stp>0</stp>
        <stp>0</stp>
        <stp>0</stp>
        <tr r="D10" s="4"/>
      </tp>
      <tp>
        <v>32.950000000000003</v>
        <stp/>
        <stp>136</stp>
        <stp>MSFT</stp>
        <stp>PRICEHIGHY_X</stp>
        <stp>7</stp>
        <stp>0</stp>
        <stp>0</stp>
        <stp>0</stp>
        <stp>0</stp>
        <tr r="D13" s="4"/>
      </tp>
      <tp>
        <v>38.979999999999997</v>
        <stp/>
        <stp>136</stp>
        <stp>MSFT</stp>
        <stp>PRICEHIGHY_X</stp>
        <stp>6</stp>
        <stp>0</stp>
        <stp>0</stp>
        <stp>0</stp>
        <stp>0</stp>
        <tr r="D12" s="4"/>
      </tp>
      <tp>
        <v>16.7</v>
        <stp/>
        <stp>136</stp>
        <stp>BOOM</stp>
        <stp>INDUSTRYSALESGROWTH12M</stp>
        <stp>0</stp>
        <stp>0</stp>
        <stp>0</stp>
        <stp>0</stp>
        <stp>0</stp>
        <tr r="G20" s="3"/>
      </tp>
      <tp>
        <v>5.9</v>
        <stp/>
        <stp>136</stp>
        <stp>BOOM</stp>
        <stp>SECTORSALESGROWTH12M</stp>
        <stp>0</stp>
        <stp>0</stp>
        <stp>0</stp>
        <stp>0</stp>
        <stp>0</stp>
        <tr r="G34" s="3"/>
      </tp>
      <tp>
        <v>11274</v>
        <stp/>
        <stp>136</stp>
        <stp>MSFT</stp>
        <stp>DEPRECIATIONAMORTCF12M</stp>
        <stp>0</stp>
        <stp>0</stp>
        <stp>0</stp>
        <stp>0</stp>
        <stp>0</stp>
        <tr r="L45" s="1"/>
      </tp>
      <tp>
        <v>52</v>
        <stp/>
        <stp>136</stp>
        <stp>MSFT</stp>
        <stp>PCNTRANKTOTALLIABILITIESASSETSQ1</stp>
        <stp>0</stp>
        <stp>0</stp>
        <stp>0</stp>
        <stp>0</stp>
        <stp>0</stp>
        <tr r="C101" s="7"/>
      </tp>
      <tp>
        <v>0</v>
        <stp/>
        <stp>136</stp>
        <stp>MSFT</stp>
        <stp>ADJTOINCOME12M</stp>
        <stp>0</stp>
        <stp>0</stp>
        <stp>0</stp>
        <stp>0</stp>
        <stp>0</stp>
        <tr r="L26" s="1"/>
      </tp>
      <tp t="s">
        <v>Inve$tWare Buy Price</v>
        <stp/>
        <stp>137</stp>
        <stp/>
        <stp>INVE$TWAREBUYPRICE</stp>
        <stp>0</stp>
        <stp>0</stp>
        <stp>0</stp>
        <stp>0</stp>
        <stp>0</stp>
        <tr r="B23" s="9"/>
      </tp>
      <tp>
        <v>6.6</v>
        <stp/>
        <stp>136</stp>
        <stp>BOOM</stp>
        <stp>CAPITALEXPENDITURESQ_X</stp>
        <stp>1</stp>
        <stp>0</stp>
        <stp>0</stp>
        <stp>0</stp>
        <stp>0</stp>
        <tr r="C44" s="11"/>
        <tr r="C44" s="12"/>
      </tp>
      <tp>
        <v>10.4</v>
        <stp/>
        <stp>136</stp>
        <stp>BOOM</stp>
        <stp>CAPITALEXPENDITURESQ_X</stp>
        <stp>3</stp>
        <stp>0</stp>
        <stp>0</stp>
        <stp>0</stp>
        <stp>0</stp>
        <tr r="E44" s="11"/>
        <tr r="E44" s="12"/>
      </tp>
      <tp>
        <v>18.5</v>
        <stp/>
        <stp>136</stp>
        <stp>BOOM</stp>
        <stp>CAPITALEXPENDITURESQ_X</stp>
        <stp>2</stp>
        <stp>0</stp>
        <stp>0</stp>
        <stp>0</stp>
        <stp>0</stp>
        <tr r="D44" s="12"/>
        <tr r="D44" s="11"/>
      </tp>
      <tp>
        <v>5.3</v>
        <stp/>
        <stp>136</stp>
        <stp>BOOM</stp>
        <stp>CAPITALEXPENDITURESQ_X</stp>
        <stp>5</stp>
        <stp>0</stp>
        <stp>0</stp>
        <stp>0</stp>
        <stp>0</stp>
        <tr r="G44" s="11"/>
        <tr r="G44" s="12"/>
      </tp>
      <tp>
        <v>16.2</v>
        <stp/>
        <stp>136</stp>
        <stp>BOOM</stp>
        <stp>CAPITALEXPENDITURESQ_X</stp>
        <stp>4</stp>
        <stp>0</stp>
        <stp>0</stp>
        <stp>0</stp>
        <stp>0</stp>
        <tr r="F44" s="11"/>
        <tr r="F44" s="12"/>
      </tp>
      <tp>
        <v>1.1000000000000001</v>
        <stp/>
        <stp>136</stp>
        <stp>BOOM</stp>
        <stp>CAPITALEXPENDITURESQ_X</stp>
        <stp>7</stp>
        <stp>0</stp>
        <stp>0</stp>
        <stp>0</stp>
        <stp>0</stp>
        <tr r="I44" s="11"/>
        <tr r="I44" s="12"/>
      </tp>
      <tp>
        <v>2.9</v>
        <stp/>
        <stp>136</stp>
        <stp>BOOM</stp>
        <stp>CAPITALEXPENDITURESQ_X</stp>
        <stp>6</stp>
        <stp>0</stp>
        <stp>0</stp>
        <stp>0</stp>
        <stp>0</stp>
        <tr r="H44" s="11"/>
        <tr r="H44" s="12"/>
      </tp>
      <tp>
        <v>2.2000000000000002</v>
        <stp/>
        <stp>136</stp>
        <stp>BOOM</stp>
        <stp>CAPITALEXPENDITURESQ_X</stp>
        <stp>8</stp>
        <stp>0</stp>
        <stp>0</stp>
        <stp>0</stp>
        <stp>0</stp>
        <tr r="J44" s="11"/>
        <tr r="J44" s="12"/>
      </tp>
      <tp>
        <v>25.5</v>
        <stp/>
        <stp>136</stp>
        <stp>BOOM</stp>
        <stp>INDUSTRYGROSSINCOMEGROWTH12M</stp>
        <stp>0</stp>
        <stp>0</stp>
        <stp>0</stp>
        <stp>0</stp>
        <stp>0</stp>
        <tr r="G21" s="3"/>
      </tp>
      <tp>
        <v>-8.5</v>
        <stp/>
        <stp>136</stp>
        <stp>MSFT</stp>
        <stp>INDUSTRYNETMARGIN12M</stp>
        <stp>0</stp>
        <stp>0</stp>
        <stp>0</stp>
        <stp>0</stp>
        <stp>0</stp>
        <tr r="C35" s="7"/>
      </tp>
      <tp>
        <v>0</v>
        <stp/>
        <stp>136</stp>
        <stp>MSFT</stp>
        <stp>SECTORPAYOUTRATIO12M</stp>
        <stp>0</stp>
        <stp>0</stp>
        <stp>0</stp>
        <stp>0</stp>
        <stp>0</stp>
        <tr r="C70" s="7"/>
      </tp>
      <tp t="s">
        <v>Other Current Liabilities</v>
        <stp/>
        <stp>137</stp>
        <stp/>
        <stp>OTHERCURRENTLIABILITIESQ_X</stp>
        <stp>0</stp>
        <stp>0</stp>
        <stp>0</stp>
        <stp>0</stp>
        <stp>0</stp>
        <tr r="D35" s="13"/>
        <tr r="B71" s="11"/>
        <tr r="B73" s="1"/>
        <tr r="B71" s="12"/>
      </tp>
      <tp>
        <v>5.7</v>
        <stp/>
        <stp>136</stp>
        <stp>MSFT</stp>
        <stp>SECTORRECEIVABLESTURNOVERY_X</stp>
        <stp>1</stp>
        <stp>0</stp>
        <stp>0</stp>
        <stp>0</stp>
        <stp>0</stp>
        <tr r="D79" s="7"/>
      </tp>
      <tp>
        <v>5.8</v>
        <stp/>
        <stp>136</stp>
        <stp>MSFT</stp>
        <stp>SECTORRECEIVABLESTURNOVERY_X</stp>
        <stp>2</stp>
        <stp>0</stp>
        <stp>0</stp>
        <stp>0</stp>
        <stp>0</stp>
        <tr r="E79" s="7"/>
      </tp>
      <tp>
        <v>5.9</v>
        <stp/>
        <stp>136</stp>
        <stp>MSFT</stp>
        <stp>SECTORRECEIVABLESTURNOVERY_X</stp>
        <stp>3</stp>
        <stp>0</stp>
        <stp>0</stp>
        <stp>0</stp>
        <stp>0</stp>
        <tr r="F79" s="7"/>
      </tp>
      <tp>
        <v>5.8</v>
        <stp/>
        <stp>136</stp>
        <stp>MSFT</stp>
        <stp>SECTORRECEIVABLESTURNOVERY_X</stp>
        <stp>4</stp>
        <stp>0</stp>
        <stp>0</stp>
        <stp>0</stp>
        <stp>0</stp>
        <tr r="G79" s="7"/>
      </tp>
      <tp>
        <v>5.8</v>
        <stp/>
        <stp>136</stp>
        <stp>MSFT</stp>
        <stp>SECTORRECEIVABLESTURNOVERY_X</stp>
        <stp>5</stp>
        <stp>0</stp>
        <stp>0</stp>
        <stp>0</stp>
        <stp>0</stp>
        <tr r="H79" s="7"/>
      </tp>
      <tp>
        <v>5.7</v>
        <stp/>
        <stp>136</stp>
        <stp>MSFT</stp>
        <stp>SECTORRECEIVABLESTURNOVERY_X</stp>
        <stp>6</stp>
        <stp>0</stp>
        <stp>0</stp>
        <stp>0</stp>
        <stp>0</stp>
        <tr r="I79" s="7"/>
      </tp>
      <tp>
        <v>5.6</v>
        <stp/>
        <stp>136</stp>
        <stp>MSFT</stp>
        <stp>SECTORRECEIVABLESTURNOVERY_X</stp>
        <stp>7</stp>
        <stp>0</stp>
        <stp>0</stp>
        <stp>0</stp>
        <stp>0</stp>
        <tr r="J79" s="7"/>
      </tp>
      <tp t="s">
        <v>CUPERTINO</v>
        <stp/>
        <stp>136</stp>
        <stp>AAPL</stp>
        <stp>CITY</stp>
        <stp>0</stp>
        <stp>0</stp>
        <stp>0</stp>
        <stp>0</stp>
        <stp>0</stp>
        <tr r="C6" s="5"/>
      </tp>
      <tp>
        <v>92</v>
        <stp/>
        <stp>136</stp>
        <stp>MSFT</stp>
        <stp>PCNTRANKPRICEPERBOOK</stp>
        <stp>0</stp>
        <stp>0</stp>
        <stp>0</stp>
        <stp>0</stp>
        <stp>0</stp>
        <tr r="C31" s="6"/>
      </tp>
      <tp t="s">
        <v>Sector Price/CFPS</v>
        <stp/>
        <stp>137</stp>
        <stp/>
        <stp>SECTORPRICEPERCFPS</stp>
        <stp>0</stp>
        <stp>0</stp>
        <stp>0</stp>
        <stp>0</stp>
        <stp>0</stp>
        <tr r="B25" s="6"/>
      </tp>
      <tp>
        <v>82.26</v>
        <stp/>
        <stp>136</stp>
        <stp>MSFT</stp>
        <stp>VALUATIONAVEPRICEFCF</stp>
        <stp>0</stp>
        <stp>0</stp>
        <stp>0</stp>
        <stp>0</stp>
        <stp>0</stp>
        <tr r="C14" s="9"/>
      </tp>
      <tp>
        <v>82</v>
        <stp/>
        <stp>136</stp>
        <stp>MSFT</stp>
        <stp>PCNTRANKINVENTORYTURNOVER12M</stp>
        <stp>0</stp>
        <stp>0</stp>
        <stp>0</stp>
        <stp>0</stp>
        <stp>0</stp>
        <tr r="C107" s="7"/>
      </tp>
      <tp>
        <v>312.60000000000002</v>
        <stp/>
        <stp>136</stp>
        <stp>BOOM</stp>
        <stp>EPSDILCONTGROWTHQ5TOQ1</stp>
        <stp>0</stp>
        <stp>0</stp>
        <stp>0</stp>
        <stp>0</stp>
        <stp>0</stp>
        <tr r="H14" s="3"/>
      </tp>
      <tp t="s">
        <v>NA</v>
        <stp/>
        <stp>136</stp>
        <stp>BOOM</stp>
        <stp>EPSDILCONTGROWTHQ6TOQ2</stp>
        <stp>0</stp>
        <stp>0</stp>
        <stp>0</stp>
        <stp>0</stp>
        <stp>0</stp>
        <tr r="I14" s="3"/>
      </tp>
      <tp>
        <v>133.6</v>
        <stp/>
        <stp>136</stp>
        <stp>BOOM</stp>
        <stp>EPSDILCONTGROWTHQ7TOQ3</stp>
        <stp>0</stp>
        <stp>0</stp>
        <stp>0</stp>
        <stp>0</stp>
        <stp>0</stp>
        <tr r="J14" s="3"/>
      </tp>
      <tp t="s">
        <v>BioTelemetry Inc</v>
        <stp/>
        <stp>136</stp>
        <stp>BEAT</stp>
        <stp>NAME</stp>
        <stp>0</stp>
        <stp>0</stp>
        <stp>0</stp>
        <stp>0</stp>
        <stp>0</stp>
        <tr r="D3" s="13"/>
      </tp>
      <tp t="s">
        <v>NA</v>
        <stp/>
        <stp>136</stp>
        <stp>MSFT</stp>
        <stp>VALUATIONAVECF</stp>
        <stp>0</stp>
        <stp>0</stp>
        <stp>0</stp>
        <stp>0</stp>
        <stp>0</stp>
        <tr r="C13" s="9"/>
      </tp>
      <tp>
        <v>8069</v>
        <stp/>
        <stp>136</stp>
        <stp>MSFT</stp>
        <stp>INCOMEFORPRIMARYEPSQ_X</stp>
        <stp>8</stp>
        <stp>0</stp>
        <stp>0</stp>
        <stp>0</stp>
        <stp>0</stp>
        <tr r="J27" s="1"/>
      </tp>
      <tp>
        <v>8809</v>
        <stp/>
        <stp>136</stp>
        <stp>MSFT</stp>
        <stp>INCOMEFORPRIMARYEPSQ_X</stp>
        <stp>1</stp>
        <stp>0</stp>
        <stp>0</stp>
        <stp>0</stp>
        <stp>0</stp>
        <tr r="C27" s="1"/>
      </tp>
      <tp>
        <v>8824</v>
        <stp/>
        <stp>136</stp>
        <stp>MSFT</stp>
        <stp>INCOMEFORPRIMARYEPSQ_X</stp>
        <stp>3</stp>
        <stp>0</stp>
        <stp>0</stp>
        <stp>0</stp>
        <stp>0</stp>
        <tr r="E27" s="1"/>
      </tp>
      <tp>
        <v>8420</v>
        <stp/>
        <stp>136</stp>
        <stp>MSFT</stp>
        <stp>INCOMEFORPRIMARYEPSQ_X</stp>
        <stp>2</stp>
        <stp>0</stp>
        <stp>0</stp>
        <stp>0</stp>
        <stp>0</stp>
        <tr r="D27" s="1"/>
      </tp>
      <tp>
        <v>7424</v>
        <stp/>
        <stp>136</stp>
        <stp>MSFT</stp>
        <stp>INCOMEFORPRIMARYEPSQ_X</stp>
        <stp>5</stp>
        <stp>0</stp>
        <stp>0</stp>
        <stp>0</stp>
        <stp>0</stp>
        <tr r="G27" s="1"/>
      </tp>
      <tp>
        <v>8769</v>
        <stp/>
        <stp>136</stp>
        <stp>MSFT</stp>
        <stp>INCOMEFORPRIMARYEPSQ_X</stp>
        <stp>4</stp>
        <stp>0</stp>
        <stp>0</stp>
        <stp>0</stp>
        <stp>0</stp>
        <tr r="F27" s="1"/>
      </tp>
      <tp>
        <v>6576</v>
        <stp/>
        <stp>136</stp>
        <stp>MSFT</stp>
        <stp>INCOMEFORPRIMARYEPSQ_X</stp>
        <stp>7</stp>
        <stp>0</stp>
        <stp>0</stp>
        <stp>0</stp>
        <stp>0</stp>
        <tr r="I27" s="1"/>
      </tp>
      <tp>
        <v>7498</v>
        <stp/>
        <stp>136</stp>
        <stp>MSFT</stp>
        <stp>INCOMEFORPRIMARYEPSQ_X</stp>
        <stp>6</stp>
        <stp>0</stp>
        <stp>0</stp>
        <stp>0</stp>
        <stp>0</stp>
        <tr r="H27" s="1"/>
      </tp>
      <tp>
        <v>46.8</v>
        <stp/>
        <stp>136</stp>
        <stp>MSFT</stp>
        <stp>SECTORGROSSMARGINY_X</stp>
        <stp>5</stp>
        <stp>0</stp>
        <stp>0</stp>
        <stp>0</stp>
        <stp>0</stp>
        <tr r="H60" s="7"/>
      </tp>
      <tp>
        <v>46.1</v>
        <stp/>
        <stp>136</stp>
        <stp>MSFT</stp>
        <stp>SECTORGROSSMARGINY_X</stp>
        <stp>4</stp>
        <stp>0</stp>
        <stp>0</stp>
        <stp>0</stp>
        <stp>0</stp>
        <tr r="G60" s="7"/>
      </tp>
      <tp>
        <v>42.4</v>
        <stp/>
        <stp>136</stp>
        <stp>MSFT</stp>
        <stp>SECTORGROSSMARGINY_X</stp>
        <stp>7</stp>
        <stp>0</stp>
        <stp>0</stp>
        <stp>0</stp>
        <stp>0</stp>
        <tr r="J60" s="7"/>
      </tp>
      <tp>
        <v>45</v>
        <stp/>
        <stp>136</stp>
        <stp>MSFT</stp>
        <stp>SECTORGROSSMARGINY_X</stp>
        <stp>6</stp>
        <stp>0</stp>
        <stp>0</stp>
        <stp>0</stp>
        <stp>0</stp>
        <tr r="I60" s="7"/>
      </tp>
      <tp>
        <v>49.3</v>
        <stp/>
        <stp>136</stp>
        <stp>MSFT</stp>
        <stp>SECTORGROSSMARGINY_X</stp>
        <stp>1</stp>
        <stp>0</stp>
        <stp>0</stp>
        <stp>0</stp>
        <stp>0</stp>
        <tr r="D60" s="7"/>
      </tp>
      <tp>
        <v>47.8</v>
        <stp/>
        <stp>136</stp>
        <stp>MSFT</stp>
        <stp>SECTORGROSSMARGINY_X</stp>
        <stp>3</stp>
        <stp>0</stp>
        <stp>0</stp>
        <stp>0</stp>
        <stp>0</stp>
        <tr r="F60" s="7"/>
      </tp>
      <tp>
        <v>49.5</v>
        <stp/>
        <stp>136</stp>
        <stp>MSFT</stp>
        <stp>SECTORGROSSMARGINY_X</stp>
        <stp>2</stp>
        <stp>0</stp>
        <stp>0</stp>
        <stp>0</stp>
        <stp>0</stp>
        <tr r="E60" s="7"/>
      </tp>
      <tp t="s">
        <v>Dmc Global Inc</v>
        <stp/>
        <stp>136</stp>
        <stp>BOOM</stp>
        <stp>NAME</stp>
        <stp>0</stp>
        <stp>0</stp>
        <stp>0</stp>
        <stp>0</stp>
        <stp>0</stp>
        <tr r="E3" s="3"/>
        <tr r="E3" s="11"/>
        <tr r="E3" s="12"/>
      </tp>
      <tp>
        <v>539.20000000000005</v>
        <stp/>
        <stp>136</stp>
        <stp>MSFT</stp>
        <stp>PRICEPERCFPS</stp>
        <stp>0</stp>
        <stp>0</stp>
        <stp>0</stp>
        <stp>0</stp>
        <stp>0</stp>
        <tr r="C9" s="6"/>
      </tp>
      <tp>
        <v>124.3</v>
        <stp/>
        <stp>136</stp>
        <stp>BOOM</stp>
        <stp>GROSSINCOME12M</stp>
        <stp>0</stp>
        <stp>0</stp>
        <stp>0</stp>
        <stp>0</stp>
        <stp>0</stp>
        <tr r="L9" s="11"/>
        <tr r="L9" s="12"/>
      </tp>
      <tp>
        <v>-10.95</v>
        <stp/>
        <stp>136</stp>
        <stp>BOOM</stp>
        <stp>DCFQ_X</stp>
        <stp>4</stp>
        <stp>0</stp>
        <stp>0</stp>
        <stp>0</stp>
        <stp>0</stp>
        <tr r="F50" s="12"/>
        <tr r="F50" s="11"/>
      </tp>
      <tp>
        <v>-0.17</v>
        <stp/>
        <stp>136</stp>
        <stp>BOOM</stp>
        <stp>DCFQ_X</stp>
        <stp>2</stp>
        <stp>0</stp>
        <stp>0</stp>
        <stp>0</stp>
        <stp>0</stp>
        <tr r="D50" s="11"/>
        <tr r="D50" s="12"/>
      </tp>
      <tp>
        <v>-19.149999999999999</v>
        <stp/>
        <stp>136</stp>
        <stp>BOOM</stp>
        <stp>DCFQ_X</stp>
        <stp>3</stp>
        <stp>0</stp>
        <stp>0</stp>
        <stp>0</stp>
        <stp>0</stp>
        <tr r="E50" s="11"/>
        <tr r="E50" s="12"/>
      </tp>
      <tp>
        <v>5.41</v>
        <stp/>
        <stp>136</stp>
        <stp>BOOM</stp>
        <stp>DCFQ_X</stp>
        <stp>1</stp>
        <stp>0</stp>
        <stp>0</stp>
        <stp>0</stp>
        <stp>0</stp>
        <tr r="C50" s="12"/>
        <tr r="C50" s="11"/>
      </tp>
      <tp>
        <v>40</v>
        <stp/>
        <stp>136</stp>
        <stp>AAPL</stp>
        <stp>INDUSTRYPRICEASPCNTOF52WEEKHIGH</stp>
        <stp>0</stp>
        <stp>0</stp>
        <stp>0</stp>
        <stp>0</stp>
        <stp>0</stp>
        <tr r="D25" s="5"/>
      </tp>
      <tp>
        <v>92</v>
        <stp/>
        <stp>136</stp>
        <stp>MSFT</stp>
        <stp>PCNTRANKPRICEPERCFPS1YEARAGO</stp>
        <stp>0</stp>
        <stp>0</stp>
        <stp>0</stp>
        <stp>0</stp>
        <stp>0</stp>
        <tr r="D33" s="6"/>
      </tp>
      <tp>
        <v>71</v>
        <stp/>
        <stp>136</stp>
        <stp>MSFT</stp>
        <stp>PCNTRANKPAYOUTRATIO12M</stp>
        <stp>0</stp>
        <stp>0</stp>
        <stp>0</stp>
        <stp>0</stp>
        <stp>0</stp>
        <tr r="C97" s="7"/>
      </tp>
      <tp>
        <v>-100.1</v>
        <stp/>
        <stp>136</stp>
        <stp>BOOM</stp>
        <stp>FREECASHFLOWGROWTH7Y</stp>
        <stp>0</stp>
        <stp>0</stp>
        <stp>0</stp>
        <stp>0</stp>
        <stp>0</stp>
        <tr r="F16" s="3"/>
      </tp>
      <tp>
        <v>-26.7</v>
        <stp/>
        <stp>136</stp>
        <stp>BOOM</stp>
        <stp>FREECASHFLOWGROWTH5Y</stp>
        <stp>0</stp>
        <stp>0</stp>
        <stp>0</stp>
        <stp>0</stp>
        <stp>0</stp>
        <tr r="E16" s="3"/>
      </tp>
      <tp>
        <v>-43</v>
        <stp/>
        <stp>136</stp>
        <stp>BOOM</stp>
        <stp>FREECASHFLOWGROWTH3Y</stp>
        <stp>0</stp>
        <stp>0</stp>
        <stp>0</stp>
        <stp>0</stp>
        <stp>0</stp>
        <tr r="D16" s="3"/>
      </tp>
      <tp t="s">
        <v>NA</v>
        <stp/>
        <stp>136</stp>
        <stp>BOOM</stp>
        <stp>FREECASHFLOWGROWTH1Y</stp>
        <stp>0</stp>
        <stp>0</stp>
        <stp>0</stp>
        <stp>0</stp>
        <stp>0</stp>
        <tr r="C16" s="3"/>
      </tp>
      <tp>
        <v>6950</v>
        <stp/>
        <stp>136</stp>
        <stp>MSFT</stp>
        <stp>INCOMETAX12M</stp>
        <stp>0</stp>
        <stp>0</stp>
        <stp>0</stp>
        <stp>0</stp>
        <stp>0</stp>
        <tr r="L23" s="1"/>
      </tp>
      <tp t="s">
        <v>Market Cap Q1</v>
        <stp/>
        <stp>137</stp>
        <stp/>
        <stp>MARKETCAPQ1</stp>
        <stp>0</stp>
        <stp>0</stp>
        <stp>0</stp>
        <stp>0</stp>
        <stp>0</stp>
        <tr r="B39" s="5"/>
      </tp>
      <tp t="s">
        <v>Industry Sales</v>
        <stp/>
        <stp>137</stp>
        <stp/>
        <stp>INDUSTRYSALESY_X</stp>
        <stp>0</stp>
        <stp>0</stp>
        <stp>0</stp>
        <stp>0</stp>
        <stp>0</stp>
        <tr r="B32" s="7"/>
      </tp>
      <tp>
        <v>7.7</v>
        <stp/>
        <stp>136</stp>
        <stp>BEAT</stp>
        <stp>INVENTORYQ_X</stp>
        <stp>4</stp>
        <stp>0</stp>
        <stp>0</stp>
        <stp>0</stp>
        <stp>0</stp>
        <tr r="I30" s="13"/>
      </tp>
      <tp>
        <v>7.3</v>
        <stp/>
        <stp>136</stp>
        <stp>BEAT</stp>
        <stp>INVENTORYQ_X</stp>
        <stp>2</stp>
        <stp>0</stp>
        <stp>0</stp>
        <stp>0</stp>
        <stp>0</stp>
        <tr r="G30" s="13"/>
      </tp>
      <tp>
        <v>8.8000000000000007</v>
        <stp/>
        <stp>136</stp>
        <stp>BEAT</stp>
        <stp>INVENTORYQ_X</stp>
        <stp>3</stp>
        <stp>0</stp>
        <stp>0</stp>
        <stp>0</stp>
        <stp>0</stp>
        <tr r="H30" s="13"/>
      </tp>
      <tp>
        <v>9</v>
        <stp/>
        <stp>136</stp>
        <stp>BEAT</stp>
        <stp>INVENTORYQ_X</stp>
        <stp>1</stp>
        <stp>0</stp>
        <stp>0</stp>
        <stp>0</stp>
        <stp>0</stp>
        <tr r="F30" s="13"/>
      </tp>
      <tp t="s">
        <v>Healthcare</v>
        <stp/>
        <stp>136</stp>
        <stp>BEAT</stp>
        <stp>SECTOR</stp>
        <stp>0</stp>
        <stp>0</stp>
        <stp>0</stp>
        <stp>0</stp>
        <stp>0</stp>
        <tr r="D4" s="13"/>
      </tp>
      <tp>
        <v>5.4</v>
        <stp/>
        <stp>136</stp>
        <stp>BOOM</stp>
        <stp>DEPRECIATIONAMORTCFQ_X</stp>
        <stp>8</stp>
        <stp>0</stp>
        <stp>0</stp>
        <stp>0</stp>
        <stp>0</stp>
        <tr r="J43" s="11"/>
        <tr r="J43" s="12"/>
      </tp>
      <tp>
        <v>2.2000000000000002</v>
        <stp/>
        <stp>136</stp>
        <stp>BOOM</stp>
        <stp>DEPRECIATIONAMORTCFQ_X</stp>
        <stp>1</stp>
        <stp>0</stp>
        <stp>0</stp>
        <stp>0</stp>
        <stp>0</stp>
        <tr r="C43" s="11"/>
        <tr r="C43" s="12"/>
      </tp>
      <tp>
        <v>2.4</v>
        <stp/>
        <stp>136</stp>
        <stp>BOOM</stp>
        <stp>DEPRECIATIONAMORTCFQ_X</stp>
        <stp>3</stp>
        <stp>0</stp>
        <stp>0</stp>
        <stp>0</stp>
        <stp>0</stp>
        <tr r="E43" s="12"/>
        <tr r="E43" s="11"/>
      </tp>
      <tp>
        <v>2.4</v>
        <stp/>
        <stp>136</stp>
        <stp>BOOM</stp>
        <stp>DEPRECIATIONAMORTCFQ_X</stp>
        <stp>2</stp>
        <stp>0</stp>
        <stp>0</stp>
        <stp>0</stp>
        <stp>0</stp>
        <tr r="D43" s="12"/>
        <tr r="D43" s="11"/>
      </tp>
      <tp>
        <v>2.4</v>
        <stp/>
        <stp>136</stp>
        <stp>BOOM</stp>
        <stp>DEPRECIATIONAMORTCFQ_X</stp>
        <stp>5</stp>
        <stp>0</stp>
        <stp>0</stp>
        <stp>0</stp>
        <stp>0</stp>
        <tr r="G43" s="11"/>
        <tr r="G43" s="12"/>
      </tp>
      <tp>
        <v>4.8</v>
        <stp/>
        <stp>136</stp>
        <stp>BOOM</stp>
        <stp>DEPRECIATIONAMORTCFQ_X</stp>
        <stp>4</stp>
        <stp>0</stp>
        <stp>0</stp>
        <stp>0</stp>
        <stp>0</stp>
        <tr r="F43" s="11"/>
        <tr r="F43" s="12"/>
      </tp>
      <tp>
        <v>2.7</v>
        <stp/>
        <stp>136</stp>
        <stp>BOOM</stp>
        <stp>DEPRECIATIONAMORTCFQ_X</stp>
        <stp>7</stp>
        <stp>0</stp>
        <stp>0</stp>
        <stp>0</stp>
        <stp>0</stp>
        <tr r="I43" s="11"/>
        <tr r="I43" s="12"/>
      </tp>
      <tp>
        <v>2.5</v>
        <stp/>
        <stp>136</stp>
        <stp>BOOM</stp>
        <stp>DEPRECIATIONAMORTCFQ_X</stp>
        <stp>6</stp>
        <stp>0</stp>
        <stp>0</stp>
        <stp>0</stp>
        <stp>0</stp>
        <tr r="H43" s="12"/>
        <tr r="H43" s="11"/>
      </tp>
      <tp>
        <v>131.78</v>
        <stp/>
        <stp>136</stp>
        <stp>AAPL</stp>
        <stp>PERELATIVEVALUATIONPCNTPRICE</stp>
        <stp>0</stp>
        <stp>0</stp>
        <stp>0</stp>
        <stp>0</stp>
        <stp>0</stp>
        <tr r="C96" s="5"/>
      </tp>
      <tp>
        <v>15.5</v>
        <stp/>
        <stp>136</stp>
        <stp>MSFT</stp>
        <stp>INVENTORYTURNOVERY_X</stp>
        <stp>2</stp>
        <stp>0</stp>
        <stp>0</stp>
        <stp>0</stp>
        <stp>0</stp>
        <tr r="E26" s="7"/>
      </tp>
      <tp>
        <v>12.7</v>
        <stp/>
        <stp>136</stp>
        <stp>MSFT</stp>
        <stp>INVENTORYTURNOVERY_X</stp>
        <stp>3</stp>
        <stp>0</stp>
        <stp>0</stp>
        <stp>0</stp>
        <stp>0</stp>
        <tr r="F26" s="7"/>
      </tp>
      <tp>
        <v>15.8</v>
        <stp/>
        <stp>136</stp>
        <stp>MSFT</stp>
        <stp>INVENTORYTURNOVERY_X</stp>
        <stp>1</stp>
        <stp>0</stp>
        <stp>0</stp>
        <stp>0</stp>
        <stp>0</stp>
        <tr r="D26" s="7"/>
      </tp>
      <tp>
        <v>13.3</v>
        <stp/>
        <stp>136</stp>
        <stp>MSFT</stp>
        <stp>INVENTORYTURNOVERY_X</stp>
        <stp>6</stp>
        <stp>0</stp>
        <stp>0</stp>
        <stp>0</stp>
        <stp>0</stp>
        <tr r="I26" s="7"/>
      </tp>
      <tp>
        <v>14</v>
        <stp/>
        <stp>136</stp>
        <stp>MSFT</stp>
        <stp>INVENTORYTURNOVERY_X</stp>
        <stp>7</stp>
        <stp>0</stp>
        <stp>0</stp>
        <stp>0</stp>
        <stp>0</stp>
        <tr r="J26" s="7"/>
      </tp>
      <tp>
        <v>11.9</v>
        <stp/>
        <stp>136</stp>
        <stp>MSFT</stp>
        <stp>INVENTORYTURNOVERY_X</stp>
        <stp>4</stp>
        <stp>0</stp>
        <stp>0</stp>
        <stp>0</stp>
        <stp>0</stp>
        <tr r="G26" s="7"/>
      </tp>
      <tp>
        <v>11.8</v>
        <stp/>
        <stp>136</stp>
        <stp>MSFT</stp>
        <stp>INVENTORYTURNOVERY_X</stp>
        <stp>5</stp>
        <stp>0</stp>
        <stp>0</stp>
        <stp>0</stp>
        <stp>0</stp>
        <tr r="H26" s="7"/>
      </tp>
      <tp>
        <v>50.9</v>
        <stp/>
        <stp>136</stp>
        <stp>BOOM</stp>
        <stp>INVENTORYQ_X</stp>
        <stp>1</stp>
        <stp>0</stp>
        <stp>0</stp>
        <stp>0</stp>
        <stp>0</stp>
        <tr r="C58" s="12"/>
        <tr r="C58" s="11"/>
      </tp>
      <tp>
        <v>51.1</v>
        <stp/>
        <stp>136</stp>
        <stp>BOOM</stp>
        <stp>INVENTORYQ_X</stp>
        <stp>2</stp>
        <stp>0</stp>
        <stp>0</stp>
        <stp>0</stp>
        <stp>0</stp>
        <tr r="D58" s="12"/>
        <tr r="D58" s="11"/>
      </tp>
      <tp>
        <v>56.5</v>
        <stp/>
        <stp>136</stp>
        <stp>BOOM</stp>
        <stp>INVENTORYQ_X</stp>
        <stp>3</stp>
        <stp>0</stp>
        <stp>0</stp>
        <stp>0</stp>
        <stp>0</stp>
        <tr r="E58" s="11"/>
        <tr r="E58" s="12"/>
      </tp>
      <tp>
        <v>53.7</v>
        <stp/>
        <stp>136</stp>
        <stp>BOOM</stp>
        <stp>INVENTORYQ_X</stp>
        <stp>4</stp>
        <stp>0</stp>
        <stp>0</stp>
        <stp>0</stp>
        <stp>0</stp>
        <tr r="F58" s="12"/>
        <tr r="F58" s="11"/>
      </tp>
      <tp>
        <v>46.5</v>
        <stp/>
        <stp>136</stp>
        <stp>BOOM</stp>
        <stp>INVENTORYQ_X</stp>
        <stp>5</stp>
        <stp>0</stp>
        <stp>0</stp>
        <stp>0</stp>
        <stp>0</stp>
        <tr r="G58" s="11"/>
        <tr r="G58" s="12"/>
      </tp>
      <tp>
        <v>35.700000000000003</v>
        <stp/>
        <stp>136</stp>
        <stp>BOOM</stp>
        <stp>INVENTORYQ_X</stp>
        <stp>6</stp>
        <stp>0</stp>
        <stp>0</stp>
        <stp>0</stp>
        <stp>0</stp>
        <tr r="H58" s="12"/>
        <tr r="H58" s="11"/>
      </tp>
      <tp>
        <v>31.5</v>
        <stp/>
        <stp>136</stp>
        <stp>BOOM</stp>
        <stp>INVENTORYQ_X</stp>
        <stp>7</stp>
        <stp>0</stp>
        <stp>0</stp>
        <stp>0</stp>
        <stp>0</stp>
        <tr r="I58" s="11"/>
        <tr r="I58" s="12"/>
      </tp>
      <tp>
        <v>30.9</v>
        <stp/>
        <stp>136</stp>
        <stp>BOOM</stp>
        <stp>INVENTORYQ_X</stp>
        <stp>8</stp>
        <stp>0</stp>
        <stp>0</stp>
        <stp>0</stp>
        <stp>0</stp>
        <tr r="J58" s="12"/>
        <tr r="J58" s="11"/>
      </tp>
      <tp t="s">
        <v>Cash Flow-Growth</v>
        <stp/>
        <stp>137</stp>
        <stp/>
        <stp>CASHFLOWGROWTH1Y</stp>
        <stp>1</stp>
        <stp>0</stp>
        <stp>0</stp>
        <stp>0</stp>
        <stp>0</stp>
        <tr r="B15" s="3"/>
      </tp>
      <tp>
        <v>-2.8</v>
        <stp/>
        <stp>136</stp>
        <stp>MSFT</stp>
        <stp>INDUSTRYTIMESINTERESTEARNEDY_X</stp>
        <stp>5</stp>
        <stp>0</stp>
        <stp>0</stp>
        <stp>0</stp>
        <stp>0</stp>
        <tr r="H44" s="7"/>
      </tp>
      <tp>
        <v>-1.8</v>
        <stp/>
        <stp>136</stp>
        <stp>MSFT</stp>
        <stp>INDUSTRYTIMESINTERESTEARNEDY_X</stp>
        <stp>4</stp>
        <stp>0</stp>
        <stp>0</stp>
        <stp>0</stp>
        <stp>0</stp>
        <tr r="G44" s="7"/>
      </tp>
      <tp>
        <v>-2.2000000000000002</v>
        <stp/>
        <stp>136</stp>
        <stp>MSFT</stp>
        <stp>INDUSTRYTIMESINTERESTEARNEDY_X</stp>
        <stp>7</stp>
        <stp>0</stp>
        <stp>0</stp>
        <stp>0</stp>
        <stp>0</stp>
        <tr r="J44" s="7"/>
      </tp>
      <tp>
        <v>-2.4</v>
        <stp/>
        <stp>136</stp>
        <stp>MSFT</stp>
        <stp>INDUSTRYTIMESINTERESTEARNEDY_X</stp>
        <stp>6</stp>
        <stp>0</stp>
        <stp>0</stp>
        <stp>0</stp>
        <stp>0</stp>
        <tr r="I44" s="7"/>
      </tp>
      <tp>
        <v>-2.4</v>
        <stp/>
        <stp>136</stp>
        <stp>MSFT</stp>
        <stp>INDUSTRYTIMESINTERESTEARNEDY_X</stp>
        <stp>1</stp>
        <stp>0</stp>
        <stp>0</stp>
        <stp>0</stp>
        <stp>0</stp>
        <tr r="D44" s="7"/>
      </tp>
      <tp>
        <v>-4.0999999999999996</v>
        <stp/>
        <stp>136</stp>
        <stp>MSFT</stp>
        <stp>INDUSTRYTIMESINTERESTEARNEDY_X</stp>
        <stp>3</stp>
        <stp>0</stp>
        <stp>0</stp>
        <stp>0</stp>
        <stp>0</stp>
        <tr r="F44" s="7"/>
      </tp>
      <tp>
        <v>-3.8</v>
        <stp/>
        <stp>136</stp>
        <stp>MSFT</stp>
        <stp>INDUSTRYTIMESINTERESTEARNEDY_X</stp>
        <stp>2</stp>
        <stp>0</stp>
        <stp>0</stp>
        <stp>0</stp>
        <stp>0</stp>
        <tr r="E44" s="7"/>
      </tp>
      <tp>
        <v>69</v>
        <stp/>
        <stp>136</stp>
        <stp>MSFT</stp>
        <stp>PCNTRANKEPSGROWTHEST</stp>
        <stp>0</stp>
        <stp>0</stp>
        <stp>0</stp>
        <stp>0</stp>
        <stp>0</stp>
        <tr r="K6" s="8"/>
      </tp>
      <tp>
        <v>6.5</v>
        <stp/>
        <stp>136</stp>
        <stp>AAPL</stp>
        <stp>INDUSTRYINSIDEROWNERSHIPPCNT</stp>
        <stp>0</stp>
        <stp>0</stp>
        <stp>0</stp>
        <stp>0</stp>
        <stp>0</stp>
        <tr r="D32" s="5"/>
      </tp>
      <tp>
        <v>1.24</v>
        <stp/>
        <stp>136</stp>
        <stp>AAPL</stp>
        <stp>INDUSTRYBETA</stp>
        <stp>0</stp>
        <stp>0</stp>
        <stp>0</stp>
        <stp>0</stp>
        <stp>0</stp>
        <tr r="D38" s="5"/>
      </tp>
      <tp>
        <v>508324.446</v>
        <stp/>
        <stp>136</stp>
        <stp>MSFT</stp>
        <stp>PRICEVOLUMEM_X</stp>
        <stp>2</stp>
        <stp>0</stp>
        <stp>0</stp>
        <stp>0</stp>
        <stp>0</stp>
        <tr r="G17" s="4"/>
      </tp>
      <tp>
        <v>547218.46</v>
        <stp/>
        <stp>136</stp>
        <stp>MSFT</stp>
        <stp>PRICEVOLUMEM_X</stp>
        <stp>3</stp>
        <stp>0</stp>
        <stp>0</stp>
        <stp>0</stp>
        <stp>0</stp>
        <tr r="G18" s="4"/>
      </tp>
      <tp>
        <v>171401.39499999999</v>
        <stp/>
        <stp>136</stp>
        <stp>MSFT</stp>
        <stp>PRICEVOLUMEM_X</stp>
        <stp>1</stp>
        <stp>0</stp>
        <stp>0</stp>
        <stp>0</stp>
        <stp>0</stp>
        <tr r="G16" s="4"/>
      </tp>
      <tp>
        <v>469095.97399999999</v>
        <stp/>
        <stp>136</stp>
        <stp>MSFT</stp>
        <stp>PRICEVOLUMEM_X</stp>
        <stp>6</stp>
        <stp>0</stp>
        <stp>0</stp>
        <stp>0</stp>
        <stp>0</stp>
        <tr r="G21" s="4"/>
      </tp>
      <tp>
        <v>714204.79500000004</v>
        <stp/>
        <stp>136</stp>
        <stp>MSFT</stp>
        <stp>PRICEVOLUMEM_X</stp>
        <stp>7</stp>
        <stp>0</stp>
        <stp>0</stp>
        <stp>0</stp>
        <stp>0</stp>
        <tr r="G22" s="4"/>
      </tp>
      <tp>
        <v>433157.87</v>
        <stp/>
        <stp>136</stp>
        <stp>MSFT</stp>
        <stp>PRICEVOLUMEM_X</stp>
        <stp>4</stp>
        <stp>0</stp>
        <stp>0</stp>
        <stp>0</stp>
        <stp>0</stp>
        <tr r="G19" s="4"/>
      </tp>
      <tp>
        <v>589045.34699999995</v>
        <stp/>
        <stp>136</stp>
        <stp>MSFT</stp>
        <stp>PRICEVOLUMEM_X</stp>
        <stp>5</stp>
        <stp>0</stp>
        <stp>0</stp>
        <stp>0</stp>
        <stp>0</stp>
        <tr r="G20" s="4"/>
      </tp>
      <tp>
        <v>944287.64500000002</v>
        <stp/>
        <stp>136</stp>
        <stp>MSFT</stp>
        <stp>PRICEVOLUMEM_X</stp>
        <stp>8</stp>
        <stp>0</stp>
        <stp>0</stp>
        <stp>0</stp>
        <stp>0</stp>
        <tr r="G23" s="4"/>
      </tp>
      <tp>
        <v>720228.65</v>
        <stp/>
        <stp>136</stp>
        <stp>MSFT</stp>
        <stp>PRICEVOLUMEM_X</stp>
        <stp>9</stp>
        <stp>0</stp>
        <stp>0</stp>
        <stp>0</stp>
        <stp>0</stp>
        <tr r="G24" s="4"/>
      </tp>
      <tp>
        <v>12253928.752</v>
        <stp/>
        <stp>136</stp>
        <stp>MSFT</stp>
        <stp>PRICEVOLUMEY_X</stp>
        <stp>6</stp>
        <stp>0</stp>
        <stp>0</stp>
        <stp>0</stp>
        <stp>0</stp>
        <tr r="G12" s="4"/>
      </tp>
      <tp>
        <v>11984793.742000001</v>
        <stp/>
        <stp>136</stp>
        <stp>MSFT</stp>
        <stp>PRICEVOLUMEY_X</stp>
        <stp>7</stp>
        <stp>0</stp>
        <stp>0</stp>
        <stp>0</stp>
        <stp>0</stp>
        <tr r="G13" s="4"/>
      </tp>
      <tp>
        <v>9060335.8719999995</v>
        <stp/>
        <stp>136</stp>
        <stp>MSFT</stp>
        <stp>PRICEVOLUMEY_X</stp>
        <stp>4</stp>
        <stp>0</stp>
        <stp>0</stp>
        <stp>0</stp>
        <stp>0</stp>
        <tr r="G10" s="4"/>
      </tp>
      <tp>
        <v>8414785.4460000005</v>
        <stp/>
        <stp>136</stp>
        <stp>MSFT</stp>
        <stp>PRICEVOLUMEY_X</stp>
        <stp>5</stp>
        <stp>0</stp>
        <stp>0</stp>
        <stp>0</stp>
        <stp>0</stp>
        <tr r="G11" s="4"/>
      </tp>
      <tp>
        <v>5631915.0120000001</v>
        <stp/>
        <stp>136</stp>
        <stp>MSFT</stp>
        <stp>PRICEVOLUMEY_X</stp>
        <stp>2</stp>
        <stp>0</stp>
        <stp>0</stp>
        <stp>0</stp>
        <stp>0</stp>
        <tr r="G8" s="4"/>
      </tp>
      <tp>
        <v>7820699.6869999999</v>
        <stp/>
        <stp>136</stp>
        <stp>MSFT</stp>
        <stp>PRICEVOLUMEY_X</stp>
        <stp>3</stp>
        <stp>0</stp>
        <stp>0</stp>
        <stp>0</stp>
        <stp>0</stp>
        <tr r="G9" s="4"/>
      </tp>
      <tp>
        <v>7929390.9330000002</v>
        <stp/>
        <stp>136</stp>
        <stp>MSFT</stp>
        <stp>PRICEVOLUMEY_X</stp>
        <stp>1</stp>
        <stp>0</stp>
        <stp>0</stp>
        <stp>0</stp>
        <stp>0</stp>
        <tr r="G7" s="4"/>
      </tp>
      <tp>
        <v>38.700000000000003</v>
        <stp/>
        <stp>136</stp>
        <stp>MSFT</stp>
        <stp>PAYOUTRATIO12M</stp>
        <stp>0</stp>
        <stp>0</stp>
        <stp>0</stp>
        <stp>0</stp>
        <stp>0</stp>
        <tr r="C16" s="7"/>
      </tp>
      <tp>
        <v>-6</v>
        <stp/>
        <stp>136</stp>
        <stp>BEAT</stp>
        <stp>CASHFROMINVESTINGQ_X</stp>
        <stp>4</stp>
        <stp>0</stp>
        <stp>0</stp>
        <stp>0</stp>
        <stp>0</stp>
        <tr r="I24" s="13"/>
      </tp>
      <tp>
        <v>-49.9</v>
        <stp/>
        <stp>136</stp>
        <stp>BEAT</stp>
        <stp>CASHFROMINVESTINGQ_X</stp>
        <stp>1</stp>
        <stp>0</stp>
        <stp>0</stp>
        <stp>0</stp>
        <stp>0</stp>
        <tr r="F24" s="13"/>
      </tp>
      <tp>
        <v>-7.6</v>
        <stp/>
        <stp>136</stp>
        <stp>BEAT</stp>
        <stp>CASHFROMINVESTINGQ_X</stp>
        <stp>3</stp>
        <stp>0</stp>
        <stp>0</stp>
        <stp>0</stp>
        <stp>0</stp>
        <tr r="H24" s="13"/>
      </tp>
      <tp>
        <v>-11.4</v>
        <stp/>
        <stp>136</stp>
        <stp>BEAT</stp>
        <stp>CASHFROMINVESTINGQ_X</stp>
        <stp>2</stp>
        <stp>0</stp>
        <stp>0</stp>
        <stp>0</stp>
        <stp>0</stp>
        <tr r="G24" s="13"/>
      </tp>
      <tp>
        <v>38.799999999999997</v>
        <stp/>
        <stp>136</stp>
        <stp>Q</stp>
        <stp>SECTORFLOAT</stp>
        <stp>0</stp>
        <stp>0</stp>
        <stp>0</stp>
        <stp>0</stp>
        <stp>0</stp>
        <tr r="E85" s="12"/>
      </tp>
      <tp>
        <v>-10.4</v>
        <stp/>
        <stp>136</stp>
        <stp>BOOM</stp>
        <stp>CASHFROMINVESTINGQ_X</stp>
        <stp>3</stp>
        <stp>0</stp>
        <stp>0</stp>
        <stp>0</stp>
        <stp>0</stp>
        <tr r="E38" s="11"/>
        <tr r="E38" s="12"/>
      </tp>
      <tp>
        <v>-18.5</v>
        <stp/>
        <stp>136</stp>
        <stp>BOOM</stp>
        <stp>CASHFROMINVESTINGQ_X</stp>
        <stp>2</stp>
        <stp>0</stp>
        <stp>0</stp>
        <stp>0</stp>
        <stp>0</stp>
        <tr r="D38" s="12"/>
        <tr r="D38" s="11"/>
      </tp>
      <tp>
        <v>-6.4</v>
        <stp/>
        <stp>136</stp>
        <stp>BOOM</stp>
        <stp>CASHFROMINVESTINGQ_X</stp>
        <stp>1</stp>
        <stp>0</stp>
        <stp>0</stp>
        <stp>0</stp>
        <stp>0</stp>
        <tr r="C38" s="12"/>
        <tr r="C38" s="11"/>
      </tp>
      <tp>
        <v>-1.1000000000000001</v>
        <stp/>
        <stp>136</stp>
        <stp>BOOM</stp>
        <stp>CASHFROMINVESTINGQ_X</stp>
        <stp>7</stp>
        <stp>0</stp>
        <stp>0</stp>
        <stp>0</stp>
        <stp>0</stp>
        <tr r="I38" s="11"/>
        <tr r="I38" s="12"/>
      </tp>
      <tp>
        <v>-2.9</v>
        <stp/>
        <stp>136</stp>
        <stp>BOOM</stp>
        <stp>CASHFROMINVESTINGQ_X</stp>
        <stp>6</stp>
        <stp>0</stp>
        <stp>0</stp>
        <stp>0</stp>
        <stp>0</stp>
        <tr r="H38" s="12"/>
        <tr r="H38" s="11"/>
      </tp>
      <tp>
        <v>-5.3</v>
        <stp/>
        <stp>136</stp>
        <stp>BOOM</stp>
        <stp>CASHFROMINVESTINGQ_X</stp>
        <stp>5</stp>
        <stp>0</stp>
        <stp>0</stp>
        <stp>0</stp>
        <stp>0</stp>
        <tr r="G38" s="12"/>
        <tr r="G38" s="11"/>
      </tp>
      <tp>
        <v>-16.2</v>
        <stp/>
        <stp>136</stp>
        <stp>BOOM</stp>
        <stp>CASHFROMINVESTINGQ_X</stp>
        <stp>4</stp>
        <stp>0</stp>
        <stp>0</stp>
        <stp>0</stp>
        <stp>0</stp>
        <tr r="F38" s="12"/>
        <tr r="F38" s="11"/>
      </tp>
      <tp>
        <v>-2.2000000000000002</v>
        <stp/>
        <stp>136</stp>
        <stp>BOOM</stp>
        <stp>CASHFROMINVESTINGQ_X</stp>
        <stp>8</stp>
        <stp>0</stp>
        <stp>0</stp>
        <stp>0</stp>
        <stp>0</stp>
        <tr r="J38" s="11"/>
        <tr r="J38" s="12"/>
      </tp>
      <tp>
        <v>104.46</v>
        <stp/>
        <stp>136</stp>
        <stp>MSFT</stp>
        <stp>VALUATIONAVEPE</stp>
        <stp>0</stp>
        <stp>0</stp>
        <stp>0</stp>
        <stp>0</stp>
        <stp>0</stp>
        <tr r="C12" s="9"/>
      </tp>
      <tp t="s">
        <v>NA</v>
        <stp/>
        <stp>136</stp>
        <stp>BOOM</stp>
        <stp>ADJTOINCOMEQ_X</stp>
        <stp>8</stp>
        <stp>0</stp>
        <stp>0</stp>
        <stp>0</stp>
        <stp>0</stp>
        <tr r="J24" s="12"/>
        <tr r="J24" s="11"/>
      </tp>
      <tp>
        <v>-0.3</v>
        <stp/>
        <stp>136</stp>
        <stp>BOOM</stp>
        <stp>ADJTOINCOMEQ_X</stp>
        <stp>1</stp>
        <stp>0</stp>
        <stp>0</stp>
        <stp>0</stp>
        <stp>0</stp>
        <tr r="C24" s="12"/>
        <tr r="C24" s="11"/>
      </tp>
      <tp>
        <v>-0.1</v>
        <stp/>
        <stp>136</stp>
        <stp>BOOM</stp>
        <stp>ADJTOINCOMEQ_X</stp>
        <stp>3</stp>
        <stp>0</stp>
        <stp>0</stp>
        <stp>0</stp>
        <stp>0</stp>
        <tr r="E24" s="11"/>
        <tr r="E24" s="12"/>
      </tp>
      <tp>
        <v>-0.4</v>
        <stp/>
        <stp>136</stp>
        <stp>BOOM</stp>
        <stp>ADJTOINCOMEQ_X</stp>
        <stp>2</stp>
        <stp>0</stp>
        <stp>0</stp>
        <stp>0</stp>
        <stp>0</stp>
        <tr r="D24" s="11"/>
        <tr r="D24" s="12"/>
      </tp>
      <tp>
        <v>-0.1</v>
        <stp/>
        <stp>136</stp>
        <stp>BOOM</stp>
        <stp>ADJTOINCOMEQ_X</stp>
        <stp>5</stp>
        <stp>0</stp>
        <stp>0</stp>
        <stp>0</stp>
        <stp>0</stp>
        <tr r="G24" s="12"/>
        <tr r="G24" s="11"/>
      </tp>
      <tp>
        <v>-0.2</v>
        <stp/>
        <stp>136</stp>
        <stp>BOOM</stp>
        <stp>ADJTOINCOMEQ_X</stp>
        <stp>4</stp>
        <stp>0</stp>
        <stp>0</stp>
        <stp>0</stp>
        <stp>0</stp>
        <tr r="F24" s="12"/>
        <tr r="F24" s="11"/>
      </tp>
      <tp t="s">
        <v>NA</v>
        <stp/>
        <stp>136</stp>
        <stp>BOOM</stp>
        <stp>ADJTOINCOMEQ_X</stp>
        <stp>7</stp>
        <stp>0</stp>
        <stp>0</stp>
        <stp>0</stp>
        <stp>0</stp>
        <tr r="I24" s="11"/>
        <tr r="I24" s="12"/>
      </tp>
      <tp t="s">
        <v>NA</v>
        <stp/>
        <stp>136</stp>
        <stp>BOOM</stp>
        <stp>ADJTOINCOMEQ_X</stp>
        <stp>6</stp>
        <stp>0</stp>
        <stp>0</stp>
        <stp>0</stp>
        <stp>0</stp>
        <tr r="H24" s="11"/>
        <tr r="H24" s="12"/>
      </tp>
      <tp>
        <v>13854</v>
        <stp/>
        <stp>136</stp>
        <stp>MSFT</stp>
        <stp>CAPITALEXPENDITURES12M</stp>
        <stp>0</stp>
        <stp>0</stp>
        <stp>0</stp>
        <stp>0</stp>
        <stp>0</stp>
        <tr r="L46" s="1"/>
      </tp>
      <tp t="s">
        <v>1 Apple Park Way</v>
        <stp/>
        <stp>136</stp>
        <stp>AAPL</stp>
        <stp>STREET</stp>
        <stp>0</stp>
        <stp>0</stp>
        <stp>0</stp>
        <stp>0</stp>
        <stp>0</stp>
        <tr r="C5" s="5"/>
      </tp>
      <tp>
        <v>62.4</v>
        <stp/>
        <stp>136</stp>
        <stp>BOOM</stp>
        <stp>SALESGROWTH12M</stp>
        <stp>0</stp>
        <stp>0</stp>
        <stp>0</stp>
        <stp>0</stp>
        <stp>0</stp>
        <tr r="G6" s="3"/>
      </tp>
      <tp t="s">
        <v>NA</v>
        <stp/>
        <stp>136</stp>
        <stp>BOOM</stp>
        <stp>NETINCOME12M</stp>
        <stp>0</stp>
        <stp>0</stp>
        <stp>0</stp>
        <stp>0</stp>
        <stp>0</stp>
        <tr r="L27" s="11"/>
        <tr r="L27" s="12"/>
      </tp>
      <tp>
        <v>10.9</v>
        <stp/>
        <stp>136</stp>
        <stp>BOOM</stp>
        <stp>PRETAXINCOMEGROWTH7Y</stp>
        <stp>0</stp>
        <stp>0</stp>
        <stp>0</stp>
        <stp>0</stp>
        <stp>0</stp>
        <tr r="F8" s="3"/>
      </tp>
      <tp>
        <v>28.7</v>
        <stp/>
        <stp>136</stp>
        <stp>BOOM</stp>
        <stp>PRETAXINCOMEGROWTH5Y</stp>
        <stp>0</stp>
        <stp>0</stp>
        <stp>0</stp>
        <stp>0</stp>
        <stp>0</stp>
        <tr r="E8" s="3"/>
      </tp>
      <tp>
        <v>49.3</v>
        <stp/>
        <stp>136</stp>
        <stp>BOOM</stp>
        <stp>PRETAXINCOMEGROWTH3Y</stp>
        <stp>0</stp>
        <stp>0</stp>
        <stp>0</stp>
        <stp>0</stp>
        <stp>0</stp>
        <tr r="D8" s="3"/>
      </tp>
      <tp>
        <v>326.39999999999998</v>
        <stp/>
        <stp>136</stp>
        <stp>BOOM</stp>
        <stp>PRETAXINCOMEGROWTH1Y</stp>
        <stp>0</stp>
        <stp>0</stp>
        <stp>0</stp>
        <stp>0</stp>
        <stp>0</stp>
        <tr r="C8" s="3"/>
      </tp>
      <tp>
        <v>5.8</v>
        <stp/>
        <stp>136</stp>
        <stp>MSFT</stp>
        <stp>INDUSTRYRECEIVABLESTURNOVER12M</stp>
        <stp>0</stp>
        <stp>0</stp>
        <stp>0</stp>
        <stp>0</stp>
        <stp>0</stp>
        <tr r="C52" s="7"/>
      </tp>
      <tp>
        <v>11.9</v>
        <stp/>
        <stp>136</stp>
        <stp>BEAT</stp>
        <stp>NETMARGIN12M</stp>
        <stp>0</stp>
        <stp>0</stp>
        <stp>0</stp>
        <stp>0</stp>
        <stp>0</stp>
        <tr r="F63" s="13"/>
      </tp>
      <tp>
        <v>37.92</v>
        <stp/>
        <stp>136</stp>
        <stp>AAPL</stp>
        <stp>EARNINGSRETAINEDTOBOOK</stp>
        <stp>0</stp>
        <stp>0</stp>
        <stp>0</stp>
        <stp>0</stp>
        <stp>0</stp>
        <tr r="C104" s="5"/>
      </tp>
      <tp t="s">
        <v>Technology</v>
        <stp/>
        <stp>136</stp>
        <stp>MSFT</stp>
        <stp>SECTOR</stp>
        <stp>0</stp>
        <stp>0</stp>
        <stp>0</stp>
        <stp>0</stp>
        <stp>0</stp>
        <tr r="C21" s="6"/>
        <tr r="C57" s="7"/>
      </tp>
      <tp t="s">
        <v>Total Operating Expenses</v>
        <stp/>
        <stp>137</stp>
        <stp/>
        <stp>TOTALOPERATINGEXPENSEQ_X</stp>
        <stp>0</stp>
        <stp>0</stp>
        <stp>0</stp>
        <stp>0</stp>
        <stp>0</stp>
        <tr r="B13" s="12"/>
        <tr r="B15" s="1"/>
        <tr r="B13" s="11"/>
      </tp>
      <tp>
        <v>14.8</v>
        <stp/>
        <stp>136</stp>
        <stp>MSFT</stp>
        <stp>EPSGROWTHEST</stp>
        <stp>0</stp>
        <stp>0</stp>
        <stp>0</stp>
        <stp>0</stp>
        <stp>0</stp>
        <tr r="H6" s="8"/>
      </tp>
      <tp t="s">
        <v>Long-Term Investments</v>
        <stp/>
        <stp>137</stp>
        <stp/>
        <stp>LTINVESTMENTSQ_X</stp>
        <stp>0</stp>
        <stp>0</stp>
        <stp>0</stp>
        <stp>0</stp>
        <stp>0</stp>
        <tr r="D44" s="13"/>
        <tr r="B65" s="1"/>
        <tr r="B63" s="12"/>
        <tr r="B63" s="11"/>
      </tp>
      <tp>
        <v>8.2100000000000009</v>
        <stp/>
        <stp>136</stp>
        <stp>AAPL</stp>
        <stp>PRICECHANGE52W</stp>
        <stp>0</stp>
        <stp>0</stp>
        <stp>0</stp>
        <stp>0</stp>
        <stp>0</stp>
        <tr r="F56" s="5"/>
      </tp>
      <tp>
        <v>32.19</v>
        <stp/>
        <stp>136</stp>
        <stp>AAPL</stp>
        <stp>PRICECHANGE26W</stp>
        <stp>0</stp>
        <stp>0</stp>
        <stp>0</stp>
        <stp>0</stp>
        <stp>0</stp>
        <tr r="E56" s="5"/>
      </tp>
      <tp>
        <v>2.19</v>
        <stp/>
        <stp>136</stp>
        <stp>AAPL</stp>
        <stp>PRICECHANGE13W</stp>
        <stp>0</stp>
        <stp>0</stp>
        <stp>0</stp>
        <stp>0</stp>
        <stp>0</stp>
        <tr r="D56" s="5"/>
      </tp>
      <tp>
        <v>16.7</v>
        <stp/>
        <stp>136</stp>
        <stp>BOOM</stp>
        <stp>INDUSTRYFREECASHFLOWGROWTH1Y</stp>
        <stp>0</stp>
        <stp>0</stp>
        <stp>0</stp>
        <stp>0</stp>
        <stp>0</stp>
        <tr r="C30" s="3"/>
      </tp>
      <tp>
        <v>-14.3</v>
        <stp/>
        <stp>136</stp>
        <stp>BOOM</stp>
        <stp>INDUSTRYFREECASHFLOWGROWTH3Y</stp>
        <stp>0</stp>
        <stp>0</stp>
        <stp>0</stp>
        <stp>0</stp>
        <stp>0</stp>
        <tr r="D30" s="3"/>
      </tp>
      <tp>
        <v>-2</v>
        <stp/>
        <stp>136</stp>
        <stp>BOOM</stp>
        <stp>INDUSTRYFREECASHFLOWGROWTH5Y</stp>
        <stp>0</stp>
        <stp>0</stp>
        <stp>0</stp>
        <stp>0</stp>
        <stp>0</stp>
        <tr r="E30" s="3"/>
      </tp>
      <tp>
        <v>11.5</v>
        <stp/>
        <stp>136</stp>
        <stp>BOOM</stp>
        <stp>INDUSTRYFREECASHFLOWGROWTH7Y</stp>
        <stp>0</stp>
        <stp>0</stp>
        <stp>0</stp>
        <stp>0</stp>
        <stp>0</stp>
        <tr r="F30" s="3"/>
      </tp>
      <tp>
        <v>0</v>
        <stp/>
        <stp>136</stp>
        <stp>AAPL</stp>
        <stp>INSIDEROWNERSHIPPCNT</stp>
        <stp>0</stp>
        <stp>0</stp>
        <stp>0</stp>
        <stp>0</stp>
        <stp>0</stp>
        <tr r="C32" s="5"/>
      </tp>
      <tp t="s">
        <v>NA</v>
        <stp/>
        <stp>136</stp>
        <stp>BOOM</stp>
        <stp>EPS12M</stp>
        <stp>0</stp>
        <stp>0</stp>
        <stp>0</stp>
        <stp>0</stp>
        <stp>0</stp>
        <tr r="L29" s="12"/>
        <tr r="L29" s="11"/>
      </tp>
      <tp>
        <v>92</v>
        <stp/>
        <stp>136</stp>
        <stp>BOOM</stp>
        <stp>PCNTRANKSALESGROWTH12M</stp>
        <stp>0</stp>
        <stp>0</stp>
        <stp>0</stp>
        <stp>0</stp>
        <stp>0</stp>
        <tr r="G48" s="3"/>
      </tp>
      <tp>
        <v>12</v>
        <stp/>
        <stp>136</stp>
        <stp>MSFT</stp>
        <stp>INDUSTRYINVENTORYTURNOVERY_X</stp>
        <stp>1</stp>
        <stp>0</stp>
        <stp>0</stp>
        <stp>0</stp>
        <stp>0</stp>
        <tr r="D53" s="7"/>
      </tp>
      <tp>
        <v>14</v>
        <stp/>
        <stp>136</stp>
        <stp>MSFT</stp>
        <stp>INDUSTRYINVENTORYTURNOVERY_X</stp>
        <stp>2</stp>
        <stp>0</stp>
        <stp>0</stp>
        <stp>0</stp>
        <stp>0</stp>
        <tr r="E53" s="7"/>
      </tp>
      <tp>
        <v>11.7</v>
        <stp/>
        <stp>136</stp>
        <stp>MSFT</stp>
        <stp>INDUSTRYINVENTORYTURNOVERY_X</stp>
        <stp>3</stp>
        <stp>0</stp>
        <stp>0</stp>
        <stp>0</stp>
        <stp>0</stp>
        <tr r="F53" s="7"/>
      </tp>
      <tp>
        <v>14.7</v>
        <stp/>
        <stp>136</stp>
        <stp>MSFT</stp>
        <stp>INDUSTRYINVENTORYTURNOVERY_X</stp>
        <stp>4</stp>
        <stp>0</stp>
        <stp>0</stp>
        <stp>0</stp>
        <stp>0</stp>
        <tr r="G53" s="7"/>
      </tp>
      <tp>
        <v>16.399999999999999</v>
        <stp/>
        <stp>136</stp>
        <stp>MSFT</stp>
        <stp>INDUSTRYINVENTORYTURNOVERY_X</stp>
        <stp>5</stp>
        <stp>0</stp>
        <stp>0</stp>
        <stp>0</stp>
        <stp>0</stp>
        <tr r="H53" s="7"/>
      </tp>
      <tp>
        <v>21.8</v>
        <stp/>
        <stp>136</stp>
        <stp>MSFT</stp>
        <stp>INDUSTRYINVENTORYTURNOVERY_X</stp>
        <stp>6</stp>
        <stp>0</stp>
        <stp>0</stp>
        <stp>0</stp>
        <stp>0</stp>
        <tr r="I53" s="7"/>
      </tp>
      <tp>
        <v>17.2</v>
        <stp/>
        <stp>136</stp>
        <stp>MSFT</stp>
        <stp>INDUSTRYINVENTORYTURNOVERY_X</stp>
        <stp>7</stp>
        <stp>0</stp>
        <stp>0</stp>
        <stp>0</stp>
        <stp>0</stp>
        <tr r="J53" s="7"/>
      </tp>
      <tp t="s">
        <v>Industry Cash Flow-Growth</v>
        <stp/>
        <stp>137</stp>
        <stp/>
        <stp>INDUSTRYCASHFLOWGROWTH1Y</stp>
        <stp>1</stp>
        <stp>0</stp>
        <stp>0</stp>
        <stp>0</stp>
        <stp>0</stp>
        <tr r="B29" s="3"/>
      </tp>
      <tp>
        <v>65.400000000000006</v>
        <stp/>
        <stp>136</stp>
        <stp>MSFT</stp>
        <stp>INDUSTRYGROSSMARGINY_X</stp>
        <stp>4</stp>
        <stp>0</stp>
        <stp>0</stp>
        <stp>0</stp>
        <stp>0</stp>
        <tr r="G33" s="7"/>
      </tp>
      <tp>
        <v>64.2</v>
        <stp/>
        <stp>136</stp>
        <stp>MSFT</stp>
        <stp>INDUSTRYGROSSMARGINY_X</stp>
        <stp>5</stp>
        <stp>0</stp>
        <stp>0</stp>
        <stp>0</stp>
        <stp>0</stp>
        <tr r="H33" s="7"/>
      </tp>
      <tp>
        <v>63.4</v>
        <stp/>
        <stp>136</stp>
        <stp>MSFT</stp>
        <stp>INDUSTRYGROSSMARGINY_X</stp>
        <stp>6</stp>
        <stp>0</stp>
        <stp>0</stp>
        <stp>0</stp>
        <stp>0</stp>
        <tr r="I33" s="7"/>
      </tp>
      <tp>
        <v>63.9</v>
        <stp/>
        <stp>136</stp>
        <stp>MSFT</stp>
        <stp>INDUSTRYGROSSMARGINY_X</stp>
        <stp>7</stp>
        <stp>0</stp>
        <stp>0</stp>
        <stp>0</stp>
        <stp>0</stp>
        <tr r="J33" s="7"/>
      </tp>
      <tp>
        <v>66.5</v>
        <stp/>
        <stp>136</stp>
        <stp>MSFT</stp>
        <stp>INDUSTRYGROSSMARGINY_X</stp>
        <stp>1</stp>
        <stp>0</stp>
        <stp>0</stp>
        <stp>0</stp>
        <stp>0</stp>
        <tr r="D33" s="7"/>
      </tp>
      <tp>
        <v>67.2</v>
        <stp/>
        <stp>136</stp>
        <stp>MSFT</stp>
        <stp>INDUSTRYGROSSMARGINY_X</stp>
        <stp>2</stp>
        <stp>0</stp>
        <stp>0</stp>
        <stp>0</stp>
        <stp>0</stp>
        <tr r="E33" s="7"/>
      </tp>
      <tp>
        <v>65.2</v>
        <stp/>
        <stp>136</stp>
        <stp>MSFT</stp>
        <stp>INDUSTRYGROSSMARGINY_X</stp>
        <stp>3</stp>
        <stp>0</stp>
        <stp>0</stp>
        <stp>0</stp>
        <stp>0</stp>
        <tr r="F33" s="7"/>
      </tp>
      <tp t="s">
        <v>NA</v>
        <stp/>
        <stp>136</stp>
        <stp>BOOM</stp>
        <stp>OTHERINCOME12M</stp>
        <stp>0</stp>
        <stp>0</stp>
        <stp>0</stp>
        <stp>0</stp>
        <stp>0</stp>
        <tr r="L18" s="11"/>
        <tr r="L18" s="12"/>
      </tp>
      <tp>
        <v>0.3</v>
        <stp/>
        <stp>136</stp>
        <stp>BOOM</stp>
        <stp>EXCHANGERATEEFFECTSQ_X</stp>
        <stp>8</stp>
        <stp>0</stp>
        <stp>0</stp>
        <stp>0</stp>
        <stp>0</stp>
        <tr r="J40" s="11"/>
        <tr r="J40" s="12"/>
      </tp>
      <tp>
        <v>0.4</v>
        <stp/>
        <stp>136</stp>
        <stp>BOOM</stp>
        <stp>EXCHANGERATEEFFECTSQ_X</stp>
        <stp>3</stp>
        <stp>0</stp>
        <stp>0</stp>
        <stp>0</stp>
        <stp>0</stp>
        <tr r="E40" s="11"/>
        <tr r="E40" s="12"/>
      </tp>
      <tp>
        <v>-0.1</v>
        <stp/>
        <stp>136</stp>
        <stp>BOOM</stp>
        <stp>EXCHANGERATEEFFECTSQ_X</stp>
        <stp>2</stp>
        <stp>0</stp>
        <stp>0</stp>
        <stp>0</stp>
        <stp>0</stp>
        <tr r="D40" s="12"/>
        <tr r="D40" s="11"/>
      </tp>
      <tp>
        <v>0.1</v>
        <stp/>
        <stp>136</stp>
        <stp>BOOM</stp>
        <stp>EXCHANGERATEEFFECTSQ_X</stp>
        <stp>1</stp>
        <stp>0</stp>
        <stp>0</stp>
        <stp>0</stp>
        <stp>0</stp>
        <tr r="C40" s="11"/>
        <tr r="C40" s="12"/>
      </tp>
      <tp>
        <v>0.1</v>
        <stp/>
        <stp>136</stp>
        <stp>BOOM</stp>
        <stp>EXCHANGERATEEFFECTSQ_X</stp>
        <stp>7</stp>
        <stp>0</stp>
        <stp>0</stp>
        <stp>0</stp>
        <stp>0</stp>
        <tr r="I40" s="12"/>
        <tr r="I40" s="11"/>
      </tp>
      <tp>
        <v>0.9</v>
        <stp/>
        <stp>136</stp>
        <stp>BOOM</stp>
        <stp>EXCHANGERATEEFFECTSQ_X</stp>
        <stp>6</stp>
        <stp>0</stp>
        <stp>0</stp>
        <stp>0</stp>
        <stp>0</stp>
        <tr r="H40" s="12"/>
        <tr r="H40" s="11"/>
      </tp>
      <tp>
        <v>-0.5</v>
        <stp/>
        <stp>136</stp>
        <stp>BOOM</stp>
        <stp>EXCHANGERATEEFFECTSQ_X</stp>
        <stp>5</stp>
        <stp>0</stp>
        <stp>0</stp>
        <stp>0</stp>
        <stp>0</stp>
        <tr r="G40" s="11"/>
        <tr r="G40" s="12"/>
      </tp>
      <tp>
        <v>-0.3</v>
        <stp/>
        <stp>136</stp>
        <stp>BOOM</stp>
        <stp>EXCHANGERATEEFFECTSQ_X</stp>
        <stp>4</stp>
        <stp>0</stp>
        <stp>0</stp>
        <stp>0</stp>
        <stp>0</stp>
        <tr r="F40" s="12"/>
        <tr r="F40" s="11"/>
      </tp>
      <tp>
        <v>7</v>
        <stp/>
        <stp>136</stp>
        <stp>MSFT</stp>
        <stp>INVE$TWARESALESGROWTHBENCHMARK</stp>
        <stp>0</stp>
        <stp>0</stp>
        <stp>0</stp>
        <stp>0</stp>
        <stp>0</stp>
        <tr r="C29" s="9"/>
      </tp>
      <tp t="s">
        <v>% Rank-Dividend Growth</v>
        <stp/>
        <stp>137</stp>
        <stp/>
        <stp>PCNTRANKDIVIDENDGROWTH1Y</stp>
        <stp>1</stp>
        <stp>0</stp>
        <stp>0</stp>
        <stp>0</stp>
        <stp>0</stp>
        <tr r="B59" s="3"/>
      </tp>
      <tp>
        <v>45.17</v>
        <stp/>
        <stp>136</stp>
        <stp>AAPL</stp>
        <stp>FUNDAMENTALRULEOFTHUMB</stp>
        <stp>0</stp>
        <stp>0</stp>
        <stp>0</stp>
        <stp>0</stp>
        <stp>0</stp>
        <tr r="C91" s="5"/>
      </tp>
      <tp>
        <v>37.4</v>
        <stp/>
        <stp>136</stp>
        <stp>BOOM</stp>
        <stp>INDUSTRYEPSGROWTH12M</stp>
        <stp>0</stp>
        <stp>0</stp>
        <stp>0</stp>
        <stp>0</stp>
        <stp>0</stp>
        <tr r="G25" s="3"/>
      </tp>
      <tp t="s">
        <v>NA</v>
        <stp/>
        <stp>136</stp>
        <stp>BOOM</stp>
        <stp>NONRECURRINGITEMSQ_X</stp>
        <stp>8</stp>
        <stp>0</stp>
        <stp>0</stp>
        <stp>0</stp>
        <stp>0</stp>
        <tr r="J26" s="12"/>
        <tr r="J26" s="11"/>
      </tp>
      <tp t="s">
        <v>NA</v>
        <stp/>
        <stp>136</stp>
        <stp>BOOM</stp>
        <stp>NONRECURRINGITEMSQ_X</stp>
        <stp>3</stp>
        <stp>0</stp>
        <stp>0</stp>
        <stp>0</stp>
        <stp>0</stp>
        <tr r="E26" s="11"/>
        <tr r="E26" s="12"/>
      </tp>
      <tp>
        <v>-0.9</v>
        <stp/>
        <stp>136</stp>
        <stp>BOOM</stp>
        <stp>NONRECURRINGITEMSQ_X</stp>
        <stp>2</stp>
        <stp>0</stp>
        <stp>0</stp>
        <stp>0</stp>
        <stp>0</stp>
        <tr r="D26" s="12"/>
        <tr r="D26" s="11"/>
      </tp>
      <tp t="s">
        <v>NA</v>
        <stp/>
        <stp>136</stp>
        <stp>BOOM</stp>
        <stp>NONRECURRINGITEMSQ_X</stp>
        <stp>1</stp>
        <stp>0</stp>
        <stp>0</stp>
        <stp>0</stp>
        <stp>0</stp>
        <tr r="C26" s="11"/>
        <tr r="C26" s="12"/>
      </tp>
      <tp t="s">
        <v>NA</v>
        <stp/>
        <stp>136</stp>
        <stp>BOOM</stp>
        <stp>NONRECURRINGITEMSQ_X</stp>
        <stp>7</stp>
        <stp>0</stp>
        <stp>0</stp>
        <stp>0</stp>
        <stp>0</stp>
        <tr r="I26" s="11"/>
        <tr r="I26" s="12"/>
      </tp>
      <tp>
        <v>-0.9</v>
        <stp/>
        <stp>136</stp>
        <stp>BOOM</stp>
        <stp>NONRECURRINGITEMSQ_X</stp>
        <stp>6</stp>
        <stp>0</stp>
        <stp>0</stp>
        <stp>0</stp>
        <stp>0</stp>
        <tr r="H26" s="12"/>
        <tr r="H26" s="11"/>
      </tp>
      <tp>
        <v>0.3</v>
        <stp/>
        <stp>136</stp>
        <stp>BOOM</stp>
        <stp>NONRECURRINGITEMSQ_X</stp>
        <stp>5</stp>
        <stp>0</stp>
        <stp>0</stp>
        <stp>0</stp>
        <stp>0</stp>
        <tr r="G26" s="12"/>
        <tr r="G26" s="11"/>
      </tp>
      <tp>
        <v>0.3</v>
        <stp/>
        <stp>136</stp>
        <stp>BOOM</stp>
        <stp>NONRECURRINGITEMSQ_X</stp>
        <stp>4</stp>
        <stp>0</stp>
        <stp>0</stp>
        <stp>0</stp>
        <stp>0</stp>
        <tr r="F26" s="11"/>
        <tr r="F26" s="12"/>
      </tp>
      <tp>
        <v>-7.5</v>
        <stp/>
        <stp>136</stp>
        <stp>BEAT</stp>
        <stp>INCOMEFORPRIMARYEPSQ_X</stp>
        <stp>6</stp>
        <stp>0</stp>
        <stp>0</stp>
        <stp>0</stp>
        <stp>0</stp>
        <tr r="K68" s="13"/>
      </tp>
      <tp>
        <v>-2.2999999999999998</v>
        <stp/>
        <stp>136</stp>
        <stp>BEAT</stp>
        <stp>INCOMEFORPRIMARYEPSQ_X</stp>
        <stp>7</stp>
        <stp>0</stp>
        <stp>0</stp>
        <stp>0</stp>
        <stp>0</stp>
        <tr r="L68" s="13"/>
      </tp>
      <tp>
        <v>10.4</v>
        <stp/>
        <stp>136</stp>
        <stp>BEAT</stp>
        <stp>INCOMEFORPRIMARYEPSQ_X</stp>
        <stp>4</stp>
        <stp>0</stp>
        <stp>0</stp>
        <stp>0</stp>
        <stp>0</stp>
        <tr r="I68" s="13"/>
      </tp>
      <tp>
        <v>6</v>
        <stp/>
        <stp>136</stp>
        <stp>BEAT</stp>
        <stp>INCOMEFORPRIMARYEPSQ_X</stp>
        <stp>5</stp>
        <stp>0</stp>
        <stp>0</stp>
        <stp>0</stp>
        <stp>0</stp>
        <tr r="J68" s="13"/>
      </tp>
      <tp>
        <v>10.4</v>
        <stp/>
        <stp>136</stp>
        <stp>BEAT</stp>
        <stp>INCOMEFORPRIMARYEPSQ_X</stp>
        <stp>2</stp>
        <stp>0</stp>
        <stp>0</stp>
        <stp>0</stp>
        <stp>0</stp>
        <tr r="G68" s="13"/>
      </tp>
      <tp>
        <v>16</v>
        <stp/>
        <stp>136</stp>
        <stp>BEAT</stp>
        <stp>INCOMEFORPRIMARYEPSQ_X</stp>
        <stp>3</stp>
        <stp>0</stp>
        <stp>0</stp>
        <stp>0</stp>
        <stp>0</stp>
        <tr r="H68" s="13"/>
      </tp>
      <tp>
        <v>11.7</v>
        <stp/>
        <stp>136</stp>
        <stp>BEAT</stp>
        <stp>INCOMEFORPRIMARYEPSQ_X</stp>
        <stp>1</stp>
        <stp>0</stp>
        <stp>0</stp>
        <stp>0</stp>
        <stp>0</stp>
        <tr r="F68" s="13"/>
      </tp>
      <tp>
        <v>-7.9</v>
        <stp/>
        <stp>136</stp>
        <stp>BEAT</stp>
        <stp>INCOMEFORPRIMARYEPSY_X</stp>
        <stp>2</stp>
        <stp>0</stp>
        <stp>0</stp>
        <stp>0</stp>
        <stp>0</stp>
        <tr r="M69" s="13"/>
      </tp>
      <tp>
        <v>1.7</v>
        <stp/>
        <stp>136</stp>
        <stp>BEAT</stp>
        <stp>INCOMEFORPRIMARYEPSQ_X</stp>
        <stp>8</stp>
        <stp>0</stp>
        <stp>0</stp>
        <stp>0</stp>
        <stp>0</stp>
        <tr r="M68" s="13"/>
      </tp>
      <tp>
        <v>42.8</v>
        <stp/>
        <stp>136</stp>
        <stp>BEAT</stp>
        <stp>INCOMEFORPRIMARYEPSY_X</stp>
        <stp>1</stp>
        <stp>0</stp>
        <stp>0</stp>
        <stp>0</stp>
        <stp>0</stp>
        <tr r="L69" s="13"/>
      </tp>
      <tp>
        <v>2</v>
        <stp/>
        <stp>136</stp>
        <stp>BEAT</stp>
        <stp>CASHFROMFINANCINGQ_X</stp>
        <stp>4</stp>
        <stp>0</stp>
        <stp>0</stp>
        <stp>0</stp>
        <stp>0</stp>
        <tr r="I22" s="13"/>
      </tp>
      <tp>
        <v>-3</v>
        <stp/>
        <stp>136</stp>
        <stp>BEAT</stp>
        <stp>CASHFROMFINANCINGQ_X</stp>
        <stp>1</stp>
        <stp>0</stp>
        <stp>0</stp>
        <stp>0</stp>
        <stp>0</stp>
        <tr r="F22" s="13"/>
      </tp>
      <tp>
        <v>3.1</v>
        <stp/>
        <stp>136</stp>
        <stp>BEAT</stp>
        <stp>CASHFROMFINANCINGQ_X</stp>
        <stp>3</stp>
        <stp>0</stp>
        <stp>0</stp>
        <stp>0</stp>
        <stp>0</stp>
        <tr r="H22" s="13"/>
      </tp>
      <tp>
        <v>0.1</v>
        <stp/>
        <stp>136</stp>
        <stp>BEAT</stp>
        <stp>CASHFROMFINANCINGQ_X</stp>
        <stp>2</stp>
        <stp>0</stp>
        <stp>0</stp>
        <stp>0</stp>
        <stp>0</stp>
        <tr r="G22" s="13"/>
      </tp>
      <tp>
        <v>1.24</v>
        <stp/>
        <stp>136</stp>
        <stp>AAPL</stp>
        <stp>BETA</stp>
        <stp>0</stp>
        <stp>0</stp>
        <stp>0</stp>
        <stp>0</stp>
        <stp>0</stp>
        <tr r="C38" s="5"/>
      </tp>
      <tp>
        <v>6.3</v>
        <stp/>
        <stp>136</stp>
        <stp>BOOM</stp>
        <stp>CASHFROMFINANCINGQ_X</stp>
        <stp>3</stp>
        <stp>0</stp>
        <stp>0</stp>
        <stp>0</stp>
        <stp>0</stp>
        <tr r="E39" s="12"/>
        <tr r="E39" s="11"/>
      </tp>
      <tp>
        <v>-0.2</v>
        <stp/>
        <stp>136</stp>
        <stp>BOOM</stp>
        <stp>CASHFROMFINANCINGQ_X</stp>
        <stp>2</stp>
        <stp>0</stp>
        <stp>0</stp>
        <stp>0</stp>
        <stp>0</stp>
        <tr r="D39" s="12"/>
        <tr r="D39" s="11"/>
      </tp>
      <tp>
        <v>0.8</v>
        <stp/>
        <stp>136</stp>
        <stp>BOOM</stp>
        <stp>CASHFROMFINANCINGQ_X</stp>
        <stp>1</stp>
        <stp>0</stp>
        <stp>0</stp>
        <stp>0</stp>
        <stp>0</stp>
        <tr r="C39" s="12"/>
        <tr r="C39" s="11"/>
      </tp>
      <tp>
        <v>-2.4</v>
        <stp/>
        <stp>136</stp>
        <stp>BOOM</stp>
        <stp>CASHFROMFINANCINGQ_X</stp>
        <stp>7</stp>
        <stp>0</stp>
        <stp>0</stp>
        <stp>0</stp>
        <stp>0</stp>
        <tr r="I39" s="12"/>
        <tr r="I39" s="11"/>
      </tp>
      <tp>
        <v>-4.2</v>
        <stp/>
        <stp>136</stp>
        <stp>BOOM</stp>
        <stp>CASHFROMFINANCINGQ_X</stp>
        <stp>6</stp>
        <stp>0</stp>
        <stp>0</stp>
        <stp>0</stp>
        <stp>0</stp>
        <tr r="H39" s="12"/>
        <tr r="H39" s="11"/>
      </tp>
      <tp>
        <v>10.5</v>
        <stp/>
        <stp>136</stp>
        <stp>BOOM</stp>
        <stp>CASHFROMFINANCINGQ_X</stp>
        <stp>5</stp>
        <stp>0</stp>
        <stp>0</stp>
        <stp>0</stp>
        <stp>0</stp>
        <tr r="G39" s="11"/>
        <tr r="G39" s="12"/>
      </tp>
      <tp>
        <v>15.7</v>
        <stp/>
        <stp>136</stp>
        <stp>BOOM</stp>
        <stp>CASHFROMFINANCINGQ_X</stp>
        <stp>4</stp>
        <stp>0</stp>
        <stp>0</stp>
        <stp>0</stp>
        <stp>0</stp>
        <tr r="F39" s="11"/>
        <tr r="F39" s="12"/>
      </tp>
      <tp>
        <v>7.2</v>
        <stp/>
        <stp>136</stp>
        <stp>BOOM</stp>
        <stp>CASHFROMFINANCINGQ_X</stp>
        <stp>8</stp>
        <stp>0</stp>
        <stp>0</stp>
        <stp>0</stp>
        <stp>0</stp>
        <tr r="J39" s="12"/>
        <tr r="J39" s="11"/>
      </tp>
      <tp>
        <v>96</v>
        <stp/>
        <stp>136</stp>
        <stp>MSFT</stp>
        <stp>PCNTRANKPRICEPERCFPS</stp>
        <stp>0</stp>
        <stp>0</stp>
        <stp>0</stp>
        <stp>0</stp>
        <stp>0</stp>
        <tr r="C33" s="6"/>
      </tp>
      <tp>
        <v>0</v>
        <stp/>
        <stp>136</stp>
        <stp>MSFT</stp>
        <stp>EPSESTREVISIONSDOWNY2</stp>
        <stp>0</stp>
        <stp>0</stp>
        <stp>0</stp>
        <stp>0</stp>
        <stp>0</stp>
        <tr r="G18" s="8"/>
      </tp>
      <tp>
        <v>-2701</v>
        <stp/>
        <stp>136</stp>
        <stp>MSFT</stp>
        <stp>CASHFROMFINANCINGQ_X</stp>
        <stp>8</stp>
        <stp>0</stp>
        <stp>0</stp>
        <stp>0</stp>
        <stp>0</stp>
        <tr r="J41" s="1"/>
      </tp>
      <tp>
        <v>-13216</v>
        <stp/>
        <stp>136</stp>
        <stp>MSFT</stp>
        <stp>CASHFROMFINANCINGQ_X</stp>
        <stp>2</stp>
        <stp>0</stp>
        <stp>0</stp>
        <stp>0</stp>
        <stp>0</stp>
        <tr r="D41" s="1"/>
      </tp>
      <tp>
        <v>-7384</v>
        <stp/>
        <stp>136</stp>
        <stp>MSFT</stp>
        <stp>CASHFROMFINANCINGQ_X</stp>
        <stp>3</stp>
        <stp>0</stp>
        <stp>0</stp>
        <stp>0</stp>
        <stp>0</stp>
        <tr r="E41" s="1"/>
      </tp>
      <tp>
        <v>-7601</v>
        <stp/>
        <stp>136</stp>
        <stp>MSFT</stp>
        <stp>CASHFROMFINANCINGQ_X</stp>
        <stp>1</stp>
        <stp>0</stp>
        <stp>0</stp>
        <stp>0</stp>
        <stp>0</stp>
        <tr r="C41" s="1"/>
      </tp>
      <tp>
        <v>-1552</v>
        <stp/>
        <stp>136</stp>
        <stp>MSFT</stp>
        <stp>CASHFROMFINANCINGQ_X</stp>
        <stp>6</stp>
        <stp>0</stp>
        <stp>0</stp>
        <stp>0</stp>
        <stp>0</stp>
        <tr r="H41" s="1"/>
      </tp>
      <tp>
        <v>-6341</v>
        <stp/>
        <stp>136</stp>
        <stp>MSFT</stp>
        <stp>CASHFROMFINANCINGQ_X</stp>
        <stp>7</stp>
        <stp>0</stp>
        <stp>0</stp>
        <stp>0</stp>
        <stp>0</stp>
        <tr r="I41" s="1"/>
      </tp>
      <tp>
        <v>-6039</v>
        <stp/>
        <stp>136</stp>
        <stp>MSFT</stp>
        <stp>CASHFROMFINANCINGQ_X</stp>
        <stp>4</stp>
        <stp>0</stp>
        <stp>0</stp>
        <stp>0</stp>
        <stp>0</stp>
        <tr r="F41" s="1"/>
      </tp>
      <tp>
        <v>-19658</v>
        <stp/>
        <stp>136</stp>
        <stp>MSFT</stp>
        <stp>CASHFROMFINANCINGQ_X</stp>
        <stp>5</stp>
        <stp>0</stp>
        <stp>0</stp>
        <stp>0</stp>
        <stp>0</stp>
        <tr r="G41" s="1"/>
      </tp>
      <tp t="s">
        <v>Insiders -Net Shares Purchased</v>
        <stp/>
        <stp>137</stp>
        <stp/>
        <stp>INSIDERNETSHAREPURCHASED</stp>
        <stp>0</stp>
        <stp>0</stp>
        <stp>0</stp>
        <stp>0</stp>
        <stp>0</stp>
        <tr r="B43" s="5"/>
      </tp>
      <tp t="s">
        <v>NA</v>
        <stp/>
        <stp>136</stp>
        <stp>MSFT</stp>
        <stp>NONRECURRINGITEMSQ_X</stp>
        <stp>2</stp>
        <stp>0</stp>
        <stp>0</stp>
        <stp>0</stp>
        <stp>0</stp>
        <tr r="D28" s="1"/>
      </tp>
      <tp t="s">
        <v>NA</v>
        <stp/>
        <stp>136</stp>
        <stp>MSFT</stp>
        <stp>NONRECURRINGITEMSQ_X</stp>
        <stp>3</stp>
        <stp>0</stp>
        <stp>0</stp>
        <stp>0</stp>
        <stp>0</stp>
        <tr r="E28" s="1"/>
      </tp>
      <tp t="s">
        <v>NA</v>
        <stp/>
        <stp>136</stp>
        <stp>MSFT</stp>
        <stp>NONRECURRINGITEMSQ_X</stp>
        <stp>1</stp>
        <stp>0</stp>
        <stp>0</stp>
        <stp>0</stp>
        <stp>0</stp>
        <tr r="C28" s="1"/>
      </tp>
      <tp>
        <v>-13800</v>
        <stp/>
        <stp>136</stp>
        <stp>MSFT</stp>
        <stp>NONRECURRINGITEMSQ_X</stp>
        <stp>6</stp>
        <stp>0</stp>
        <stp>0</stp>
        <stp>0</stp>
        <stp>0</stp>
        <tr r="H28" s="1"/>
      </tp>
      <tp t="s">
        <v>NA</v>
        <stp/>
        <stp>136</stp>
        <stp>MSFT</stp>
        <stp>NONRECURRINGITEMSQ_X</stp>
        <stp>7</stp>
        <stp>0</stp>
        <stp>0</stp>
        <stp>0</stp>
        <stp>0</stp>
        <tr r="I28" s="1"/>
      </tp>
      <tp>
        <v>104</v>
        <stp/>
        <stp>136</stp>
        <stp>MSFT</stp>
        <stp>NONRECURRINGITEMSQ_X</stp>
        <stp>4</stp>
        <stp>0</stp>
        <stp>0</stp>
        <stp>0</stp>
        <stp>0</stp>
        <tr r="F28" s="1"/>
      </tp>
      <tp>
        <v>0</v>
        <stp/>
        <stp>136</stp>
        <stp>MSFT</stp>
        <stp>NONRECURRINGITEMSQ_X</stp>
        <stp>5</stp>
        <stp>0</stp>
        <stp>0</stp>
        <stp>0</stp>
        <stp>0</stp>
        <tr r="G28" s="1"/>
      </tp>
      <tp t="s">
        <v>NA</v>
        <stp/>
        <stp>136</stp>
        <stp>MSFT</stp>
        <stp>NONRECURRINGITEMSQ_X</stp>
        <stp>8</stp>
        <stp>0</stp>
        <stp>0</stp>
        <stp>0</stp>
        <stp>0</stp>
        <tr r="J28" s="1"/>
      </tp>
      <tp t="s">
        <v>PE Low - Average 7 Years</v>
        <stp/>
        <stp>137</stp>
        <stp/>
        <stp>PELOWAVE7Y</stp>
        <stp>0</stp>
        <stp>0</stp>
        <stp>0</stp>
        <stp>0</stp>
        <stp>0</stp>
        <tr r="B50" s="6"/>
      </tp>
      <tp t="s">
        <v>PE Low - Average 5 Years</v>
        <stp/>
        <stp>137</stp>
        <stp/>
        <stp>PELOWAVE5Y</stp>
        <stp>0</stp>
        <stp>0</stp>
        <stp>0</stp>
        <stp>0</stp>
        <stp>0</stp>
        <tr r="B49" s="6"/>
      </tp>
      <tp t="s">
        <v>PE Low - Average 3 Years</v>
        <stp/>
        <stp>137</stp>
        <stp/>
        <stp>PELOWAVE3Y</stp>
        <stp>0</stp>
        <stp>0</stp>
        <stp>0</stp>
        <stp>0</stp>
        <stp>0</stp>
        <tr r="B48" s="6"/>
      </tp>
      <tp>
        <v>441.6</v>
        <stp/>
        <stp>136</stp>
        <stp>BOOM</stp>
        <stp>EPSDILCONTGROWTHQ8TOQ4</stp>
        <stp>0</stp>
        <stp>0</stp>
        <stp>0</stp>
        <stp>0</stp>
        <stp>0</stp>
        <tr r="K14" s="3"/>
      </tp>
      <tp>
        <v>11.4</v>
        <stp/>
        <stp>136</stp>
        <stp>MSFT</stp>
        <stp>EPSGROWTHESTY0TOESTY1</stp>
        <stp>0</stp>
        <stp>0</stp>
        <stp>0</stp>
        <stp>0</stp>
        <stp>0</stp>
        <tr r="C33" s="8"/>
      </tp>
      <tp>
        <v>65.400000000000006</v>
        <stp/>
        <stp>136</stp>
        <stp>MSFT</stp>
        <stp>GROSSMARGIN12M</stp>
        <stp>0</stp>
        <stp>0</stp>
        <stp>0</stp>
        <stp>0</stp>
        <stp>0</stp>
        <tr r="C7" s="7"/>
      </tp>
      <tp>
        <v>79971</v>
        <stp/>
        <stp>136</stp>
        <stp>MSFT</stp>
        <stp>GROSSINCOME12M</stp>
        <stp>0</stp>
        <stp>0</stp>
        <stp>0</stp>
        <stp>0</stp>
        <stp>0</stp>
        <tr r="L9" s="1"/>
      </tp>
      <tp t="s">
        <v>Short-Term Debt</v>
        <stp/>
        <stp>137</stp>
        <stp/>
        <stp>SHORTTERMDEBTQ_X</stp>
        <stp>0</stp>
        <stp>0</stp>
        <stp>0</stp>
        <stp>0</stp>
        <stp>0</stp>
        <tr r="D34" s="13"/>
        <tr r="B70" s="12"/>
        <tr r="B72" s="1"/>
        <tr r="B70" s="11"/>
      </tp>
      <tp>
        <v>-2.4900000000000002</v>
        <stp/>
        <stp>136</stp>
        <stp>MSFT</stp>
        <stp>DCFQ_X</stp>
        <stp>1</stp>
        <stp>0</stp>
        <stp>0</stp>
        <stp>0</stp>
        <stp>0</stp>
        <tr r="C52" s="1"/>
      </tp>
      <tp>
        <v>-22.53</v>
        <stp/>
        <stp>136</stp>
        <stp>MSFT</stp>
        <stp>DCFQ_X</stp>
        <stp>3</stp>
        <stp>0</stp>
        <stp>0</stp>
        <stp>0</stp>
        <stp>0</stp>
        <tr r="E52" s="1"/>
      </tp>
      <tp>
        <v>19.91</v>
        <stp/>
        <stp>136</stp>
        <stp>MSFT</stp>
        <stp>DCFQ_X</stp>
        <stp>2</stp>
        <stp>0</stp>
        <stp>0</stp>
        <stp>0</stp>
        <stp>0</stp>
        <tr r="D52" s="1"/>
      </tp>
      <tp>
        <v>6.49</v>
        <stp/>
        <stp>136</stp>
        <stp>MSFT</stp>
        <stp>DCFQ_X</stp>
        <stp>4</stp>
        <stp>0</stp>
        <stp>0</stp>
        <stp>0</stp>
        <stp>0</stp>
        <tr r="F52" s="1"/>
      </tp>
      <tp>
        <v>30</v>
        <stp/>
        <stp>136</stp>
        <stp>MSFT</stp>
        <stp>PCNTRANKRECEIVABLESTURNOVERY_X</stp>
        <stp>2</stp>
        <stp>0</stp>
        <stp>0</stp>
        <stp>0</stp>
        <stp>0</stp>
        <tr r="E106" s="7"/>
      </tp>
      <tp>
        <v>34</v>
        <stp/>
        <stp>136</stp>
        <stp>MSFT</stp>
        <stp>PCNTRANKRECEIVABLESTURNOVERY_X</stp>
        <stp>3</stp>
        <stp>0</stp>
        <stp>0</stp>
        <stp>0</stp>
        <stp>0</stp>
        <tr r="F106" s="7"/>
      </tp>
      <tp>
        <v>25</v>
        <stp/>
        <stp>136</stp>
        <stp>MSFT</stp>
        <stp>PCNTRANKRECEIVABLESTURNOVERY_X</stp>
        <stp>1</stp>
        <stp>0</stp>
        <stp>0</stp>
        <stp>0</stp>
        <stp>0</stp>
        <tr r="D106" s="7"/>
      </tp>
      <tp t="s">
        <v>NA</v>
        <stp/>
        <stp>136</stp>
        <stp>MSFT</stp>
        <stp>PCNTRANKRECEIVABLESTURNOVERY_X</stp>
        <stp>6</stp>
        <stp>0</stp>
        <stp>0</stp>
        <stp>0</stp>
        <stp>0</stp>
        <tr r="I106" s="7"/>
      </tp>
      <tp t="s">
        <v>NA</v>
        <stp/>
        <stp>136</stp>
        <stp>MSFT</stp>
        <stp>PCNTRANKRECEIVABLESTURNOVERY_X</stp>
        <stp>7</stp>
        <stp>0</stp>
        <stp>0</stp>
        <stp>0</stp>
        <stp>0</stp>
        <tr r="J106" s="7"/>
      </tp>
      <tp>
        <v>34</v>
        <stp/>
        <stp>136</stp>
        <stp>MSFT</stp>
        <stp>PCNTRANKRECEIVABLESTURNOVERY_X</stp>
        <stp>4</stp>
        <stp>0</stp>
        <stp>0</stp>
        <stp>0</stp>
        <stp>0</stp>
        <tr r="G106" s="7"/>
      </tp>
      <tp>
        <v>29</v>
        <stp/>
        <stp>136</stp>
        <stp>MSFT</stp>
        <stp>PCNTRANKRECEIVABLESTURNOVERY_X</stp>
        <stp>5</stp>
        <stp>0</stp>
        <stp>0</stp>
        <stp>0</stp>
        <stp>0</stp>
        <tr r="H106" s="7"/>
      </tp>
      <tp>
        <v>-1</v>
        <stp/>
        <stp>136</stp>
        <stp>BOOM</stp>
        <stp>INCOMEFORPRIMARYEPSQ_X</stp>
        <stp>6</stp>
        <stp>0</stp>
        <stp>0</stp>
        <stp>0</stp>
        <stp>0</stp>
        <tr r="H25" s="12"/>
        <tr r="H25" s="11"/>
      </tp>
      <tp>
        <v>-14.1</v>
        <stp/>
        <stp>136</stp>
        <stp>BOOM</stp>
        <stp>INCOMEFORPRIMARYEPSQ_X</stp>
        <stp>7</stp>
        <stp>0</stp>
        <stp>0</stp>
        <stp>0</stp>
        <stp>0</stp>
        <tr r="I25" s="11"/>
        <tr r="I25" s="12"/>
      </tp>
      <tp>
        <v>9.8000000000000007</v>
        <stp/>
        <stp>136</stp>
        <stp>BOOM</stp>
        <stp>INCOMEFORPRIMARYEPSQ_X</stp>
        <stp>4</stp>
        <stp>0</stp>
        <stp>0</stp>
        <stp>0</stp>
        <stp>0</stp>
        <tr r="F25" s="12"/>
        <tr r="F25" s="11"/>
      </tp>
      <tp>
        <v>3.6</v>
        <stp/>
        <stp>136</stp>
        <stp>BOOM</stp>
        <stp>INCOMEFORPRIMARYEPSQ_X</stp>
        <stp>5</stp>
        <stp>0</stp>
        <stp>0</stp>
        <stp>0</stp>
        <stp>0</stp>
        <tr r="G25" s="12"/>
        <tr r="G25" s="11"/>
      </tp>
      <tp>
        <v>15.8</v>
        <stp/>
        <stp>136</stp>
        <stp>BOOM</stp>
        <stp>INCOMEFORPRIMARYEPSQ_X</stp>
        <stp>2</stp>
        <stp>0</stp>
        <stp>0</stp>
        <stp>0</stp>
        <stp>0</stp>
        <tr r="D25" s="12"/>
        <tr r="D25" s="11"/>
      </tp>
      <tp>
        <v>4.8</v>
        <stp/>
        <stp>136</stp>
        <stp>BOOM</stp>
        <stp>INCOMEFORPRIMARYEPSQ_X</stp>
        <stp>3</stp>
        <stp>0</stp>
        <stp>0</stp>
        <stp>0</stp>
        <stp>0</stp>
        <tr r="E25" s="12"/>
        <tr r="E25" s="11"/>
      </tp>
      <tp>
        <v>14.9</v>
        <stp/>
        <stp>136</stp>
        <stp>BOOM</stp>
        <stp>INCOMEFORPRIMARYEPSQ_X</stp>
        <stp>1</stp>
        <stp>0</stp>
        <stp>0</stp>
        <stp>0</stp>
        <stp>0</stp>
        <tr r="C25" s="11"/>
        <tr r="C25" s="12"/>
      </tp>
      <tp>
        <v>-2.8</v>
        <stp/>
        <stp>136</stp>
        <stp>BOOM</stp>
        <stp>INCOMEFORPRIMARYEPSQ_X</stp>
        <stp>8</stp>
        <stp>0</stp>
        <stp>0</stp>
        <stp>0</stp>
        <stp>0</stp>
        <tr r="J25" s="11"/>
        <tr r="J25" s="12"/>
      </tp>
      <tp>
        <v>33.700000000000003</v>
        <stp/>
        <stp>136</stp>
        <stp>BOOM</stp>
        <stp>EPSDILGROWTH5Y</stp>
        <stp>0</stp>
        <stp>0</stp>
        <stp>0</stp>
        <stp>0</stp>
        <stp>0</stp>
        <tr r="E13" s="3"/>
      </tp>
      <tp>
        <v>11.8</v>
        <stp/>
        <stp>136</stp>
        <stp>BOOM</stp>
        <stp>EPSDILGROWTH7Y</stp>
        <stp>0</stp>
        <stp>0</stp>
        <stp>0</stp>
        <stp>0</stp>
        <stp>0</stp>
        <tr r="F13" s="3"/>
      </tp>
      <tp>
        <v>255</v>
        <stp/>
        <stp>136</stp>
        <stp>BOOM</stp>
        <stp>EPSDILGROWTH1Y</stp>
        <stp>0</stp>
        <stp>0</stp>
        <stp>0</stp>
        <stp>0</stp>
        <stp>0</stp>
        <tr r="C13" s="3"/>
      </tp>
      <tp>
        <v>47.1</v>
        <stp/>
        <stp>136</stp>
        <stp>BOOM</stp>
        <stp>EPSDILGROWTH3Y</stp>
        <stp>0</stp>
        <stp>0</stp>
        <stp>0</stp>
        <stp>0</stp>
        <stp>0</stp>
        <tr r="D13" s="3"/>
      </tp>
      <tp>
        <v>5.21</v>
        <stp/>
        <stp>136</stp>
        <stp>MSFT</stp>
        <stp>INDUSTRYPRICEPERBOOK1YEARAGO</stp>
        <stp>0</stp>
        <stp>0</stp>
        <stp>0</stp>
        <stp>0</stp>
        <stp>0</stp>
        <tr r="D15" s="6"/>
      </tp>
      <tp>
        <v>2</v>
        <stp/>
        <stp>136</stp>
        <stp>MSFT</stp>
        <stp>EPSESTREVISIONSDOWNQ0</stp>
        <stp>0</stp>
        <stp>0</stp>
        <stp>0</stp>
        <stp>0</stp>
        <stp>0</stp>
        <tr r="C18" s="8"/>
      </tp>
      <tp>
        <v>1</v>
        <stp/>
        <stp>136</stp>
        <stp>MSFT</stp>
        <stp>EPSESTREVISIONSDOWNY0</stp>
        <stp>0</stp>
        <stp>0</stp>
        <stp>0</stp>
        <stp>0</stp>
        <stp>0</stp>
        <tr r="E18" s="8"/>
      </tp>
      <tp>
        <v>0</v>
        <stp/>
        <stp>136</stp>
        <stp>MSFT</stp>
        <stp>ADJTOINCOMEQ_X</stp>
        <stp>6</stp>
        <stp>0</stp>
        <stp>0</stp>
        <stp>0</stp>
        <stp>0</stp>
        <tr r="H26" s="1"/>
      </tp>
      <tp>
        <v>0</v>
        <stp/>
        <stp>136</stp>
        <stp>MSFT</stp>
        <stp>ADJTOINCOMEQ_X</stp>
        <stp>7</stp>
        <stp>0</stp>
        <stp>0</stp>
        <stp>0</stp>
        <stp>0</stp>
        <tr r="I26" s="1"/>
      </tp>
      <tp>
        <v>0</v>
        <stp/>
        <stp>136</stp>
        <stp>MSFT</stp>
        <stp>ADJTOINCOMEQ_X</stp>
        <stp>4</stp>
        <stp>0</stp>
        <stp>0</stp>
        <stp>0</stp>
        <stp>0</stp>
        <tr r="F26" s="1"/>
      </tp>
      <tp>
        <v>0</v>
        <stp/>
        <stp>136</stp>
        <stp>MSFT</stp>
        <stp>ADJTOINCOMEQ_X</stp>
        <stp>5</stp>
        <stp>0</stp>
        <stp>0</stp>
        <stp>0</stp>
        <stp>0</stp>
        <tr r="G26" s="1"/>
      </tp>
      <tp>
        <v>0</v>
        <stp/>
        <stp>136</stp>
        <stp>MSFT</stp>
        <stp>ADJTOINCOMEQ_X</stp>
        <stp>2</stp>
        <stp>0</stp>
        <stp>0</stp>
        <stp>0</stp>
        <stp>0</stp>
        <tr r="D26" s="1"/>
      </tp>
      <tp>
        <v>0</v>
        <stp/>
        <stp>136</stp>
        <stp>MSFT</stp>
        <stp>ADJTOINCOMEQ_X</stp>
        <stp>3</stp>
        <stp>0</stp>
        <stp>0</stp>
        <stp>0</stp>
        <stp>0</stp>
        <tr r="E26" s="1"/>
      </tp>
      <tp>
        <v>0</v>
        <stp/>
        <stp>136</stp>
        <stp>MSFT</stp>
        <stp>ADJTOINCOMEQ_X</stp>
        <stp>1</stp>
        <stp>0</stp>
        <stp>0</stp>
        <stp>0</stp>
        <stp>0</stp>
        <tr r="C26" s="1"/>
      </tp>
      <tp>
        <v>0</v>
        <stp/>
        <stp>136</stp>
        <stp>MSFT</stp>
        <stp>ADJTOINCOMEQ_X</stp>
        <stp>8</stp>
        <stp>0</stp>
        <stp>0</stp>
        <stp>0</stp>
        <stp>0</stp>
        <tr r="J26" s="1"/>
      </tp>
      <tp>
        <v>63</v>
        <stp/>
        <stp>136</stp>
        <stp>MSFT</stp>
        <stp>INDUSTRYTOTALASSETSY_X</stp>
        <stp>7</stp>
        <stp>0</stp>
        <stp>0</stp>
        <stp>0</stp>
        <stp>0</stp>
        <tr r="J36" s="7"/>
      </tp>
      <tp>
        <v>60.5</v>
        <stp/>
        <stp>136</stp>
        <stp>MSFT</stp>
        <stp>INDUSTRYTOTALASSETSY_X</stp>
        <stp>6</stp>
        <stp>0</stp>
        <stp>0</stp>
        <stp>0</stp>
        <stp>0</stp>
        <tr r="I36" s="7"/>
      </tp>
      <tp>
        <v>78.3</v>
        <stp/>
        <stp>136</stp>
        <stp>MSFT</stp>
        <stp>INDUSTRYTOTALASSETSY_X</stp>
        <stp>5</stp>
        <stp>0</stp>
        <stp>0</stp>
        <stp>0</stp>
        <stp>0</stp>
        <tr r="H36" s="7"/>
      </tp>
      <tp>
        <v>110.9</v>
        <stp/>
        <stp>136</stp>
        <stp>MSFT</stp>
        <stp>INDUSTRYTOTALASSETSY_X</stp>
        <stp>4</stp>
        <stp>0</stp>
        <stp>0</stp>
        <stp>0</stp>
        <stp>0</stp>
        <tr r="G36" s="7"/>
      </tp>
      <tp>
        <v>112.1</v>
        <stp/>
        <stp>136</stp>
        <stp>MSFT</stp>
        <stp>INDUSTRYTOTALASSETSY_X</stp>
        <stp>3</stp>
        <stp>0</stp>
        <stp>0</stp>
        <stp>0</stp>
        <stp>0</stp>
        <tr r="F36" s="7"/>
      </tp>
      <tp>
        <v>152.9</v>
        <stp/>
        <stp>136</stp>
        <stp>MSFT</stp>
        <stp>INDUSTRYTOTALASSETSY_X</stp>
        <stp>2</stp>
        <stp>0</stp>
        <stp>0</stp>
        <stp>0</stp>
        <stp>0</stp>
        <tr r="E36" s="7"/>
      </tp>
      <tp>
        <v>181.5</v>
        <stp/>
        <stp>136</stp>
        <stp>MSFT</stp>
        <stp>INDUSTRYTOTALASSETSY_X</stp>
        <stp>1</stp>
        <stp>0</stp>
        <stp>0</stp>
        <stp>0</stp>
        <stp>0</stp>
        <tr r="D36" s="7"/>
      </tp>
      <tp t="s">
        <v>Industry PE / EPS</v>
        <stp/>
        <stp>137</stp>
        <stp/>
        <stp>INDUSTRYPE</stp>
        <stp>0</stp>
        <stp>0</stp>
        <stp>0</stp>
        <stp>0</stp>
        <stp>0</stp>
        <tr r="B14" s="6"/>
      </tp>
      <tp t="s">
        <v>NA</v>
        <stp/>
        <stp>136</stp>
        <stp>BOOM</stp>
        <stp>CAPITALEXPENDITURES12M</stp>
        <stp>0</stp>
        <stp>0</stp>
        <stp>0</stp>
        <stp>0</stp>
        <stp>0</stp>
        <tr r="L44" s="11"/>
        <tr r="L44" s="12"/>
      </tp>
      <tp>
        <v>-5.4</v>
        <stp/>
        <stp>136</stp>
        <stp>MSFT</stp>
        <stp>INDUSTRYNETMARGINY_X</stp>
        <stp>6</stp>
        <stp>0</stp>
        <stp>0</stp>
        <stp>0</stp>
        <stp>0</stp>
        <tr r="I35" s="7"/>
      </tp>
      <tp>
        <v>-4.5999999999999996</v>
        <stp/>
        <stp>136</stp>
        <stp>MSFT</stp>
        <stp>INDUSTRYNETMARGINY_X</stp>
        <stp>7</stp>
        <stp>0</stp>
        <stp>0</stp>
        <stp>0</stp>
        <stp>0</stp>
        <tr r="J35" s="7"/>
      </tp>
      <tp>
        <v>-16.600000000000001</v>
        <stp/>
        <stp>136</stp>
        <stp>MSFT</stp>
        <stp>INDUSTRYNETMARGINY_X</stp>
        <stp>4</stp>
        <stp>0</stp>
        <stp>0</stp>
        <stp>0</stp>
        <stp>0</stp>
        <tr r="G35" s="7"/>
      </tp>
      <tp>
        <v>-14.7</v>
        <stp/>
        <stp>136</stp>
        <stp>MSFT</stp>
        <stp>INDUSTRYNETMARGINY_X</stp>
        <stp>5</stp>
        <stp>0</stp>
        <stp>0</stp>
        <stp>0</stp>
        <stp>0</stp>
        <tr r="H35" s="7"/>
      </tp>
      <tp>
        <v>-11.4</v>
        <stp/>
        <stp>136</stp>
        <stp>MSFT</stp>
        <stp>INDUSTRYNETMARGINY_X</stp>
        <stp>2</stp>
        <stp>0</stp>
        <stp>0</stp>
        <stp>0</stp>
        <stp>0</stp>
        <tr r="E35" s="7"/>
      </tp>
      <tp>
        <v>-16</v>
        <stp/>
        <stp>136</stp>
        <stp>MSFT</stp>
        <stp>INDUSTRYNETMARGINY_X</stp>
        <stp>3</stp>
        <stp>0</stp>
        <stp>0</stp>
        <stp>0</stp>
        <stp>0</stp>
        <tr r="F35" s="7"/>
      </tp>
      <tp>
        <v>-9.3000000000000007</v>
        <stp/>
        <stp>136</stp>
        <stp>MSFT</stp>
        <stp>INDUSTRYNETMARGINY_X</stp>
        <stp>1</stp>
        <stp>0</stp>
        <stp>0</stp>
        <stp>0</stp>
        <stp>0</stp>
        <tr r="D35" s="7"/>
      </tp>
      <tp>
        <v>0</v>
        <stp/>
        <stp>136</stp>
        <stp>MSFT</stp>
        <stp>SECTORPAYOUTRATIOY_X</stp>
        <stp>2</stp>
        <stp>0</stp>
        <stp>0</stp>
        <stp>0</stp>
        <stp>0</stp>
        <tr r="E70" s="7"/>
      </tp>
      <tp>
        <v>0</v>
        <stp/>
        <stp>136</stp>
        <stp>MSFT</stp>
        <stp>SECTORPAYOUTRATIOY_X</stp>
        <stp>3</stp>
        <stp>0</stp>
        <stp>0</stp>
        <stp>0</stp>
        <stp>0</stp>
        <tr r="F70" s="7"/>
      </tp>
      <tp>
        <v>0</v>
        <stp/>
        <stp>136</stp>
        <stp>MSFT</stp>
        <stp>SECTORPAYOUTRATIOY_X</stp>
        <stp>1</stp>
        <stp>0</stp>
        <stp>0</stp>
        <stp>0</stp>
        <stp>0</stp>
        <tr r="D70" s="7"/>
      </tp>
      <tp>
        <v>0</v>
        <stp/>
        <stp>136</stp>
        <stp>MSFT</stp>
        <stp>SECTORPAYOUTRATIOY_X</stp>
        <stp>6</stp>
        <stp>0</stp>
        <stp>0</stp>
        <stp>0</stp>
        <stp>0</stp>
        <tr r="I70" s="7"/>
      </tp>
      <tp>
        <v>0</v>
        <stp/>
        <stp>136</stp>
        <stp>MSFT</stp>
        <stp>SECTORPAYOUTRATIOY_X</stp>
        <stp>7</stp>
        <stp>0</stp>
        <stp>0</stp>
        <stp>0</stp>
        <stp>0</stp>
        <tr r="J70" s="7"/>
      </tp>
      <tp>
        <v>0</v>
        <stp/>
        <stp>136</stp>
        <stp>MSFT</stp>
        <stp>SECTORPAYOUTRATIOY_X</stp>
        <stp>4</stp>
        <stp>0</stp>
        <stp>0</stp>
        <stp>0</stp>
        <stp>0</stp>
        <tr r="G70" s="7"/>
      </tp>
      <tp>
        <v>0</v>
        <stp/>
        <stp>136</stp>
        <stp>MSFT</stp>
        <stp>SECTORPAYOUTRATIOY_X</stp>
        <stp>5</stp>
        <stp>0</stp>
        <stp>0</stp>
        <stp>0</stp>
        <stp>0</stp>
        <tr r="H70" s="7"/>
      </tp>
      <tp t="s">
        <v>Valuation-PEA &amp; Est</v>
        <stp/>
        <stp>137</stp>
        <stp/>
        <stp>VALUATIONPEAANDEST</stp>
        <stp>0</stp>
        <stp>0</stp>
        <stp>0</stp>
        <stp>0</stp>
        <stp>0</stp>
        <tr r="B17" s="9"/>
      </tp>
      <tp>
        <v>15</v>
        <stp/>
        <stp>136</stp>
        <stp>MSFT</stp>
        <stp>SECTOREPSGROWTHESTHIGH</stp>
        <stp>0</stp>
        <stp>0</stp>
        <stp>0</stp>
        <stp>0</stp>
        <stp>0</stp>
        <tr r="J7" s="8"/>
      </tp>
      <tp>
        <v>5.8</v>
        <stp/>
        <stp>136</stp>
        <stp>MSFT</stp>
        <stp>SECTORRECEIVABLESTURNOVER12M</stp>
        <stp>0</stp>
        <stp>0</stp>
        <stp>0</stp>
        <stp>0</stp>
        <stp>0</stp>
        <tr r="C79" s="7"/>
      </tp>
      <tp>
        <v>70</v>
        <stp/>
        <stp>136</stp>
        <stp>AAPL</stp>
        <stp>SECTORPRICEASPCNTOF52WEEKHIGH</stp>
        <stp>0</stp>
        <stp>0</stp>
        <stp>0</stp>
        <stp>0</stp>
        <stp>0</stp>
        <tr r="E25" s="5"/>
      </tp>
      <tp>
        <v>1</v>
        <stp/>
        <stp>136</stp>
        <stp>MSFT</stp>
        <stp>EPSESTREVISIONSDOWNQ1</stp>
        <stp>0</stp>
        <stp>0</stp>
        <stp>0</stp>
        <stp>0</stp>
        <stp>0</stp>
        <tr r="D18" s="8"/>
      </tp>
      <tp>
        <v>1</v>
        <stp/>
        <stp>136</stp>
        <stp>MSFT</stp>
        <stp>EPSESTREVISIONSDOWNY1</stp>
        <stp>0</stp>
        <stp>0</stp>
        <stp>0</stp>
        <stp>0</stp>
        <stp>0</stp>
        <tr r="F18" s="8"/>
      </tp>
      <tp>
        <v>76</v>
        <stp/>
        <stp>136</stp>
        <stp>MSFT</stp>
        <stp>PCNTRANKGROSSMARGIN12M</stp>
        <stp>0</stp>
        <stp>0</stp>
        <stp>0</stp>
        <stp>0</stp>
        <stp>0</stp>
        <tr r="C87" s="7"/>
      </tp>
      <tp>
        <v>28.6</v>
        <stp/>
        <stp>136</stp>
        <stp>MSFT</stp>
        <stp>NETMARGIN12M</stp>
        <stp>0</stp>
        <stp>0</stp>
        <stp>0</stp>
        <stp>0</stp>
        <stp>0</stp>
        <tr r="C9" s="7"/>
      </tp>
      <tp>
        <v>4.7</v>
        <stp/>
        <stp>136</stp>
        <stp>MSFT</stp>
        <stp>RECEIVABLESTURNOVERY_X</stp>
        <stp>5</stp>
        <stp>0</stp>
        <stp>0</stp>
        <stp>0</stp>
        <stp>0</stp>
        <tr r="H25" s="7"/>
      </tp>
      <tp>
        <v>5</v>
        <stp/>
        <stp>136</stp>
        <stp>MSFT</stp>
        <stp>RECEIVABLESTURNOVERY_X</stp>
        <stp>4</stp>
        <stp>0</stp>
        <stp>0</stp>
        <stp>0</stp>
        <stp>0</stp>
        <tr r="G25" s="7"/>
      </tp>
      <tp>
        <v>4.8</v>
        <stp/>
        <stp>136</stp>
        <stp>MSFT</stp>
        <stp>RECEIVABLESTURNOVERY_X</stp>
        <stp>7</stp>
        <stp>0</stp>
        <stp>0</stp>
        <stp>0</stp>
        <stp>0</stp>
        <tr r="J25" s="7"/>
      </tp>
      <tp>
        <v>4.7</v>
        <stp/>
        <stp>136</stp>
        <stp>MSFT</stp>
        <stp>RECEIVABLESTURNOVERY_X</stp>
        <stp>6</stp>
        <stp>0</stp>
        <stp>0</stp>
        <stp>0</stp>
        <stp>0</stp>
        <tr r="I25" s="7"/>
      </tp>
      <tp>
        <v>4.5</v>
        <stp/>
        <stp>136</stp>
        <stp>MSFT</stp>
        <stp>RECEIVABLESTURNOVERY_X</stp>
        <stp>1</stp>
        <stp>0</stp>
        <stp>0</stp>
        <stp>0</stp>
        <stp>0</stp>
        <tr r="D25" s="7"/>
      </tp>
      <tp>
        <v>5</v>
        <stp/>
        <stp>136</stp>
        <stp>MSFT</stp>
        <stp>RECEIVABLESTURNOVERY_X</stp>
        <stp>3</stp>
        <stp>0</stp>
        <stp>0</stp>
        <stp>0</stp>
        <stp>0</stp>
        <tr r="F25" s="7"/>
      </tp>
      <tp>
        <v>4.7</v>
        <stp/>
        <stp>136</stp>
        <stp>MSFT</stp>
        <stp>RECEIVABLESTURNOVERY_X</stp>
        <stp>2</stp>
        <stp>0</stp>
        <stp>0</stp>
        <stp>0</stp>
        <stp>0</stp>
        <tr r="E25" s="7"/>
      </tp>
      <tp>
        <v>34926</v>
        <stp/>
        <stp>136</stp>
        <stp>MSFT</stp>
        <stp>NETINCOME12M</stp>
        <stp>0</stp>
        <stp>0</stp>
        <stp>0</stp>
        <stp>0</stp>
        <stp>0</stp>
        <tr r="L29" s="1"/>
      </tp>
      <tp>
        <v>148.9</v>
        <stp/>
        <stp>136</stp>
        <stp>MSFT</stp>
        <stp>VALUATIONSPS</stp>
        <stp>0</stp>
        <stp>0</stp>
        <stp>0</stp>
        <stp>0</stp>
        <stp>0</stp>
        <tr r="C6" s="9"/>
      </tp>
      <tp>
        <v>25.9</v>
        <stp/>
        <stp>136</stp>
        <stp>MSFT</stp>
        <stp>SECTORPEAVEY_X</stp>
        <stp>1</stp>
        <stp>0</stp>
        <stp>0</stp>
        <stp>0</stp>
        <stp>0</stp>
        <tr r="H22" s="6"/>
      </tp>
      <tp>
        <v>25</v>
        <stp/>
        <stp>136</stp>
        <stp>MSFT</stp>
        <stp>SECTORPEAVEY_X</stp>
        <stp>2</stp>
        <stp>0</stp>
        <stp>0</stp>
        <stp>0</stp>
        <stp>0</stp>
        <tr r="I22" s="6"/>
      </tp>
      <tp>
        <v>23.9</v>
        <stp/>
        <stp>136</stp>
        <stp>MSFT</stp>
        <stp>SECTORPEAVEY_X</stp>
        <stp>3</stp>
        <stp>0</stp>
        <stp>0</stp>
        <stp>0</stp>
        <stp>0</stp>
        <tr r="J22" s="6"/>
      </tp>
      <tp>
        <v>24.5</v>
        <stp/>
        <stp>136</stp>
        <stp>MSFT</stp>
        <stp>SECTORPEAVEY_X</stp>
        <stp>4</stp>
        <stp>0</stp>
        <stp>0</stp>
        <stp>0</stp>
        <stp>0</stp>
        <tr r="K22" s="6"/>
      </tp>
      <tp>
        <v>25.4</v>
        <stp/>
        <stp>136</stp>
        <stp>MSFT</stp>
        <stp>SECTORPEAVEY_X</stp>
        <stp>5</stp>
        <stp>0</stp>
        <stp>0</stp>
        <stp>0</stp>
        <stp>0</stp>
        <tr r="L22" s="6"/>
      </tp>
      <tp>
        <v>23.7</v>
        <stp/>
        <stp>136</stp>
        <stp>MSFT</stp>
        <stp>SECTORPEAVEY_X</stp>
        <stp>6</stp>
        <stp>0</stp>
        <stp>0</stp>
        <stp>0</stp>
        <stp>0</stp>
        <tr r="M22" s="6"/>
      </tp>
      <tp>
        <v>19.2</v>
        <stp/>
        <stp>136</stp>
        <stp>MSFT</stp>
        <stp>SECTORPEAVEY_X</stp>
        <stp>7</stp>
        <stp>0</stp>
        <stp>0</stp>
        <stp>0</stp>
        <stp>0</stp>
        <tr r="N22" s="6"/>
      </tp>
      <tp>
        <v>15.1</v>
        <stp/>
        <stp>136</stp>
        <stp>MSFT</stp>
        <stp>EPSGROWTHESTY1TOESTY2</stp>
        <stp>0</stp>
        <stp>0</stp>
        <stp>0</stp>
        <stp>0</stp>
        <stp>0</stp>
        <tr r="C34" s="8"/>
      </tp>
      <tp t="s">
        <v>NA</v>
        <stp/>
        <stp>136</stp>
        <stp>AAPL</stp>
        <stp>SHARESPERADR</stp>
        <stp>0</stp>
        <stp>0</stp>
        <stp>0</stp>
        <stp>0</stp>
        <stp>0</stp>
        <tr r="C48" s="5"/>
      </tp>
      <tp>
        <v>2536</v>
        <stp/>
        <stp>136</stp>
        <stp>MSFT</stp>
        <stp>DEPRECIATIONAMORTCFQ_X</stp>
        <stp>6</stp>
        <stp>0</stp>
        <stp>0</stp>
        <stp>0</stp>
        <stp>0</stp>
        <tr r="H45" s="1"/>
      </tp>
      <tp>
        <v>2499</v>
        <stp/>
        <stp>136</stp>
        <stp>MSFT</stp>
        <stp>DEPRECIATIONAMORTCFQ_X</stp>
        <stp>7</stp>
        <stp>0</stp>
        <stp>0</stp>
        <stp>0</stp>
        <stp>0</stp>
        <tr r="I45" s="1"/>
      </tp>
      <tp>
        <v>2516</v>
        <stp/>
        <stp>136</stp>
        <stp>MSFT</stp>
        <stp>DEPRECIATIONAMORTCFQ_X</stp>
        <stp>4</stp>
        <stp>0</stp>
        <stp>0</stp>
        <stp>0</stp>
        <stp>0</stp>
        <tr r="F45" s="1"/>
      </tp>
      <tp>
        <v>2710</v>
        <stp/>
        <stp>136</stp>
        <stp>MSFT</stp>
        <stp>DEPRECIATIONAMORTCFQ_X</stp>
        <stp>5</stp>
        <stp>0</stp>
        <stp>0</stp>
        <stp>0</stp>
        <stp>0</stp>
        <tr r="G45" s="1"/>
      </tp>
      <tp>
        <v>2995</v>
        <stp/>
        <stp>136</stp>
        <stp>MSFT</stp>
        <stp>DEPRECIATIONAMORTCFQ_X</stp>
        <stp>2</stp>
        <stp>0</stp>
        <stp>0</stp>
        <stp>0</stp>
        <stp>0</stp>
        <tr r="D45" s="1"/>
      </tp>
      <tp>
        <v>2837</v>
        <stp/>
        <stp>136</stp>
        <stp>MSFT</stp>
        <stp>DEPRECIATIONAMORTCFQ_X</stp>
        <stp>3</stp>
        <stp>0</stp>
        <stp>0</stp>
        <stp>0</stp>
        <stp>0</stp>
        <tr r="E45" s="1"/>
      </tp>
      <tp>
        <v>2926</v>
        <stp/>
        <stp>136</stp>
        <stp>MSFT</stp>
        <stp>DEPRECIATIONAMORTCFQ_X</stp>
        <stp>1</stp>
        <stp>0</stp>
        <stp>0</stp>
        <stp>0</stp>
        <stp>0</stp>
        <tr r="C45" s="1"/>
      </tp>
      <tp>
        <v>2343</v>
        <stp/>
        <stp>136</stp>
        <stp>MSFT</stp>
        <stp>DEPRECIATIONAMORTCFQ_X</stp>
        <stp>8</stp>
        <stp>0</stp>
        <stp>0</stp>
        <stp>0</stp>
        <stp>0</stp>
        <tr r="J45" s="1"/>
      </tp>
      <tp>
        <v>58.3</v>
        <stp/>
        <stp>136</stp>
        <stp>MSFT</stp>
        <stp>INDUSTRYTOTALLIABILITIESASSETSQ1</stp>
        <stp>0</stp>
        <stp>0</stp>
        <stp>0</stp>
        <stp>0</stp>
        <stp>0</stp>
        <tr r="C47" s="7"/>
      </tp>
      <tp>
        <v>205.6</v>
        <stp/>
        <stp>136</stp>
        <stp>MSFT</stp>
        <stp>INDUSTRYTOTALASSETSQ1</stp>
        <stp>0</stp>
        <stp>0</stp>
        <stp>0</stp>
        <stp>0</stp>
        <stp>0</stp>
        <tr r="C36" s="7"/>
      </tp>
      <tp>
        <v>147.4</v>
        <stp/>
        <stp>136</stp>
        <stp>MSFT</stp>
        <stp>SECTORTOTALASSETSY_X</stp>
        <stp>6</stp>
        <stp>0</stp>
        <stp>0</stp>
        <stp>0</stp>
        <stp>0</stp>
        <tr r="I63" s="7"/>
      </tp>
      <tp>
        <v>150.9</v>
        <stp/>
        <stp>136</stp>
        <stp>MSFT</stp>
        <stp>SECTORTOTALASSETSY_X</stp>
        <stp>7</stp>
        <stp>0</stp>
        <stp>0</stp>
        <stp>0</stp>
        <stp>0</stp>
        <tr r="J63" s="7"/>
      </tp>
      <tp>
        <v>168.9</v>
        <stp/>
        <stp>136</stp>
        <stp>MSFT</stp>
        <stp>SECTORTOTALASSETSY_X</stp>
        <stp>4</stp>
        <stp>0</stp>
        <stp>0</stp>
        <stp>0</stp>
        <stp>0</stp>
        <tr r="G63" s="7"/>
      </tp>
      <tp>
        <v>164.6</v>
        <stp/>
        <stp>136</stp>
        <stp>MSFT</stp>
        <stp>SECTORTOTALASSETSY_X</stp>
        <stp>5</stp>
        <stp>0</stp>
        <stp>0</stp>
        <stp>0</stp>
        <stp>0</stp>
        <tr r="H63" s="7"/>
      </tp>
      <tp>
        <v>215</v>
        <stp/>
        <stp>136</stp>
        <stp>MSFT</stp>
        <stp>SECTORTOTALASSETSY_X</stp>
        <stp>2</stp>
        <stp>0</stp>
        <stp>0</stp>
        <stp>0</stp>
        <stp>0</stp>
        <tr r="E63" s="7"/>
      </tp>
      <tp>
        <v>174.2</v>
        <stp/>
        <stp>136</stp>
        <stp>MSFT</stp>
        <stp>SECTORTOTALASSETSY_X</stp>
        <stp>3</stp>
        <stp>0</stp>
        <stp>0</stp>
        <stp>0</stp>
        <stp>0</stp>
        <tr r="F63" s="7"/>
      </tp>
      <tp>
        <v>268.2</v>
        <stp/>
        <stp>136</stp>
        <stp>MSFT</stp>
        <stp>SECTORTOTALASSETSY_X</stp>
        <stp>1</stp>
        <stp>0</stp>
        <stp>0</stp>
        <stp>0</stp>
        <stp>0</stp>
        <tr r="D63" s="7"/>
      </tp>
      <tp>
        <v>5.49</v>
        <stp/>
        <stp>136</stp>
        <stp>MSFT</stp>
        <stp>INDUSTRYPRICEPERBOOK</stp>
        <stp>0</stp>
        <stp>0</stp>
        <stp>0</stp>
        <stp>0</stp>
        <stp>0</stp>
        <tr r="C15" s="6"/>
      </tp>
      <tp>
        <v>90</v>
        <stp/>
        <stp>136</stp>
        <stp>MSFT</stp>
        <stp>PCNTRANKNETMARGIN12M</stp>
        <stp>0</stp>
        <stp>0</stp>
        <stp>0</stp>
        <stp>0</stp>
        <stp>0</stp>
        <tr r="C89" s="7"/>
      </tp>
      <tp t="s">
        <v>PE Relative Low-Avg 5 Year</v>
        <stp/>
        <stp>137</stp>
        <stp/>
        <stp>PERELATIVELOWAVE5Y</stp>
        <stp>0</stp>
        <stp>0</stp>
        <stp>0</stp>
        <stp>0</stp>
        <stp>0</stp>
        <tr r="B93" s="5"/>
      </tp>
      <tp>
        <v>0</v>
        <stp/>
        <stp>136</stp>
        <stp>MSFT</stp>
        <stp>INDUSTRYPAYOUTRATIOY_X</stp>
        <stp>3</stp>
        <stp>0</stp>
        <stp>0</stp>
        <stp>0</stp>
        <stp>0</stp>
        <tr r="F43" s="7"/>
      </tp>
      <tp>
        <v>0</v>
        <stp/>
        <stp>136</stp>
        <stp>MSFT</stp>
        <stp>INDUSTRYPAYOUTRATIOY_X</stp>
        <stp>2</stp>
        <stp>0</stp>
        <stp>0</stp>
        <stp>0</stp>
        <stp>0</stp>
        <tr r="E43" s="7"/>
      </tp>
      <tp>
        <v>0</v>
        <stp/>
        <stp>136</stp>
        <stp>MSFT</stp>
        <stp>INDUSTRYPAYOUTRATIOY_X</stp>
        <stp>1</stp>
        <stp>0</stp>
        <stp>0</stp>
        <stp>0</stp>
        <stp>0</stp>
        <tr r="D43" s="7"/>
      </tp>
      <tp>
        <v>0</v>
        <stp/>
        <stp>136</stp>
        <stp>MSFT</stp>
        <stp>INDUSTRYPAYOUTRATIOY_X</stp>
        <stp>7</stp>
        <stp>0</stp>
        <stp>0</stp>
        <stp>0</stp>
        <stp>0</stp>
        <tr r="J43" s="7"/>
      </tp>
      <tp>
        <v>0</v>
        <stp/>
        <stp>136</stp>
        <stp>MSFT</stp>
        <stp>INDUSTRYPAYOUTRATIOY_X</stp>
        <stp>6</stp>
        <stp>0</stp>
        <stp>0</stp>
        <stp>0</stp>
        <stp>0</stp>
        <tr r="I43" s="7"/>
      </tp>
      <tp>
        <v>0</v>
        <stp/>
        <stp>136</stp>
        <stp>MSFT</stp>
        <stp>INDUSTRYPAYOUTRATIOY_X</stp>
        <stp>5</stp>
        <stp>0</stp>
        <stp>0</stp>
        <stp>0</stp>
        <stp>0</stp>
        <tr r="H43" s="7"/>
      </tp>
      <tp>
        <v>0</v>
        <stp/>
        <stp>136</stp>
        <stp>MSFT</stp>
        <stp>INDUSTRYPAYOUTRATIOY_X</stp>
        <stp>4</stp>
        <stp>0</stp>
        <stp>0</stp>
        <stp>0</stp>
        <stp>0</stp>
        <tr r="G43" s="7"/>
      </tp>
      <tp>
        <v>-7369</v>
        <stp/>
        <stp>136</stp>
        <stp>MSFT</stp>
        <stp>CASHFROMINVESTINGQ_X</stp>
        <stp>8</stp>
        <stp>0</stp>
        <stp>0</stp>
        <stp>0</stp>
        <stp>0</stp>
        <tr r="J40" s="1"/>
      </tp>
      <tp>
        <v>-4200</v>
        <stp/>
        <stp>136</stp>
        <stp>MSFT</stp>
        <stp>CASHFROMINVESTINGQ_X</stp>
        <stp>2</stp>
        <stp>0</stp>
        <stp>0</stp>
        <stp>0</stp>
        <stp>0</stp>
        <tr r="D40" s="1"/>
      </tp>
      <tp>
        <v>-2953</v>
        <stp/>
        <stp>136</stp>
        <stp>MSFT</stp>
        <stp>CASHFROMINVESTINGQ_X</stp>
        <stp>3</stp>
        <stp>0</stp>
        <stp>0</stp>
        <stp>0</stp>
        <stp>0</stp>
        <tr r="E40" s="1"/>
      </tp>
      <tp>
        <v>-1363</v>
        <stp/>
        <stp>136</stp>
        <stp>MSFT</stp>
        <stp>CASHFROMINVESTINGQ_X</stp>
        <stp>1</stp>
        <stp>0</stp>
        <stp>0</stp>
        <stp>0</stp>
        <stp>0</stp>
        <tr r="C40" s="1"/>
      </tp>
      <tp>
        <v>-331</v>
        <stp/>
        <stp>136</stp>
        <stp>MSFT</stp>
        <stp>CASHFROMINVESTINGQ_X</stp>
        <stp>6</stp>
        <stp>0</stp>
        <stp>0</stp>
        <stp>0</stp>
        <stp>0</stp>
        <tr r="H40" s="1"/>
      </tp>
      <tp>
        <v>-6904</v>
        <stp/>
        <stp>136</stp>
        <stp>MSFT</stp>
        <stp>CASHFROMINVESTINGQ_X</stp>
        <stp>7</stp>
        <stp>0</stp>
        <stp>0</stp>
        <stp>0</stp>
        <stp>0</stp>
        <tr r="I40" s="1"/>
      </tp>
      <tp>
        <v>-2670</v>
        <stp/>
        <stp>136</stp>
        <stp>MSFT</stp>
        <stp>CASHFROMINVESTINGQ_X</stp>
        <stp>4</stp>
        <stp>0</stp>
        <stp>0</stp>
        <stp>0</stp>
        <stp>0</stp>
        <tr r="F40" s="1"/>
      </tp>
      <tp>
        <v>3844</v>
        <stp/>
        <stp>136</stp>
        <stp>MSFT</stp>
        <stp>CASHFROMINVESTINGQ_X</stp>
        <stp>5</stp>
        <stp>0</stp>
        <stp>0</stp>
        <stp>0</stp>
        <stp>0</stp>
        <tr r="G40" s="1"/>
      </tp>
      <tp>
        <v>30</v>
        <stp/>
        <stp>136</stp>
        <stp>MSFT</stp>
        <stp>OPERATINGMARGINAVE3Y</stp>
        <stp>0</stp>
        <stp>0</stp>
        <stp>0</stp>
        <stp>0</stp>
        <stp>0</stp>
        <tr r="L8" s="7"/>
      </tp>
      <tp>
        <v>28.2</v>
        <stp/>
        <stp>136</stp>
        <stp>MSFT</stp>
        <stp>OPERATINGMARGINAVE5Y</stp>
        <stp>0</stp>
        <stp>0</stp>
        <stp>0</stp>
        <stp>0</stp>
        <stp>0</stp>
        <tr r="K8" s="7"/>
      </tp>
      <tp t="s">
        <v>Cost Of Goods Sold</v>
        <stp/>
        <stp>137</stp>
        <stp/>
        <stp>COSTOFGOODSSOLDQ_X</stp>
        <stp>0</stp>
        <stp>0</stp>
        <stp>0</stp>
        <stp>0</stp>
        <stp>0</stp>
        <tr r="B8" s="12"/>
        <tr r="B8" s="1"/>
        <tr r="B8" s="11"/>
      </tp>
      <tp>
        <v>0.2</v>
        <stp/>
        <stp>136</stp>
        <stp>MSFT</stp>
        <stp>SECTORTIMESINTERESTEARNEDY_X</stp>
        <stp>4</stp>
        <stp>0</stp>
        <stp>0</stp>
        <stp>0</stp>
        <stp>0</stp>
        <tr r="G71" s="7"/>
      </tp>
      <tp>
        <v>1.4</v>
        <stp/>
        <stp>136</stp>
        <stp>MSFT</stp>
        <stp>SECTORTIMESINTERESTEARNEDY_X</stp>
        <stp>5</stp>
        <stp>0</stp>
        <stp>0</stp>
        <stp>0</stp>
        <stp>0</stp>
        <tr r="H71" s="7"/>
      </tp>
      <tp>
        <v>1.8</v>
        <stp/>
        <stp>136</stp>
        <stp>MSFT</stp>
        <stp>SECTORTIMESINTERESTEARNEDY_X</stp>
        <stp>6</stp>
        <stp>0</stp>
        <stp>0</stp>
        <stp>0</stp>
        <stp>0</stp>
        <tr r="I71" s="7"/>
      </tp>
      <tp>
        <v>2.8</v>
        <stp/>
        <stp>136</stp>
        <stp>MSFT</stp>
        <stp>SECTORTIMESINTERESTEARNEDY_X</stp>
        <stp>7</stp>
        <stp>0</stp>
        <stp>0</stp>
        <stp>0</stp>
        <stp>0</stp>
        <tr r="J71" s="7"/>
      </tp>
      <tp>
        <v>0.3</v>
        <stp/>
        <stp>136</stp>
        <stp>MSFT</stp>
        <stp>SECTORTIMESINTERESTEARNEDY_X</stp>
        <stp>1</stp>
        <stp>0</stp>
        <stp>0</stp>
        <stp>0</stp>
        <stp>0</stp>
        <tr r="D71" s="7"/>
      </tp>
      <tp>
        <v>-0.1</v>
        <stp/>
        <stp>136</stp>
        <stp>MSFT</stp>
        <stp>SECTORTIMESINTERESTEARNEDY_X</stp>
        <stp>2</stp>
        <stp>0</stp>
        <stp>0</stp>
        <stp>0</stp>
        <stp>0</stp>
        <tr r="E71" s="7"/>
      </tp>
      <tp>
        <v>-0.2</v>
        <stp/>
        <stp>136</stp>
        <stp>MSFT</stp>
        <stp>SECTORTIMESINTERESTEARNEDY_X</stp>
        <stp>3</stp>
        <stp>0</stp>
        <stp>0</stp>
        <stp>0</stp>
        <stp>0</stp>
        <tr r="F71" s="7"/>
      </tp>
      <tp t="s">
        <v>Basic Materials</v>
        <stp/>
        <stp>136</stp>
        <stp>BOOM</stp>
        <stp>SECTOR</stp>
        <stp>0</stp>
        <stp>0</stp>
        <stp>0</stp>
        <stp>0</stp>
        <stp>0</stp>
        <tr r="C33" s="3"/>
      </tp>
      <tp t="s">
        <v>Current Assets</v>
        <stp/>
        <stp>137</stp>
        <stp/>
        <stp>CURRENTASSETSQ_X</stp>
        <stp>0</stp>
        <stp>0</stp>
        <stp>0</stp>
        <stp>0</stp>
        <stp>0</stp>
        <tr r="D32" s="13"/>
        <tr r="B60" s="11"/>
        <tr r="B60" s="12"/>
        <tr r="B62" s="1"/>
      </tp>
      <tp t="s">
        <v>Interest Expense</v>
        <stp/>
        <stp>137</stp>
        <stp/>
        <stp>INTERESTEXPENSEQ_X</stp>
        <stp>0</stp>
        <stp>0</stp>
        <stp>0</stp>
        <stp>0</stp>
        <stp>0</stp>
        <tr r="D16" s="13"/>
        <tr r="B13" s="1"/>
      </tp>
      <tp>
        <v>291.5</v>
        <stp/>
        <stp>136</stp>
        <stp>MSFT</stp>
        <stp>SECTORSALES12M</stp>
        <stp>0</stp>
        <stp>0</stp>
        <stp>0</stp>
        <stp>0</stp>
        <stp>0</stp>
        <tr r="C59" s="7"/>
      </tp>
      <tp>
        <v>16.5</v>
        <stp/>
        <stp>136</stp>
        <stp>MSFT</stp>
        <stp>TIMESINTERESTEARNED12M</stp>
        <stp>0</stp>
        <stp>0</stp>
        <stp>0</stp>
        <stp>0</stp>
        <stp>0</stp>
        <tr r="C17" s="7"/>
      </tp>
      <tp t="s">
        <v>DCF: BSCF</v>
        <stp/>
        <stp>137</stp>
        <stp/>
        <stp>DCFBSCFQ_X</stp>
        <stp>0</stp>
        <stp>0</stp>
        <stp>0</stp>
        <stp>0</stp>
        <stp>0</stp>
        <tr r="B48" s="11"/>
        <tr r="B48" s="12"/>
        <tr r="B50" s="1"/>
      </tp>
      <tp t="s">
        <v>Operating Margin</v>
        <stp/>
        <stp>137</stp>
        <stp/>
        <stp>OPERATINGMARGINY_X</stp>
        <stp>0</stp>
        <stp>0</stp>
        <stp>0</stp>
        <stp>0</stp>
        <stp>0</stp>
        <tr r="B8" s="7"/>
      </tp>
      <tp>
        <v>2181</v>
        <stp/>
        <stp>136</stp>
        <stp>MSFT</stp>
        <stp>INVENTORYQ_X</stp>
        <stp>8</stp>
        <stp>0</stp>
        <stp>0</stp>
        <stp>0</stp>
        <stp>0</stp>
        <tr r="J60" s="1"/>
      </tp>
      <tp>
        <v>1951</v>
        <stp/>
        <stp>136</stp>
        <stp>MSFT</stp>
        <stp>INVENTORYQ_X</stp>
        <stp>1</stp>
        <stp>0</stp>
        <stp>0</stp>
        <stp>0</stp>
        <stp>0</stp>
        <tr r="C60" s="1"/>
      </tp>
      <tp>
        <v>3614</v>
        <stp/>
        <stp>136</stp>
        <stp>MSFT</stp>
        <stp>INVENTORYQ_X</stp>
        <stp>3</stp>
        <stp>0</stp>
        <stp>0</stp>
        <stp>0</stp>
        <stp>0</stp>
        <tr r="E60" s="1"/>
      </tp>
      <tp>
        <v>1961</v>
        <stp/>
        <stp>136</stp>
        <stp>MSFT</stp>
        <stp>INVENTORYQ_X</stp>
        <stp>2</stp>
        <stp>0</stp>
        <stp>0</stp>
        <stp>0</stp>
        <stp>0</stp>
        <tr r="D60" s="1"/>
      </tp>
      <tp>
        <v>2084</v>
        <stp/>
        <stp>136</stp>
        <stp>MSFT</stp>
        <stp>INVENTORYQ_X</stp>
        <stp>5</stp>
        <stp>0</stp>
        <stp>0</stp>
        <stp>0</stp>
        <stp>0</stp>
        <tr r="G60" s="1"/>
      </tp>
      <tp>
        <v>2662</v>
        <stp/>
        <stp>136</stp>
        <stp>MSFT</stp>
        <stp>INVENTORYQ_X</stp>
        <stp>4</stp>
        <stp>0</stp>
        <stp>0</stp>
        <stp>0</stp>
        <stp>0</stp>
        <tr r="F60" s="1"/>
      </tp>
      <tp>
        <v>3211</v>
        <stp/>
        <stp>136</stp>
        <stp>MSFT</stp>
        <stp>INVENTORYQ_X</stp>
        <stp>7</stp>
        <stp>0</stp>
        <stp>0</stp>
        <stp>0</stp>
        <stp>0</stp>
        <tr r="I60" s="1"/>
      </tp>
      <tp>
        <v>2003</v>
        <stp/>
        <stp>136</stp>
        <stp>MSFT</stp>
        <stp>INVENTORYQ_X</stp>
        <stp>6</stp>
        <stp>0</stp>
        <stp>0</stp>
        <stp>0</stp>
        <stp>0</stp>
        <tr r="H60" s="1"/>
      </tp>
      <tp>
        <v>43434</v>
        <stp/>
        <stp>136</stp>
        <stp>MSFT</stp>
        <stp>PRICEDATEM_X</stp>
        <stp>9</stp>
        <stp>0</stp>
        <stp>0</stp>
        <stp>0</stp>
        <stp>0</stp>
        <tr r="C24" s="4"/>
      </tp>
      <tp>
        <v>43465</v>
        <stp/>
        <stp>136</stp>
        <stp>MSFT</stp>
        <stp>PRICEDATEM_X</stp>
        <stp>8</stp>
        <stp>0</stp>
        <stp>0</stp>
        <stp>0</stp>
        <stp>0</stp>
        <tr r="C23" s="4"/>
      </tp>
      <tp>
        <v>43658</v>
        <stp/>
        <stp>136</stp>
        <stp>MSFT</stp>
        <stp>PRICEDATEM_X</stp>
        <stp>1</stp>
        <stp>0</stp>
        <stp>0</stp>
        <stp>0</stp>
        <stp>0</stp>
        <tr r="C16" s="4"/>
      </tp>
      <tp>
        <v>43616</v>
        <stp/>
        <stp>136</stp>
        <stp>MSFT</stp>
        <stp>PRICEDATEM_X</stp>
        <stp>3</stp>
        <stp>0</stp>
        <stp>0</stp>
        <stp>0</stp>
        <stp>0</stp>
        <tr r="C18" s="4"/>
      </tp>
      <tp>
        <v>43644</v>
        <stp/>
        <stp>136</stp>
        <stp>MSFT</stp>
        <stp>PRICEDATEM_X</stp>
        <stp>2</stp>
        <stp>0</stp>
        <stp>0</stp>
        <stp>0</stp>
        <stp>0</stp>
        <tr r="C17" s="4"/>
      </tp>
      <tp>
        <v>43553</v>
        <stp/>
        <stp>136</stp>
        <stp>MSFT</stp>
        <stp>PRICEDATEM_X</stp>
        <stp>5</stp>
        <stp>0</stp>
        <stp>0</stp>
        <stp>0</stp>
        <stp>0</stp>
        <tr r="C20" s="4"/>
      </tp>
      <tp>
        <v>43585</v>
        <stp/>
        <stp>136</stp>
        <stp>MSFT</stp>
        <stp>PRICEDATEM_X</stp>
        <stp>4</stp>
        <stp>0</stp>
        <stp>0</stp>
        <stp>0</stp>
        <stp>0</stp>
        <tr r="C19" s="4"/>
      </tp>
      <tp>
        <v>43496</v>
        <stp/>
        <stp>136</stp>
        <stp>MSFT</stp>
        <stp>PRICEDATEM_X</stp>
        <stp>7</stp>
        <stp>0</stp>
        <stp>0</stp>
        <stp>0</stp>
        <stp>0</stp>
        <tr r="C22" s="4"/>
      </tp>
      <tp>
        <v>43524</v>
        <stp/>
        <stp>136</stp>
        <stp>MSFT</stp>
        <stp>PRICEDATEM_X</stp>
        <stp>6</stp>
        <stp>0</stp>
        <stp>0</stp>
        <stp>0</stp>
        <stp>0</stp>
        <tr r="C21" s="4"/>
      </tp>
      <tp>
        <v>42004</v>
        <stp/>
        <stp>136</stp>
        <stp>MSFT</stp>
        <stp>PRICEDATEY_X</stp>
        <stp>5</stp>
        <stp>0</stp>
        <stp>0</stp>
        <stp>0</stp>
        <stp>0</stp>
        <tr r="C11" s="4"/>
      </tp>
      <tp>
        <v>42369</v>
        <stp/>
        <stp>136</stp>
        <stp>MSFT</stp>
        <stp>PRICEDATEY_X</stp>
        <stp>4</stp>
        <stp>0</stp>
        <stp>0</stp>
        <stp>0</stp>
        <stp>0</stp>
        <tr r="C10" s="4"/>
      </tp>
      <tp>
        <v>41274</v>
        <stp/>
        <stp>136</stp>
        <stp>MSFT</stp>
        <stp>PRICEDATEY_X</stp>
        <stp>7</stp>
        <stp>0</stp>
        <stp>0</stp>
        <stp>0</stp>
        <stp>0</stp>
        <tr r="C13" s="4"/>
      </tp>
      <tp>
        <v>41639</v>
        <stp/>
        <stp>136</stp>
        <stp>MSFT</stp>
        <stp>PRICEDATEY_X</stp>
        <stp>6</stp>
        <stp>0</stp>
        <stp>0</stp>
        <stp>0</stp>
        <stp>0</stp>
        <tr r="C12" s="4"/>
      </tp>
      <tp>
        <v>43465</v>
        <stp/>
        <stp>136</stp>
        <stp>MSFT</stp>
        <stp>PRICEDATEY_X</stp>
        <stp>1</stp>
        <stp>0</stp>
        <stp>0</stp>
        <stp>0</stp>
        <stp>0</stp>
        <tr r="C7" s="4"/>
      </tp>
      <tp>
        <v>42734</v>
        <stp/>
        <stp>136</stp>
        <stp>MSFT</stp>
        <stp>PRICEDATEY_X</stp>
        <stp>3</stp>
        <stp>0</stp>
        <stp>0</stp>
        <stp>0</stp>
        <stp>0</stp>
        <tr r="C9" s="4"/>
      </tp>
      <tp>
        <v>43098</v>
        <stp/>
        <stp>136</stp>
        <stp>MSFT</stp>
        <stp>PRICEDATEY_X</stp>
        <stp>2</stp>
        <stp>0</stp>
        <stp>0</stp>
        <stp>0</stp>
        <stp>0</stp>
        <tr r="C8" s="4"/>
      </tp>
      <tp t="s">
        <v>Accounts Payable</v>
        <stp/>
        <stp>137</stp>
        <stp/>
        <stp>ACCOUNTSPAYABLEQ_X</stp>
        <stp>0</stp>
        <stp>0</stp>
        <stp>0</stp>
        <stp>0</stp>
        <stp>0</stp>
        <tr r="D33" s="13"/>
        <tr r="B71" s="1"/>
        <tr r="B69" s="11"/>
        <tr r="B69" s="12"/>
      </tp>
      <tp>
        <v>10.31</v>
        <stp/>
        <stp>136</stp>
        <stp>MSFT</stp>
        <stp>PRICEPERBOOK1YEARAGO</stp>
        <stp>0</stp>
        <stp>0</stp>
        <stp>0</stp>
        <stp>0</stp>
        <stp>0</stp>
        <tr r="D7" s="6"/>
      </tp>
      <tp>
        <v>62.9</v>
        <stp/>
        <stp>136</stp>
        <stp>BEAT</stp>
        <stp>GROSSMARGIN12M</stp>
        <stp>0</stp>
        <stp>0</stp>
        <stp>0</stp>
        <stp>0</stp>
        <stp>0</stp>
        <tr r="F61" s="13"/>
      </tp>
      <tp t="s">
        <v>Inve$tWare Forecast Low Price</v>
        <stp/>
        <stp>137</stp>
        <stp/>
        <stp>INVE$TWAREFORECASTLOWPRICE</stp>
        <stp>0</stp>
        <stp>0</stp>
        <stp>0</stp>
        <stp>0</stp>
        <stp>0</stp>
        <tr r="B22" s="9"/>
      </tp>
      <tp t="s">
        <v>NA</v>
        <stp/>
        <stp>136</stp>
        <stp>BOOM</stp>
        <stp>INCOMETAX12M</stp>
        <stp>0</stp>
        <stp>0</stp>
        <stp>0</stp>
        <stp>0</stp>
        <stp>0</stp>
        <tr r="L21" s="11"/>
        <tr r="L21" s="12"/>
      </tp>
      <tp t="s">
        <v>% Rank-Asset Turnover</v>
        <stp/>
        <stp>137</stp>
        <stp/>
        <stp>PCNTRANKASSETTURNOVERY_X</stp>
        <stp>0</stp>
        <stp>0</stp>
        <stp>0</stp>
        <stp>0</stp>
        <stp>0</stp>
        <tr r="B108" s="7"/>
      </tp>
      <tp>
        <v>91</v>
        <stp/>
        <stp>136</stp>
        <stp>MSFT</stp>
        <stp>PCNTRANKTIMESINTERESTEARNED12M</stp>
        <stp>0</stp>
        <stp>0</stp>
        <stp>0</stp>
        <stp>0</stp>
        <stp>0</stp>
        <tr r="C98" s="7"/>
      </tp>
      <tp>
        <v>-3535</v>
        <stp/>
        <stp>136</stp>
        <stp>MSFT</stp>
        <stp>OTHERINCOME12M</stp>
        <stp>0</stp>
        <stp>0</stp>
        <stp>0</stp>
        <stp>0</stp>
        <stp>0</stp>
        <tr r="L20" s="1"/>
      </tp>
      <tp t="s">
        <v>Microsoft Corporation</v>
        <stp/>
        <stp>136</stp>
        <stp>MSFT</stp>
        <stp>NAME</stp>
        <stp>0</stp>
        <stp>0</stp>
        <stp>0</stp>
        <stp>0</stp>
        <stp>0</stp>
        <tr r="E3" s="1"/>
        <tr r="E3" s="9"/>
        <tr r="F3" s="4"/>
        <tr r="E3" s="8"/>
        <tr r="E3" s="7"/>
        <tr r="E3" s="6"/>
      </tp>
      <tp>
        <v>16</v>
        <stp/>
        <stp>136</stp>
        <stp>MSFT</stp>
        <stp>EXCHANGERATEEFFECTSQ_X</stp>
        <stp>4</stp>
        <stp>0</stp>
        <stp>0</stp>
        <stp>0</stp>
        <stp>0</stp>
        <tr r="F42" s="1"/>
      </tp>
      <tp>
        <v>25</v>
        <stp/>
        <stp>136</stp>
        <stp>MSFT</stp>
        <stp>EXCHANGERATEEFFECTSQ_X</stp>
        <stp>5</stp>
        <stp>0</stp>
        <stp>0</stp>
        <stp>0</stp>
        <stp>0</stp>
        <tr r="G42" s="1"/>
      </tp>
      <tp>
        <v>-17</v>
        <stp/>
        <stp>136</stp>
        <stp>MSFT</stp>
        <stp>EXCHANGERATEEFFECTSQ_X</stp>
        <stp>6</stp>
        <stp>0</stp>
        <stp>0</stp>
        <stp>0</stp>
        <stp>0</stp>
        <tr r="H42" s="1"/>
      </tp>
      <tp>
        <v>26</v>
        <stp/>
        <stp>136</stp>
        <stp>MSFT</stp>
        <stp>EXCHANGERATEEFFECTSQ_X</stp>
        <stp>7</stp>
        <stp>0</stp>
        <stp>0</stp>
        <stp>0</stp>
        <stp>0</stp>
        <tr r="I42" s="1"/>
      </tp>
      <tp>
        <v>18</v>
        <stp/>
        <stp>136</stp>
        <stp>MSFT</stp>
        <stp>EXCHANGERATEEFFECTSQ_X</stp>
        <stp>1</stp>
        <stp>0</stp>
        <stp>0</stp>
        <stp>0</stp>
        <stp>0</stp>
        <tr r="C42" s="1"/>
      </tp>
      <tp>
        <v>17</v>
        <stp/>
        <stp>136</stp>
        <stp>MSFT</stp>
        <stp>EXCHANGERATEEFFECTSQ_X</stp>
        <stp>2</stp>
        <stp>0</stp>
        <stp>0</stp>
        <stp>0</stp>
        <stp>0</stp>
        <tr r="D42" s="1"/>
      </tp>
      <tp>
        <v>-129</v>
        <stp/>
        <stp>136</stp>
        <stp>MSFT</stp>
        <stp>EXCHANGERATEEFFECTSQ_X</stp>
        <stp>3</stp>
        <stp>0</stp>
        <stp>0</stp>
        <stp>0</stp>
        <stp>0</stp>
        <tr r="E42" s="1"/>
      </tp>
      <tp>
        <v>15</v>
        <stp/>
        <stp>136</stp>
        <stp>MSFT</stp>
        <stp>EXCHANGERATEEFFECTSQ_X</stp>
        <stp>8</stp>
        <stp>0</stp>
        <stp>0</stp>
        <stp>0</stp>
        <stp>0</stp>
        <tr r="J42" s="1"/>
      </tp>
      <tp>
        <v>2.8</v>
        <stp/>
        <stp>136</stp>
        <stp>BOOM</stp>
        <stp>SECTORDIVIDENDGROWTH5Y</stp>
        <stp>0</stp>
        <stp>0</stp>
        <stp>0</stp>
        <stp>0</stp>
        <stp>0</stp>
        <tr r="E45" s="3"/>
      </tp>
      <tp>
        <v>3.5</v>
        <stp/>
        <stp>136</stp>
        <stp>BOOM</stp>
        <stp>SECTORDIVIDENDGROWTH7Y</stp>
        <stp>0</stp>
        <stp>0</stp>
        <stp>0</stp>
        <stp>0</stp>
        <stp>0</stp>
        <tr r="F45" s="3"/>
      </tp>
      <tp>
        <v>5.2</v>
        <stp/>
        <stp>136</stp>
        <stp>BOOM</stp>
        <stp>SECTORDIVIDENDGROWTH1Y</stp>
        <stp>0</stp>
        <stp>0</stp>
        <stp>0</stp>
        <stp>0</stp>
        <stp>0</stp>
        <tr r="C45" s="3"/>
      </tp>
      <tp>
        <v>5</v>
        <stp/>
        <stp>136</stp>
        <stp>BOOM</stp>
        <stp>SECTORDIVIDENDGROWTH3Y</stp>
        <stp>0</stp>
        <stp>0</stp>
        <stp>0</stp>
        <stp>0</stp>
        <stp>0</stp>
        <tr r="D45" s="3"/>
      </tp>
      <tp t="s">
        <v>Earnings Yield 12 Month</v>
        <stp/>
        <stp>137</stp>
        <stp/>
        <stp>EARNINGSYIELD12M</stp>
        <stp>0</stp>
        <stp>0</stp>
        <stp>0</stp>
        <stp>0</stp>
        <stp>0</stp>
        <tr r="B90" s="5"/>
      </tp>
      <tp>
        <v>0.8</v>
        <stp/>
        <stp>136</stp>
        <stp>MSFT</stp>
        <stp>SECTORASSETTURNOVERY_X</stp>
        <stp>5</stp>
        <stp>0</stp>
        <stp>0</stp>
        <stp>0</stp>
        <stp>0</stp>
        <tr r="H81" s="7"/>
      </tp>
      <tp>
        <v>0.7</v>
        <stp/>
        <stp>136</stp>
        <stp>MSFT</stp>
        <stp>SECTORASSETTURNOVERY_X</stp>
        <stp>4</stp>
        <stp>0</stp>
        <stp>0</stp>
        <stp>0</stp>
        <stp>0</stp>
        <tr r="G81" s="7"/>
      </tp>
      <tp>
        <v>0.8</v>
        <stp/>
        <stp>136</stp>
        <stp>MSFT</stp>
        <stp>SECTORASSETTURNOVERY_X</stp>
        <stp>7</stp>
        <stp>0</stp>
        <stp>0</stp>
        <stp>0</stp>
        <stp>0</stp>
        <tr r="J81" s="7"/>
      </tp>
      <tp>
        <v>0.8</v>
        <stp/>
        <stp>136</stp>
        <stp>MSFT</stp>
        <stp>SECTORASSETTURNOVERY_X</stp>
        <stp>6</stp>
        <stp>0</stp>
        <stp>0</stp>
        <stp>0</stp>
        <stp>0</stp>
        <tr r="I81" s="7"/>
      </tp>
      <tp>
        <v>0.8</v>
        <stp/>
        <stp>136</stp>
        <stp>MSFT</stp>
        <stp>SECTORASSETTURNOVERY_X</stp>
        <stp>1</stp>
        <stp>0</stp>
        <stp>0</stp>
        <stp>0</stp>
        <stp>0</stp>
        <tr r="D81" s="7"/>
      </tp>
      <tp>
        <v>0.8</v>
        <stp/>
        <stp>136</stp>
        <stp>MSFT</stp>
        <stp>SECTORASSETTURNOVERY_X</stp>
        <stp>3</stp>
        <stp>0</stp>
        <stp>0</stp>
        <stp>0</stp>
        <stp>0</stp>
        <tr r="F81" s="7"/>
      </tp>
      <tp>
        <v>0.8</v>
        <stp/>
        <stp>136</stp>
        <stp>MSFT</stp>
        <stp>SECTORASSETTURNOVERY_X</stp>
        <stp>2</stp>
        <stp>0</stp>
        <stp>0</stp>
        <stp>0</stp>
        <stp>0</stp>
        <tr r="E81" s="7"/>
      </tp>
      <tp>
        <v>5825652.9900000002</v>
        <stp/>
        <stp>136</stp>
        <stp>AAPL</stp>
        <stp>VOLUMEDOLLARDAILYAVG3M</stp>
        <stp>0</stp>
        <stp>0</stp>
        <stp>0</stp>
        <stp>0</stp>
        <stp>0</stp>
        <tr r="C47" s="5"/>
      </tp>
      <tp t="s">
        <v>Dividends Paid</v>
        <stp/>
        <stp>137</stp>
        <stp/>
        <stp>DIVIDENDSPAIDQ_X</stp>
        <stp>0</stp>
        <stp>0</stp>
        <stp>0</stp>
        <stp>0</stp>
        <stp>0</stp>
        <tr r="D20" s="13"/>
      </tp>
      <tp>
        <v>4.548</v>
        <stp/>
        <stp>136</stp>
        <stp>MSFT</stp>
        <stp>EPS12M</stp>
        <stp>0</stp>
        <stp>0</stp>
        <stp>0</stp>
        <stp>0</stp>
        <stp>0</stp>
        <tr r="L31" s="1"/>
      </tp>
      <tp t="s">
        <v>% Rank-Operating Margin</v>
        <stp/>
        <stp>137</stp>
        <stp/>
        <stp>PCNTRANKOPERATINGMARGINY_X</stp>
        <stp>0</stp>
        <stp>0</stp>
        <stp>0</stp>
        <stp>0</stp>
        <stp>0</stp>
        <tr r="B88" s="7"/>
      </tp>
      <tp t="s">
        <v>EPS-Continuing</v>
        <stp/>
        <stp>137</stp>
        <stp/>
        <stp>EPSCONTINUINGQ_X</stp>
        <stp>0</stp>
        <stp>0</stp>
        <stp>0</stp>
        <stp>0</stp>
        <stp>0</stp>
        <tr r="B30" s="12"/>
        <tr r="B30" s="11"/>
        <tr r="B32" s="1"/>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volatileDependencies" Target="volatileDependenci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E3EA-8B76-4296-9CCA-D885E3545233}">
  <dimension ref="A1:L82"/>
  <sheetViews>
    <sheetView workbookViewId="0">
      <pane xSplit="1" ySplit="6" topLeftCell="B7" activePane="bottomRight" state="frozen"/>
      <selection pane="topRight" activeCell="B1" sqref="B1"/>
      <selection pane="bottomLeft" activeCell="A7" sqref="A7"/>
      <selection pane="bottomRight" sqref="A1:C1048576"/>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1807</v>
      </c>
      <c r="E3" s="2" t="str">
        <f>_xll.xlqAAII($C$3,"name",,$B$1)</f>
        <v>Dmc Global Inc</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47">
        <f>_xll.xlqAAII($C$3,$A7&amp;C$2&amp;"_x",C$1,$B$1)</f>
        <v>100.1</v>
      </c>
      <c r="D7" s="47">
        <f>_xll.xlqAAII($C$3,$A7&amp;D$2&amp;"_x",D$1,$B$1)</f>
        <v>90.3</v>
      </c>
      <c r="E7" s="47">
        <f>_xll.xlqAAII($C$3,$A7&amp;E$2&amp;"_x",E$1,$B$1)</f>
        <v>87.9</v>
      </c>
      <c r="F7" s="47">
        <f>_xll.xlqAAII($C$3,$A7&amp;F$2&amp;"_x",F$1,$B$1)</f>
        <v>148.19999999999999</v>
      </c>
      <c r="G7" s="47">
        <f>_xll.xlqAAII($C$3,$A7&amp;G$2&amp;"_x",G$1,$B$1)</f>
        <v>67.3</v>
      </c>
      <c r="H7" s="47">
        <f>_xll.xlqAAII($C$3,$A7&amp;H$2&amp;"_x",H$1,$B$1)</f>
        <v>54.5</v>
      </c>
      <c r="I7" s="47">
        <f>_xll.xlqAAII($C$3,$A7&amp;I$2&amp;"_x",I$1,$B$1)</f>
        <v>52.2</v>
      </c>
      <c r="J7" s="47">
        <f>_xll.xlqAAII($C$3,$A7&amp;J$2&amp;"_x",J$1,$B$1)</f>
        <v>86.2</v>
      </c>
      <c r="K7" s="48"/>
      <c r="L7" s="47">
        <f>_xll.xlqAAII($C$3,$A7&amp;"12M",L$1,$B$1)</f>
        <v>359.3</v>
      </c>
    </row>
    <row r="8" spans="1:12" s="36" customFormat="1" x14ac:dyDescent="0.25">
      <c r="A8" s="36" t="s">
        <v>146</v>
      </c>
      <c r="B8" s="37" t="str">
        <f>_xll.xlqAAIIDescrip($A8&amp;B$2&amp;"_x")</f>
        <v>Cost Of Goods Sold</v>
      </c>
      <c r="C8" s="49">
        <f>_xll.xlqAAII($C$3,$A8&amp;C$2&amp;"_x",C$1,$B$1)</f>
        <v>63.7</v>
      </c>
      <c r="D8" s="49">
        <f>_xll.xlqAAII($C$3,$A8&amp;D$2&amp;"_x",D$1,$B$1)</f>
        <v>58.9</v>
      </c>
      <c r="E8" s="49">
        <f>_xll.xlqAAII($C$3,$A8&amp;E$2&amp;"_x",E$1,$B$1)</f>
        <v>58.2</v>
      </c>
      <c r="F8" s="49">
        <f>_xll.xlqAAII($C$3,$A8&amp;F$2&amp;"_x",F$1,$B$1)</f>
        <v>98.7</v>
      </c>
      <c r="G8" s="49">
        <f>_xll.xlqAAII($C$3,$A8&amp;G$2&amp;"_x",G$1,$B$1)</f>
        <v>44.6</v>
      </c>
      <c r="H8" s="49">
        <f>_xll.xlqAAII($C$3,$A8&amp;H$2&amp;"_x",H$1,$B$1)</f>
        <v>36.6</v>
      </c>
      <c r="I8" s="49">
        <f>_xll.xlqAAII($C$3,$A8&amp;I$2&amp;"_x",I$1,$B$1)</f>
        <v>35</v>
      </c>
      <c r="J8" s="49">
        <f>_xll.xlqAAII($C$3,$A8&amp;J$2&amp;"_x",J$1,$B$1)</f>
        <v>61.8</v>
      </c>
      <c r="K8" s="50"/>
      <c r="L8" s="49">
        <f>_xll.xlqAAII($C$3,$A8&amp;"12M",L$1,$B$1)</f>
        <v>234.9</v>
      </c>
    </row>
    <row r="9" spans="1:12" x14ac:dyDescent="0.25">
      <c r="A9" s="2" t="s">
        <v>147</v>
      </c>
      <c r="B9" s="1" t="str">
        <f>_xll.xlqAAIIDescrip($A9&amp;B$2&amp;"_x")</f>
        <v>Gross Income</v>
      </c>
      <c r="C9" s="47">
        <f>_xll.xlqAAII($C$3,$A9&amp;C$2&amp;"_x",C$1,$B$1)</f>
        <v>36.4</v>
      </c>
      <c r="D9" s="47">
        <f>_xll.xlqAAII($C$3,$A9&amp;D$2&amp;"_x",D$1,$B$1)</f>
        <v>31.4</v>
      </c>
      <c r="E9" s="47">
        <f>_xll.xlqAAII($C$3,$A9&amp;E$2&amp;"_x",E$1,$B$1)</f>
        <v>29.7</v>
      </c>
      <c r="F9" s="47">
        <f>_xll.xlqAAII($C$3,$A9&amp;F$2&amp;"_x",F$1,$B$1)</f>
        <v>49.5</v>
      </c>
      <c r="G9" s="47">
        <f>_xll.xlqAAII($C$3,$A9&amp;G$2&amp;"_x",G$1,$B$1)</f>
        <v>22.7</v>
      </c>
      <c r="H9" s="47">
        <f>_xll.xlqAAII($C$3,$A9&amp;H$2&amp;"_x",H$1,$B$1)</f>
        <v>17.899999999999999</v>
      </c>
      <c r="I9" s="47">
        <f>_xll.xlqAAII($C$3,$A9&amp;I$2&amp;"_x",I$1,$B$1)</f>
        <v>17.2</v>
      </c>
      <c r="J9" s="47">
        <f>_xll.xlqAAII($C$3,$A9&amp;J$2&amp;"_x",J$1,$B$1)</f>
        <v>24.4</v>
      </c>
      <c r="K9" s="48"/>
      <c r="L9" s="47">
        <f>_xll.xlqAAII($C$3,$A9&amp;"12M",L$1,$B$1)</f>
        <v>124.3</v>
      </c>
    </row>
    <row r="10" spans="1:12" x14ac:dyDescent="0.25">
      <c r="C10" s="47"/>
      <c r="D10" s="47"/>
      <c r="E10" s="47"/>
      <c r="F10" s="47"/>
      <c r="G10" s="47"/>
      <c r="H10" s="47"/>
      <c r="I10" s="47"/>
      <c r="J10" s="47"/>
      <c r="K10" s="48"/>
      <c r="L10" s="47"/>
    </row>
    <row r="11" spans="1:12" x14ac:dyDescent="0.25">
      <c r="A11" s="2" t="s">
        <v>149</v>
      </c>
      <c r="B11" s="1" t="str">
        <f>_xll.xlqAAIIDescrip($A11&amp;B$2&amp;"_x")</f>
        <v>Research And Development</v>
      </c>
      <c r="C11" s="47" t="str">
        <f>_xll.xlqAAII($C$3,$A11&amp;C$2&amp;"_x",C$1,$B$1)</f>
        <v>NA</v>
      </c>
      <c r="D11" s="47" t="str">
        <f>_xll.xlqAAII($C$3,$A11&amp;D$2&amp;"_x",D$1,$B$1)</f>
        <v>NA</v>
      </c>
      <c r="E11" s="47" t="str">
        <f>_xll.xlqAAII($C$3,$A11&amp;E$2&amp;"_x",E$1,$B$1)</f>
        <v>NA</v>
      </c>
      <c r="F11" s="47" t="str">
        <f>_xll.xlqAAII($C$3,$A11&amp;F$2&amp;"_x",F$1,$B$1)</f>
        <v>NA</v>
      </c>
      <c r="G11" s="47" t="str">
        <f>_xll.xlqAAII($C$3,$A11&amp;G$2&amp;"_x",G$1,$B$1)</f>
        <v>NA</v>
      </c>
      <c r="H11" s="47" t="str">
        <f>_xll.xlqAAII($C$3,$A11&amp;H$2&amp;"_x",H$1,$B$1)</f>
        <v>NA</v>
      </c>
      <c r="I11" s="47" t="str">
        <f>_xll.xlqAAII($C$3,$A11&amp;I$2&amp;"_x",I$1,$B$1)</f>
        <v>NA</v>
      </c>
      <c r="J11" s="47" t="str">
        <f>_xll.xlqAAII($C$3,$A11&amp;J$2&amp;"_x",J$1,$B$1)</f>
        <v>NA</v>
      </c>
      <c r="K11" s="48"/>
      <c r="L11" s="47" t="str">
        <f>_xll.xlqAAII($C$3,$A11&amp;"12M",L$1,$B$1)</f>
        <v>NA</v>
      </c>
    </row>
    <row r="12" spans="1:12" x14ac:dyDescent="0.25">
      <c r="A12" s="2" t="s">
        <v>151</v>
      </c>
      <c r="B12" s="1" t="str">
        <f>_xll.xlqAAIIDescrip($A12&amp;B$2&amp;"_x")</f>
        <v>Unusual Expense/(Income)</v>
      </c>
      <c r="C12" s="47">
        <f>_xll.xlqAAII($C$3,$A12&amp;C$2&amp;"_x",C$1,$B$1)</f>
        <v>0.1</v>
      </c>
      <c r="D12" s="47">
        <f>_xll.xlqAAII($C$3,$A12&amp;D$2&amp;"_x",D$1,$B$1)</f>
        <v>0.6</v>
      </c>
      <c r="E12" s="47">
        <f>_xll.xlqAAII($C$3,$A12&amp;E$2&amp;"_x",E$1,$B$1)</f>
        <v>5.0999999999999996</v>
      </c>
      <c r="F12" s="47">
        <f>_xll.xlqAAII($C$3,$A12&amp;F$2&amp;"_x",F$1,$B$1)</f>
        <v>3.5</v>
      </c>
      <c r="G12" s="47">
        <f>_xll.xlqAAII($C$3,$A12&amp;G$2&amp;"_x",G$1,$B$1)</f>
        <v>3.2</v>
      </c>
      <c r="H12" s="47">
        <f>_xll.xlqAAII($C$3,$A12&amp;H$2&amp;"_x",H$1,$B$1)</f>
        <v>3.8</v>
      </c>
      <c r="I12" s="47">
        <f>_xll.xlqAAII($C$3,$A12&amp;I$2&amp;"_x",I$1,$B$1)</f>
        <v>17.600000000000001</v>
      </c>
      <c r="J12" s="47">
        <f>_xll.xlqAAII($C$3,$A12&amp;J$2&amp;"_x",J$1,$B$1)</f>
        <v>0.5</v>
      </c>
      <c r="K12" s="48"/>
      <c r="L12" s="47" t="str">
        <f>_xll.xlqAAII($C$3,$A12&amp;"12M",L$1,$B$1)</f>
        <v>NA</v>
      </c>
    </row>
    <row r="13" spans="1:12" x14ac:dyDescent="0.25">
      <c r="A13" s="2" t="s">
        <v>152</v>
      </c>
      <c r="B13" s="1" t="str">
        <f>_xll.xlqAAIIDescrip($A13&amp;B$2&amp;"_x")</f>
        <v>Total Operating Expenses</v>
      </c>
      <c r="C13" s="47">
        <f>_xll.xlqAAII($C$3,$A13&amp;C$2&amp;"_x",C$1,$B$1)</f>
        <v>79.7</v>
      </c>
      <c r="D13" s="47">
        <f>_xll.xlqAAII($C$3,$A13&amp;D$2&amp;"_x",D$1,$B$1)</f>
        <v>77.3</v>
      </c>
      <c r="E13" s="47">
        <f>_xll.xlqAAII($C$3,$A13&amp;E$2&amp;"_x",E$1,$B$1)</f>
        <v>79.099999999999994</v>
      </c>
      <c r="F13" s="47">
        <f>_xll.xlqAAII($C$3,$A13&amp;F$2&amp;"_x",F$1,$B$1)</f>
        <v>132.69999999999999</v>
      </c>
      <c r="G13" s="47">
        <f>_xll.xlqAAII($C$3,$A13&amp;G$2&amp;"_x",G$1,$B$1)</f>
        <v>62</v>
      </c>
      <c r="H13" s="47">
        <f>_xll.xlqAAII($C$3,$A13&amp;H$2&amp;"_x",H$1,$B$1)</f>
        <v>54</v>
      </c>
      <c r="I13" s="47">
        <f>_xll.xlqAAII($C$3,$A13&amp;I$2&amp;"_x",I$1,$B$1)</f>
        <v>64.599999999999994</v>
      </c>
      <c r="J13" s="47">
        <f>_xll.xlqAAII($C$3,$A13&amp;J$2&amp;"_x",J$1,$B$1)</f>
        <v>86.5</v>
      </c>
      <c r="K13" s="48"/>
      <c r="L13" s="47" t="str">
        <f>_xll.xlqAAII($C$3,$A13&amp;"12M",L$1,$B$1)</f>
        <v>NA</v>
      </c>
    </row>
    <row r="14" spans="1:12" x14ac:dyDescent="0.25">
      <c r="C14" s="47"/>
      <c r="D14" s="47"/>
      <c r="E14" s="47"/>
      <c r="F14" s="47"/>
      <c r="G14" s="47"/>
      <c r="H14" s="47"/>
      <c r="I14" s="47"/>
      <c r="J14" s="47"/>
      <c r="K14" s="48"/>
      <c r="L14" s="47"/>
    </row>
    <row r="15" spans="1:12" x14ac:dyDescent="0.25">
      <c r="A15" s="2" t="s">
        <v>153</v>
      </c>
      <c r="B15" s="1" t="str">
        <f>_xll.xlqAAIIDescrip($A15&amp;B$2&amp;"_x")</f>
        <v>Gross Operating Income</v>
      </c>
      <c r="C15" s="47">
        <f>_xll.xlqAAII($C$3,$A15&amp;C$2&amp;"_x",C$1,$B$1)</f>
        <v>20.399999999999999</v>
      </c>
      <c r="D15" s="47">
        <f>_xll.xlqAAII($C$3,$A15&amp;D$2&amp;"_x",D$1,$B$1)</f>
        <v>13</v>
      </c>
      <c r="E15" s="47">
        <f>_xll.xlqAAII($C$3,$A15&amp;E$2&amp;"_x",E$1,$B$1)</f>
        <v>8.8000000000000007</v>
      </c>
      <c r="F15" s="47">
        <f>_xll.xlqAAII($C$3,$A15&amp;F$2&amp;"_x",F$1,$B$1)</f>
        <v>15.5</v>
      </c>
      <c r="G15" s="47">
        <f>_xll.xlqAAII($C$3,$A15&amp;G$2&amp;"_x",G$1,$B$1)</f>
        <v>5.3</v>
      </c>
      <c r="H15" s="47">
        <f>_xll.xlqAAII($C$3,$A15&amp;H$2&amp;"_x",H$1,$B$1)</f>
        <v>0.5</v>
      </c>
      <c r="I15" s="47">
        <f>_xll.xlqAAII($C$3,$A15&amp;I$2&amp;"_x",I$1,$B$1)</f>
        <v>-12.4</v>
      </c>
      <c r="J15" s="47">
        <f>_xll.xlqAAII($C$3,$A15&amp;J$2&amp;"_x",J$1,$B$1)</f>
        <v>-0.3</v>
      </c>
      <c r="K15" s="48"/>
      <c r="L15" s="47" t="str">
        <f>_xll.xlqAAII($C$3,$A15&amp;"12M",L$1,$B$1)</f>
        <v>NA</v>
      </c>
    </row>
    <row r="16" spans="1:12" x14ac:dyDescent="0.25">
      <c r="C16" s="47"/>
      <c r="D16" s="47"/>
      <c r="E16" s="47"/>
      <c r="F16" s="47"/>
      <c r="G16" s="47"/>
      <c r="H16" s="47"/>
      <c r="I16" s="47"/>
      <c r="J16" s="47"/>
      <c r="K16" s="48"/>
      <c r="L16" s="47"/>
    </row>
    <row r="17" spans="1:12" x14ac:dyDescent="0.25">
      <c r="A17" s="2" t="s">
        <v>154</v>
      </c>
      <c r="B17" s="1" t="str">
        <f>_xll.xlqAAIIDescrip($A17&amp;B$2&amp;"_x")</f>
        <v>Interest Expense-Non-Op.</v>
      </c>
      <c r="C17" s="47">
        <f>_xll.xlqAAII($C$3,$A17&amp;C$2&amp;"_x",C$1,$B$1)</f>
        <v>0.4</v>
      </c>
      <c r="D17" s="47">
        <f>_xll.xlqAAII($C$3,$A17&amp;D$2&amp;"_x",D$1,$B$1)</f>
        <v>0.5</v>
      </c>
      <c r="E17" s="47">
        <f>_xll.xlqAAII($C$3,$A17&amp;E$2&amp;"_x",E$1,$B$1)</f>
        <v>0.5</v>
      </c>
      <c r="F17" s="47">
        <f>_xll.xlqAAII($C$3,$A17&amp;F$2&amp;"_x",F$1,$B$1)</f>
        <v>0.6</v>
      </c>
      <c r="G17" s="47">
        <f>_xll.xlqAAII($C$3,$A17&amp;G$2&amp;"_x",G$1,$B$1)</f>
        <v>0.5</v>
      </c>
      <c r="H17" s="47">
        <f>_xll.xlqAAII($C$3,$A17&amp;H$2&amp;"_x",H$1,$B$1)</f>
        <v>0.4</v>
      </c>
      <c r="I17" s="47">
        <f>_xll.xlqAAII($C$3,$A17&amp;I$2&amp;"_x",I$1,$B$1)</f>
        <v>0.4</v>
      </c>
      <c r="J17" s="47">
        <f>_xll.xlqAAII($C$3,$A17&amp;J$2&amp;"_x",J$1,$B$1)</f>
        <v>0.8</v>
      </c>
      <c r="K17" s="48"/>
      <c r="L17" s="47" t="str">
        <f>_xll.xlqAAII($C$3,$A17&amp;"12M",L$1,$B$1)</f>
        <v>NA</v>
      </c>
    </row>
    <row r="18" spans="1:12" s="36" customFormat="1" x14ac:dyDescent="0.25">
      <c r="A18" s="36" t="s">
        <v>155</v>
      </c>
      <c r="B18" s="37" t="str">
        <f>_xll.xlqAAIIDescrip($A18&amp;B$2&amp;"_x")</f>
        <v>Other Expense/(Income)</v>
      </c>
      <c r="C18" s="49">
        <f>_xll.xlqAAII($C$3,$A18&amp;C$2&amp;"_x",C$1,$B$1)</f>
        <v>0</v>
      </c>
      <c r="D18" s="49">
        <f>_xll.xlqAAII($C$3,$A18&amp;D$2&amp;"_x",D$1,$B$1)</f>
        <v>0.1</v>
      </c>
      <c r="E18" s="49">
        <f>_xll.xlqAAII($C$3,$A18&amp;E$2&amp;"_x",E$1,$B$1)</f>
        <v>0.4</v>
      </c>
      <c r="F18" s="49">
        <f>_xll.xlqAAII($C$3,$A18&amp;F$2&amp;"_x",F$1,$B$1)</f>
        <v>0.7</v>
      </c>
      <c r="G18" s="49">
        <f>_xll.xlqAAII($C$3,$A18&amp;G$2&amp;"_x",G$1,$B$1)</f>
        <v>0.4</v>
      </c>
      <c r="H18" s="49">
        <f>_xll.xlqAAII($C$3,$A18&amp;H$2&amp;"_x",H$1,$B$1)</f>
        <v>0.4</v>
      </c>
      <c r="I18" s="49">
        <f>_xll.xlqAAII($C$3,$A18&amp;I$2&amp;"_x",I$1,$B$1)</f>
        <v>0.5</v>
      </c>
      <c r="J18" s="49">
        <f>_xll.xlqAAII($C$3,$A18&amp;J$2&amp;"_x",J$1,$B$1)</f>
        <v>0.6</v>
      </c>
      <c r="K18" s="50"/>
      <c r="L18" s="49" t="str">
        <f>_xll.xlqAAII($C$3,$A18&amp;"12M",L$1,$B$1)</f>
        <v>NA</v>
      </c>
    </row>
    <row r="19" spans="1:12" x14ac:dyDescent="0.25">
      <c r="A19" s="2" t="s">
        <v>156</v>
      </c>
      <c r="B19" s="1" t="str">
        <f>_xll.xlqAAIIDescrip($A19&amp;B$2&amp;"_x")</f>
        <v>Pre-Tax Income</v>
      </c>
      <c r="C19" s="47">
        <f>_xll.xlqAAII($C$3,$A19&amp;C$2&amp;"_x",C$1,$B$1)</f>
        <v>20.100000000000001</v>
      </c>
      <c r="D19" s="47">
        <f>_xll.xlqAAII($C$3,$A19&amp;D$2&amp;"_x",D$1,$B$1)</f>
        <v>12.4</v>
      </c>
      <c r="E19" s="47">
        <f>_xll.xlqAAII($C$3,$A19&amp;E$2&amp;"_x",E$1,$B$1)</f>
        <v>8</v>
      </c>
      <c r="F19" s="47">
        <f>_xll.xlqAAII($C$3,$A19&amp;F$2&amp;"_x",F$1,$B$1)</f>
        <v>14.2</v>
      </c>
      <c r="G19" s="47">
        <f>_xll.xlqAAII($C$3,$A19&amp;G$2&amp;"_x",G$1,$B$1)</f>
        <v>4.5</v>
      </c>
      <c r="H19" s="47">
        <f>_xll.xlqAAII($C$3,$A19&amp;H$2&amp;"_x",H$1,$B$1)</f>
        <v>-0.3</v>
      </c>
      <c r="I19" s="47">
        <f>_xll.xlqAAII($C$3,$A19&amp;I$2&amp;"_x",I$1,$B$1)</f>
        <v>-13.3</v>
      </c>
      <c r="J19" s="47">
        <f>_xll.xlqAAII($C$3,$A19&amp;J$2&amp;"_x",J$1,$B$1)</f>
        <v>-1.7</v>
      </c>
      <c r="K19" s="48"/>
      <c r="L19" s="47">
        <f>_xll.xlqAAII($C$3,$A19&amp;"12M",L$1,$B$1)</f>
        <v>50.2</v>
      </c>
    </row>
    <row r="20" spans="1:12" x14ac:dyDescent="0.25">
      <c r="C20" s="47"/>
      <c r="D20" s="47"/>
      <c r="E20" s="47"/>
      <c r="F20" s="47"/>
      <c r="G20" s="47"/>
      <c r="H20" s="47"/>
      <c r="I20" s="47"/>
      <c r="J20" s="47"/>
      <c r="K20" s="48"/>
      <c r="L20" s="47"/>
    </row>
    <row r="21" spans="1:12" s="36" customFormat="1" x14ac:dyDescent="0.25">
      <c r="A21" s="36" t="s">
        <v>157</v>
      </c>
      <c r="B21" s="37" t="str">
        <f>_xll.xlqAAIIDescrip($A21&amp;B$2&amp;"_x")</f>
        <v>Income Tax</v>
      </c>
      <c r="C21" s="49">
        <f>_xll.xlqAAII($C$3,$A21&amp;C$2&amp;"_x",C$1,$B$1)</f>
        <v>4.9000000000000004</v>
      </c>
      <c r="D21" s="49">
        <f>_xll.xlqAAII($C$3,$A21&amp;D$2&amp;"_x",D$1,$B$1)</f>
        <v>-3.8</v>
      </c>
      <c r="E21" s="49">
        <f>_xll.xlqAAII($C$3,$A21&amp;E$2&amp;"_x",E$1,$B$1)</f>
        <v>3.1</v>
      </c>
      <c r="F21" s="49">
        <f>_xll.xlqAAII($C$3,$A21&amp;F$2&amp;"_x",F$1,$B$1)</f>
        <v>4.2</v>
      </c>
      <c r="G21" s="49">
        <f>_xll.xlqAAII($C$3,$A21&amp;G$2&amp;"_x",G$1,$B$1)</f>
        <v>0.8</v>
      </c>
      <c r="H21" s="49">
        <f>_xll.xlqAAII($C$3,$A21&amp;H$2&amp;"_x",H$1,$B$1)</f>
        <v>0.7</v>
      </c>
      <c r="I21" s="49">
        <f>_xll.xlqAAII($C$3,$A21&amp;I$2&amp;"_x",I$1,$B$1)</f>
        <v>0.8</v>
      </c>
      <c r="J21" s="49">
        <f>_xll.xlqAAII($C$3,$A21&amp;J$2&amp;"_x",J$1,$B$1)</f>
        <v>1.1000000000000001</v>
      </c>
      <c r="K21" s="50"/>
      <c r="L21" s="49" t="str">
        <f>_xll.xlqAAII($C$3,$A21&amp;"12M",L$1,$B$1)</f>
        <v>NA</v>
      </c>
    </row>
    <row r="22" spans="1:12" x14ac:dyDescent="0.25">
      <c r="A22" s="2" t="s">
        <v>158</v>
      </c>
      <c r="B22" s="1" t="str">
        <f>_xll.xlqAAIIDescrip($A22&amp;B$2&amp;"_x")</f>
        <v>Income After Taxes</v>
      </c>
      <c r="C22" s="47">
        <f>_xll.xlqAAII($C$3,$A22&amp;C$2&amp;"_x",C$1,$B$1)</f>
        <v>15.2</v>
      </c>
      <c r="D22" s="47">
        <f>_xll.xlqAAII($C$3,$A22&amp;D$2&amp;"_x",D$1,$B$1)</f>
        <v>16.100000000000001</v>
      </c>
      <c r="E22" s="47">
        <f>_xll.xlqAAII($C$3,$A22&amp;E$2&amp;"_x",E$1,$B$1)</f>
        <v>4.9000000000000004</v>
      </c>
      <c r="F22" s="47">
        <f>_xll.xlqAAII($C$3,$A22&amp;F$2&amp;"_x",F$1,$B$1)</f>
        <v>10</v>
      </c>
      <c r="G22" s="47">
        <f>_xll.xlqAAII($C$3,$A22&amp;G$2&amp;"_x",G$1,$B$1)</f>
        <v>3.7</v>
      </c>
      <c r="H22" s="47">
        <f>_xll.xlqAAII($C$3,$A22&amp;H$2&amp;"_x",H$1,$B$1)</f>
        <v>-1</v>
      </c>
      <c r="I22" s="47">
        <f>_xll.xlqAAII($C$3,$A22&amp;I$2&amp;"_x",I$1,$B$1)</f>
        <v>-14.1</v>
      </c>
      <c r="J22" s="47">
        <f>_xll.xlqAAII($C$3,$A22&amp;J$2&amp;"_x",J$1,$B$1)</f>
        <v>-2.8</v>
      </c>
      <c r="K22" s="48"/>
      <c r="L22" s="47">
        <f>_xll.xlqAAII($C$3,$A22&amp;"12M",L$1,$B$1)</f>
        <v>42.6</v>
      </c>
    </row>
    <row r="23" spans="1:12" x14ac:dyDescent="0.25">
      <c r="C23" s="47"/>
      <c r="D23" s="47"/>
      <c r="E23" s="47"/>
      <c r="F23" s="47"/>
      <c r="G23" s="47"/>
      <c r="H23" s="47"/>
      <c r="I23" s="47"/>
      <c r="J23" s="47"/>
      <c r="K23" s="48"/>
      <c r="L23" s="47"/>
    </row>
    <row r="24" spans="1:12" x14ac:dyDescent="0.25">
      <c r="A24" s="2" t="s">
        <v>197</v>
      </c>
      <c r="B24" s="1" t="str">
        <f>_xll.xlqAAIIDescrip($A24&amp;B$2&amp;"_x")</f>
        <v>Adjustments To Income</v>
      </c>
      <c r="C24" s="47">
        <f>_xll.xlqAAII($C$3,$A24&amp;C$2&amp;"_x",C$1,$B$1)</f>
        <v>-0.3</v>
      </c>
      <c r="D24" s="47">
        <f>_xll.xlqAAII($C$3,$A24&amp;D$2&amp;"_x",D$1,$B$1)</f>
        <v>-0.4</v>
      </c>
      <c r="E24" s="47">
        <f>_xll.xlqAAII($C$3,$A24&amp;E$2&amp;"_x",E$1,$B$1)</f>
        <v>-0.1</v>
      </c>
      <c r="F24" s="47">
        <f>_xll.xlqAAII($C$3,$A24&amp;F$2&amp;"_x",F$1,$B$1)</f>
        <v>-0.2</v>
      </c>
      <c r="G24" s="47">
        <f>_xll.xlqAAII($C$3,$A24&amp;G$2&amp;"_x",G$1,$B$1)</f>
        <v>-0.1</v>
      </c>
      <c r="H24" s="47" t="str">
        <f>_xll.xlqAAII($C$3,$A24&amp;H$2&amp;"_x",H$1,$B$1)</f>
        <v>NA</v>
      </c>
      <c r="I24" s="47" t="str">
        <f>_xll.xlqAAII($C$3,$A24&amp;I$2&amp;"_x",I$1,$B$1)</f>
        <v>NA</v>
      </c>
      <c r="J24" s="47" t="str">
        <f>_xll.xlqAAII($C$3,$A24&amp;J$2&amp;"_x",J$1,$B$1)</f>
        <v>NA</v>
      </c>
      <c r="K24" s="48"/>
      <c r="L24" s="47" t="str">
        <f>_xll.xlqAAII($C$3,$A24&amp;"12M",L$1,$B$1)</f>
        <v>NA</v>
      </c>
    </row>
    <row r="25" spans="1:12" x14ac:dyDescent="0.25">
      <c r="A25" s="2" t="s">
        <v>159</v>
      </c>
      <c r="B25" s="1" t="str">
        <f>_xll.xlqAAIIDescrip($A25&amp;B$2&amp;"_x")</f>
        <v>Income For Primary EPS</v>
      </c>
      <c r="C25" s="47">
        <f>_xll.xlqAAII($C$3,$A25&amp;C$2&amp;"_x",C$1,$B$1)</f>
        <v>14.9</v>
      </c>
      <c r="D25" s="47">
        <f>_xll.xlqAAII($C$3,$A25&amp;D$2&amp;"_x",D$1,$B$1)</f>
        <v>15.8</v>
      </c>
      <c r="E25" s="47">
        <f>_xll.xlqAAII($C$3,$A25&amp;E$2&amp;"_x",E$1,$B$1)</f>
        <v>4.8</v>
      </c>
      <c r="F25" s="47">
        <f>_xll.xlqAAII($C$3,$A25&amp;F$2&amp;"_x",F$1,$B$1)</f>
        <v>9.8000000000000007</v>
      </c>
      <c r="G25" s="47">
        <f>_xll.xlqAAII($C$3,$A25&amp;G$2&amp;"_x",G$1,$B$1)</f>
        <v>3.6</v>
      </c>
      <c r="H25" s="47">
        <f>_xll.xlqAAII($C$3,$A25&amp;H$2&amp;"_x",H$1,$B$1)</f>
        <v>-1</v>
      </c>
      <c r="I25" s="47">
        <f>_xll.xlqAAII($C$3,$A25&amp;I$2&amp;"_x",I$1,$B$1)</f>
        <v>-14.1</v>
      </c>
      <c r="J25" s="47">
        <f>_xll.xlqAAII($C$3,$A25&amp;J$2&amp;"_x",J$1,$B$1)</f>
        <v>-2.8</v>
      </c>
      <c r="K25" s="48"/>
      <c r="L25" s="47">
        <f>_xll.xlqAAII($C$3,$A25&amp;"12M",L$1,$B$1)</f>
        <v>41.7</v>
      </c>
    </row>
    <row r="26" spans="1:12" s="36" customFormat="1" x14ac:dyDescent="0.25">
      <c r="A26" s="36" t="s">
        <v>160</v>
      </c>
      <c r="B26" s="37" t="str">
        <f>_xll.xlqAAIIDescrip($A26&amp;B$2&amp;"_x")</f>
        <v>Nonrecurring Items</v>
      </c>
      <c r="C26" s="49" t="str">
        <f>_xll.xlqAAII($C$3,$A26&amp;C$2&amp;"_x",C$1,$B$1)</f>
        <v>NA</v>
      </c>
      <c r="D26" s="49">
        <f>_xll.xlqAAII($C$3,$A26&amp;D$2&amp;"_x",D$1,$B$1)</f>
        <v>-0.9</v>
      </c>
      <c r="E26" s="49" t="str">
        <f>_xll.xlqAAII($C$3,$A26&amp;E$2&amp;"_x",E$1,$B$1)</f>
        <v>NA</v>
      </c>
      <c r="F26" s="49">
        <f>_xll.xlqAAII($C$3,$A26&amp;F$2&amp;"_x",F$1,$B$1)</f>
        <v>0.3</v>
      </c>
      <c r="G26" s="49">
        <f>_xll.xlqAAII($C$3,$A26&amp;G$2&amp;"_x",G$1,$B$1)</f>
        <v>0.3</v>
      </c>
      <c r="H26" s="49">
        <f>_xll.xlqAAII($C$3,$A26&amp;H$2&amp;"_x",H$1,$B$1)</f>
        <v>-0.9</v>
      </c>
      <c r="I26" s="49" t="str">
        <f>_xll.xlqAAII($C$3,$A26&amp;I$2&amp;"_x",I$1,$B$1)</f>
        <v>NA</v>
      </c>
      <c r="J26" s="49" t="str">
        <f>_xll.xlqAAII($C$3,$A26&amp;J$2&amp;"_x",J$1,$B$1)</f>
        <v>NA</v>
      </c>
      <c r="K26" s="50"/>
      <c r="L26" s="49" t="str">
        <f>_xll.xlqAAII($C$3,$A26&amp;"12M",L$1,$B$1)</f>
        <v>NA</v>
      </c>
    </row>
    <row r="27" spans="1:12" x14ac:dyDescent="0.25">
      <c r="A27" s="2" t="s">
        <v>161</v>
      </c>
      <c r="B27" s="1" t="str">
        <f>_xll.xlqAAIIDescrip($A27&amp;B$2&amp;"_x")</f>
        <v>Net Income</v>
      </c>
      <c r="C27" s="28">
        <f>_xll.xlqAAII($C$3,$A27&amp;C$2&amp;"_x",C$1,$B$1)</f>
        <v>14.9</v>
      </c>
      <c r="D27" s="28">
        <f>_xll.xlqAAII($C$3,$A27&amp;D$2&amp;"_x",D$1,$B$1)</f>
        <v>14.9</v>
      </c>
      <c r="E27" s="28">
        <f>_xll.xlqAAII($C$3,$A27&amp;E$2&amp;"_x",E$1,$B$1)</f>
        <v>4.8</v>
      </c>
      <c r="F27" s="28">
        <f>_xll.xlqAAII($C$3,$A27&amp;F$2&amp;"_x",F$1,$B$1)</f>
        <v>10.1</v>
      </c>
      <c r="G27" s="28">
        <f>_xll.xlqAAII($C$3,$A27&amp;G$2&amp;"_x",G$1,$B$1)</f>
        <v>3.8</v>
      </c>
      <c r="H27" s="28">
        <f>_xll.xlqAAII($C$3,$A27&amp;H$2&amp;"_x",H$1,$B$1)</f>
        <v>-2</v>
      </c>
      <c r="I27" s="28">
        <f>_xll.xlqAAII($C$3,$A27&amp;I$2&amp;"_x",I$1,$B$1)</f>
        <v>-14.1</v>
      </c>
      <c r="J27" s="28">
        <f>_xll.xlqAAII($C$3,$A27&amp;J$2&amp;"_x",J$1,$B$1)</f>
        <v>-2.8</v>
      </c>
      <c r="K27" s="35"/>
      <c r="L27" s="28" t="str">
        <f>_xll.xlqAAII($C$3,$A27&amp;"12M",L$1,$B$1)</f>
        <v>NA</v>
      </c>
    </row>
    <row r="28" spans="1:12" x14ac:dyDescent="0.25">
      <c r="C28" s="25"/>
      <c r="D28" s="25"/>
      <c r="E28" s="25"/>
      <c r="F28" s="25"/>
      <c r="G28" s="25"/>
      <c r="H28" s="25"/>
      <c r="I28" s="25"/>
      <c r="J28" s="25"/>
      <c r="L28" s="25"/>
    </row>
    <row r="29" spans="1:12" x14ac:dyDescent="0.25">
      <c r="A29" s="2" t="s">
        <v>162</v>
      </c>
      <c r="B29" s="1" t="str">
        <f>_xll.xlqAAIIDescrip($A29&amp;B$2&amp;"_x")</f>
        <v>EPS</v>
      </c>
      <c r="C29" s="25">
        <f>_xll.xlqAAII($C$3,$A29&amp;C$2&amp;"_x",C$1,$B$1)</f>
        <v>1.0169999999999999</v>
      </c>
      <c r="D29" s="25">
        <f>_xll.xlqAAII($C$3,$A29&amp;D$2&amp;"_x",D$1,$B$1)</f>
        <v>1.0249999999999999</v>
      </c>
      <c r="E29" s="25">
        <f>_xll.xlqAAII($C$3,$A29&amp;E$2&amp;"_x",E$1,$B$1)</f>
        <v>0.32900000000000001</v>
      </c>
      <c r="F29" s="25">
        <f>_xll.xlqAAII($C$3,$A29&amp;F$2&amp;"_x",F$1,$B$1)</f>
        <v>0.69199999999999995</v>
      </c>
      <c r="G29" s="25">
        <f>_xll.xlqAAII($C$3,$A29&amp;G$2&amp;"_x",G$1,$B$1)</f>
        <v>0.26400000000000001</v>
      </c>
      <c r="H29" s="25">
        <f>_xll.xlqAAII($C$3,$A29&amp;H$2&amp;"_x",H$1,$B$1)</f>
        <v>-0.13600000000000001</v>
      </c>
      <c r="I29" s="25">
        <f>_xll.xlqAAII($C$3,$A29&amp;I$2&amp;"_x",I$1,$B$1)</f>
        <v>-0.97899999999999998</v>
      </c>
      <c r="J29" s="25">
        <f>_xll.xlqAAII($C$3,$A29&amp;J$2&amp;"_x",J$1,$B$1)</f>
        <v>-0.19700000000000001</v>
      </c>
      <c r="L29" s="25" t="str">
        <f>_xll.xlqAAII($C$3,$A29&amp;"12M",L$1,$B$1)</f>
        <v>NA</v>
      </c>
    </row>
    <row r="30" spans="1:12" x14ac:dyDescent="0.25">
      <c r="A30" s="2" t="s">
        <v>163</v>
      </c>
      <c r="B30" s="1" t="str">
        <f>_xll.xlqAAIIDescrip($A30&amp;B$2&amp;"_x")</f>
        <v>EPS-Continuing</v>
      </c>
      <c r="C30" s="25">
        <f>_xll.xlqAAII($C$3,$A30&amp;C$2&amp;"_x",C$1,$B$1)</f>
        <v>1.0169999999999999</v>
      </c>
      <c r="D30" s="25">
        <f>_xll.xlqAAII($C$3,$A30&amp;D$2&amp;"_x",D$1,$B$1)</f>
        <v>1.0840000000000001</v>
      </c>
      <c r="E30" s="25">
        <f>_xll.xlqAAII($C$3,$A30&amp;E$2&amp;"_x",E$1,$B$1)</f>
        <v>0.32900000000000001</v>
      </c>
      <c r="F30" s="25">
        <f>_xll.xlqAAII($C$3,$A30&amp;F$2&amp;"_x",F$1,$B$1)</f>
        <v>0.67300000000000004</v>
      </c>
      <c r="G30" s="25">
        <f>_xll.xlqAAII($C$3,$A30&amp;G$2&amp;"_x",G$1,$B$1)</f>
        <v>0.245</v>
      </c>
      <c r="H30" s="25">
        <f>_xll.xlqAAII($C$3,$A30&amp;H$2&amp;"_x",H$1,$B$1)</f>
        <v>-7.0999999999999994E-2</v>
      </c>
      <c r="I30" s="25">
        <f>_xll.xlqAAII($C$3,$A30&amp;I$2&amp;"_x",I$1,$B$1)</f>
        <v>-0.97899999999999998</v>
      </c>
      <c r="J30" s="25">
        <f>_xll.xlqAAII($C$3,$A30&amp;J$2&amp;"_x",J$1,$B$1)</f>
        <v>-0.19700000000000001</v>
      </c>
      <c r="L30" s="25">
        <f>_xll.xlqAAII($C$3,$A30&amp;"12M",L$1,$B$1)</f>
        <v>2.859</v>
      </c>
    </row>
    <row r="31" spans="1:12" x14ac:dyDescent="0.25">
      <c r="A31" s="2" t="s">
        <v>164</v>
      </c>
      <c r="B31" s="1" t="str">
        <f>_xll.xlqAAIIDescrip($A31&amp;B$2&amp;"_x")</f>
        <v>EPS-Diluted</v>
      </c>
      <c r="C31" s="25">
        <f>_xll.xlqAAII($C$3,$A31&amp;C$2&amp;"_x",C$1,$B$1)</f>
        <v>1.012</v>
      </c>
      <c r="D31" s="25">
        <f>_xll.xlqAAII($C$3,$A31&amp;D$2&amp;"_x",D$1,$B$1)</f>
        <v>1</v>
      </c>
      <c r="E31" s="25">
        <f>_xll.xlqAAII($C$3,$A31&amp;E$2&amp;"_x",E$1,$B$1)</f>
        <v>0.32900000000000001</v>
      </c>
      <c r="F31" s="25">
        <f>_xll.xlqAAII($C$3,$A31&amp;F$2&amp;"_x",F$1,$B$1)</f>
        <v>0.69199999999999995</v>
      </c>
      <c r="G31" s="25">
        <f>_xll.xlqAAII($C$3,$A31&amp;G$2&amp;"_x",G$1,$B$1)</f>
        <v>0.26400000000000001</v>
      </c>
      <c r="H31" s="25">
        <f>_xll.xlqAAII($C$3,$A31&amp;H$2&amp;"_x",H$1,$B$1)</f>
        <v>-0.13600000000000001</v>
      </c>
      <c r="I31" s="25">
        <f>_xll.xlqAAII($C$3,$A31&amp;I$2&amp;"_x",I$1,$B$1)</f>
        <v>-0.97899999999999998</v>
      </c>
      <c r="J31" s="25">
        <f>_xll.xlqAAII($C$3,$A31&amp;J$2&amp;"_x",J$1,$B$1)</f>
        <v>-0.19700000000000001</v>
      </c>
      <c r="L31" s="25">
        <f>_xll.xlqAAII($C$3,$A31&amp;"12M",L$1,$B$1)</f>
        <v>2.7690000000000001</v>
      </c>
    </row>
    <row r="32" spans="1:12" x14ac:dyDescent="0.25">
      <c r="A32" s="2" t="s">
        <v>165</v>
      </c>
      <c r="B32" s="1" t="str">
        <f>_xll.xlqAAIIDescrip($A32&amp;B$2&amp;"_x")</f>
        <v>EPS-Diluted Continuing</v>
      </c>
      <c r="C32" s="25">
        <f>_xll.xlqAAII($C$3,$A32&amp;C$2&amp;"_x",C$1,$B$1)</f>
        <v>1.012</v>
      </c>
      <c r="D32" s="25">
        <f>_xll.xlqAAII($C$3,$A32&amp;D$2&amp;"_x",D$1,$B$1)</f>
        <v>1.0580000000000001</v>
      </c>
      <c r="E32" s="25">
        <f>_xll.xlqAAII($C$3,$A32&amp;E$2&amp;"_x",E$1,$B$1)</f>
        <v>0.32900000000000001</v>
      </c>
      <c r="F32" s="25">
        <f>_xll.xlqAAII($C$3,$A32&amp;F$2&amp;"_x",F$1,$B$1)</f>
        <v>0.67300000000000004</v>
      </c>
      <c r="G32" s="25">
        <f>_xll.xlqAAII($C$3,$A32&amp;G$2&amp;"_x",G$1,$B$1)</f>
        <v>0.245</v>
      </c>
      <c r="H32" s="25">
        <f>_xll.xlqAAII($C$3,$A32&amp;H$2&amp;"_x",H$1,$B$1)</f>
        <v>-7.0999999999999994E-2</v>
      </c>
      <c r="I32" s="25">
        <f>_xll.xlqAAII($C$3,$A32&amp;I$2&amp;"_x",I$1,$B$1)</f>
        <v>-0.97899999999999998</v>
      </c>
      <c r="J32" s="25">
        <f>_xll.xlqAAII($C$3,$A32&amp;J$2&amp;"_x",J$1,$B$1)</f>
        <v>-0.19700000000000001</v>
      </c>
      <c r="L32" s="25">
        <f>_xll.xlqAAII($C$3,$A32&amp;"12M",L$1,$B$1)</f>
        <v>2.8279999999999998</v>
      </c>
    </row>
    <row r="33" spans="1:12" x14ac:dyDescent="0.25">
      <c r="A33" s="2" t="s">
        <v>196</v>
      </c>
      <c r="B33" s="1" t="str">
        <f>_xll.xlqAAIIDescrip($A33&amp;B$2&amp;"_x")</f>
        <v>Dividend</v>
      </c>
      <c r="C33" s="25">
        <f>_xll.xlqAAII($C$3,$A33&amp;C$2&amp;"_x",C$1,$B$1)</f>
        <v>0.02</v>
      </c>
      <c r="D33" s="25">
        <f>_xll.xlqAAII($C$3,$A33&amp;D$2&amp;"_x",D$1,$B$1)</f>
        <v>0.02</v>
      </c>
      <c r="E33" s="25">
        <f>_xll.xlqAAII($C$3,$A33&amp;E$2&amp;"_x",E$1,$B$1)</f>
        <v>0.02</v>
      </c>
      <c r="F33" s="25">
        <f>_xll.xlqAAII($C$3,$A33&amp;F$2&amp;"_x",F$1,$B$1)</f>
        <v>0.04</v>
      </c>
      <c r="G33" s="25">
        <f>_xll.xlqAAII($C$3,$A33&amp;G$2&amp;"_x",G$1,$B$1)</f>
        <v>0.02</v>
      </c>
      <c r="H33" s="25">
        <f>_xll.xlqAAII($C$3,$A33&amp;H$2&amp;"_x",H$1,$B$1)</f>
        <v>0.02</v>
      </c>
      <c r="I33" s="25">
        <f>_xll.xlqAAII($C$3,$A33&amp;I$2&amp;"_x",I$1,$B$1)</f>
        <v>0.02</v>
      </c>
      <c r="J33" s="25">
        <f>_xll.xlqAAII($C$3,$A33&amp;J$2&amp;"_x",J$1,$B$1)</f>
        <v>0.04</v>
      </c>
      <c r="L33" s="25">
        <f>_xll.xlqAAII($C$3,$A33&amp;"12M",L$1,$B$1)</f>
        <v>0</v>
      </c>
    </row>
    <row r="35" spans="1:12" x14ac:dyDescent="0.25">
      <c r="B35" s="1" t="s">
        <v>139</v>
      </c>
    </row>
    <row r="37" spans="1:12" x14ac:dyDescent="0.25">
      <c r="A37" s="2" t="s">
        <v>166</v>
      </c>
      <c r="B37" s="1" t="str">
        <f>_xll.xlqAAIIDescrip($A37&amp;B$2&amp;"_x")</f>
        <v>Cash From Operations</v>
      </c>
      <c r="C37" s="47">
        <f>_xll.xlqAAII($C$3,$A37&amp;C$2&amp;"_x",C$1,$B$1)</f>
        <v>7</v>
      </c>
      <c r="D37" s="47">
        <f>_xll.xlqAAII($C$3,$A37&amp;D$2&amp;"_x",D$1,$B$1)</f>
        <v>21.1</v>
      </c>
      <c r="E37" s="47">
        <f>_xll.xlqAAII($C$3,$A37&amp;E$2&amp;"_x",E$1,$B$1)</f>
        <v>8.1</v>
      </c>
      <c r="F37" s="47">
        <f>_xll.xlqAAII($C$3,$A37&amp;F$2&amp;"_x",F$1,$B$1)</f>
        <v>-1.6</v>
      </c>
      <c r="G37" s="47">
        <f>_xll.xlqAAII($C$3,$A37&amp;G$2&amp;"_x",G$1,$B$1)</f>
        <v>-3</v>
      </c>
      <c r="H37" s="47">
        <f>_xll.xlqAAII($C$3,$A37&amp;H$2&amp;"_x",H$1,$B$1)</f>
        <v>6.2</v>
      </c>
      <c r="I37" s="47">
        <f>_xll.xlqAAII($C$3,$A37&amp;I$2&amp;"_x",I$1,$B$1)</f>
        <v>3.7</v>
      </c>
      <c r="J37" s="47">
        <f>_xll.xlqAAII($C$3,$A37&amp;J$2&amp;"_x",J$1,$B$1)</f>
        <v>-3.1</v>
      </c>
      <c r="K37" s="48"/>
      <c r="L37" s="47" t="str">
        <f>_xll.xlqAAII($C$3,$A37&amp;"12M",L$1,$B$1)</f>
        <v>NA</v>
      </c>
    </row>
    <row r="38" spans="1:12" x14ac:dyDescent="0.25">
      <c r="A38" s="2" t="s">
        <v>167</v>
      </c>
      <c r="B38" s="1" t="str">
        <f>_xll.xlqAAIIDescrip($A38&amp;B$2&amp;"_x")</f>
        <v>Cash From Investing</v>
      </c>
      <c r="C38" s="47">
        <f>_xll.xlqAAII($C$3,$A38&amp;C$2&amp;"_x",C$1,$B$1)</f>
        <v>-6.4</v>
      </c>
      <c r="D38" s="47">
        <f>_xll.xlqAAII($C$3,$A38&amp;D$2&amp;"_x",D$1,$B$1)</f>
        <v>-18.5</v>
      </c>
      <c r="E38" s="47">
        <f>_xll.xlqAAII($C$3,$A38&amp;E$2&amp;"_x",E$1,$B$1)</f>
        <v>-10.4</v>
      </c>
      <c r="F38" s="47">
        <f>_xll.xlqAAII($C$3,$A38&amp;F$2&amp;"_x",F$1,$B$1)</f>
        <v>-16.2</v>
      </c>
      <c r="G38" s="47">
        <f>_xll.xlqAAII($C$3,$A38&amp;G$2&amp;"_x",G$1,$B$1)</f>
        <v>-5.3</v>
      </c>
      <c r="H38" s="47">
        <f>_xll.xlqAAII($C$3,$A38&amp;H$2&amp;"_x",H$1,$B$1)</f>
        <v>-2.9</v>
      </c>
      <c r="I38" s="47">
        <f>_xll.xlqAAII($C$3,$A38&amp;I$2&amp;"_x",I$1,$B$1)</f>
        <v>-1.1000000000000001</v>
      </c>
      <c r="J38" s="47">
        <f>_xll.xlqAAII($C$3,$A38&amp;J$2&amp;"_x",J$1,$B$1)</f>
        <v>-2.2000000000000002</v>
      </c>
      <c r="K38" s="48"/>
      <c r="L38" s="47" t="str">
        <f>_xll.xlqAAII($C$3,$A38&amp;"12M",L$1,$B$1)</f>
        <v>NA</v>
      </c>
    </row>
    <row r="39" spans="1:12" x14ac:dyDescent="0.25">
      <c r="A39" s="2" t="s">
        <v>168</v>
      </c>
      <c r="B39" s="1" t="str">
        <f>_xll.xlqAAIIDescrip($A39&amp;B$2&amp;"_x")</f>
        <v>Cash From Financing</v>
      </c>
      <c r="C39" s="47">
        <f>_xll.xlqAAII($C$3,$A39&amp;C$2&amp;"_x",C$1,$B$1)</f>
        <v>0.8</v>
      </c>
      <c r="D39" s="47">
        <f>_xll.xlqAAII($C$3,$A39&amp;D$2&amp;"_x",D$1,$B$1)</f>
        <v>-0.2</v>
      </c>
      <c r="E39" s="47">
        <f>_xll.xlqAAII($C$3,$A39&amp;E$2&amp;"_x",E$1,$B$1)</f>
        <v>6.3</v>
      </c>
      <c r="F39" s="47">
        <f>_xll.xlqAAII($C$3,$A39&amp;F$2&amp;"_x",F$1,$B$1)</f>
        <v>15.7</v>
      </c>
      <c r="G39" s="47">
        <f>_xll.xlqAAII($C$3,$A39&amp;G$2&amp;"_x",G$1,$B$1)</f>
        <v>10.5</v>
      </c>
      <c r="H39" s="47">
        <f>_xll.xlqAAII($C$3,$A39&amp;H$2&amp;"_x",H$1,$B$1)</f>
        <v>-4.2</v>
      </c>
      <c r="I39" s="47">
        <f>_xll.xlqAAII($C$3,$A39&amp;I$2&amp;"_x",I$1,$B$1)</f>
        <v>-2.4</v>
      </c>
      <c r="J39" s="47">
        <f>_xll.xlqAAII($C$3,$A39&amp;J$2&amp;"_x",J$1,$B$1)</f>
        <v>7.2</v>
      </c>
      <c r="K39" s="48"/>
      <c r="L39" s="47" t="str">
        <f>_xll.xlqAAII($C$3,$A39&amp;"12M",L$1,$B$1)</f>
        <v>NA</v>
      </c>
    </row>
    <row r="40" spans="1:12" s="36" customFormat="1" x14ac:dyDescent="0.25">
      <c r="A40" s="36" t="s">
        <v>169</v>
      </c>
      <c r="B40" s="37" t="str">
        <f>_xll.xlqAAIIDescrip($A40&amp;B$2&amp;"_x")</f>
        <v>Exchange Rate Effects</v>
      </c>
      <c r="C40" s="49">
        <f>_xll.xlqAAII($C$3,$A40&amp;C$2&amp;"_x",C$1,$B$1)</f>
        <v>0.1</v>
      </c>
      <c r="D40" s="49">
        <f>_xll.xlqAAII($C$3,$A40&amp;D$2&amp;"_x",D$1,$B$1)</f>
        <v>-0.1</v>
      </c>
      <c r="E40" s="49">
        <f>_xll.xlqAAII($C$3,$A40&amp;E$2&amp;"_x",E$1,$B$1)</f>
        <v>0.4</v>
      </c>
      <c r="F40" s="49">
        <f>_xll.xlqAAII($C$3,$A40&amp;F$2&amp;"_x",F$1,$B$1)</f>
        <v>-0.3</v>
      </c>
      <c r="G40" s="49">
        <f>_xll.xlqAAII($C$3,$A40&amp;G$2&amp;"_x",G$1,$B$1)</f>
        <v>-0.5</v>
      </c>
      <c r="H40" s="49">
        <f>_xll.xlqAAII($C$3,$A40&amp;H$2&amp;"_x",H$1,$B$1)</f>
        <v>0.9</v>
      </c>
      <c r="I40" s="49">
        <f>_xll.xlqAAII($C$3,$A40&amp;I$2&amp;"_x",I$1,$B$1)</f>
        <v>0.1</v>
      </c>
      <c r="J40" s="49">
        <f>_xll.xlqAAII($C$3,$A40&amp;J$2&amp;"_x",J$1,$B$1)</f>
        <v>0.3</v>
      </c>
      <c r="K40" s="50"/>
      <c r="L40" s="49" t="str">
        <f>_xll.xlqAAII($C$3,$A40&amp;"12M",L$1,$B$1)</f>
        <v>NA</v>
      </c>
    </row>
    <row r="41" spans="1:12" s="1" customFormat="1" x14ac:dyDescent="0.25">
      <c r="A41" s="1" t="s">
        <v>170</v>
      </c>
      <c r="B41" s="1" t="str">
        <f>_xll.xlqAAIIDescrip($A41&amp;B$2&amp;"_x")</f>
        <v>Cash Flow</v>
      </c>
      <c r="C41" s="51">
        <f>_xll.xlqAAII($C$3,$A41&amp;C$2&amp;"_x",C$1,$B$1)</f>
        <v>1.5</v>
      </c>
      <c r="D41" s="51">
        <f>_xll.xlqAAII($C$3,$A41&amp;D$2&amp;"_x",D$1,$B$1)</f>
        <v>2.2999999999999998</v>
      </c>
      <c r="E41" s="51">
        <f>_xll.xlqAAII($C$3,$A41&amp;E$2&amp;"_x",E$1,$B$1)</f>
        <v>4.5</v>
      </c>
      <c r="F41" s="51">
        <f>_xll.xlqAAII($C$3,$A41&amp;F$2&amp;"_x",F$1,$B$1)</f>
        <v>-2.4</v>
      </c>
      <c r="G41" s="51">
        <f>_xll.xlqAAII($C$3,$A41&amp;G$2&amp;"_x",G$1,$B$1)</f>
        <v>1.8</v>
      </c>
      <c r="H41" s="51">
        <f>_xll.xlqAAII($C$3,$A41&amp;H$2&amp;"_x",H$1,$B$1)</f>
        <v>0.1</v>
      </c>
      <c r="I41" s="51">
        <f>_xll.xlqAAII($C$3,$A41&amp;I$2&amp;"_x",I$1,$B$1)</f>
        <v>0.2</v>
      </c>
      <c r="J41" s="51">
        <f>_xll.xlqAAII($C$3,$A41&amp;J$2&amp;"_x",J$1,$B$1)</f>
        <v>2.2000000000000002</v>
      </c>
      <c r="K41" s="52"/>
      <c r="L41" s="51" t="str">
        <f>_xll.xlqAAII($C$3,$A41&amp;"12M",L$1,$B$1)</f>
        <v>NA</v>
      </c>
    </row>
    <row r="42" spans="1:12" x14ac:dyDescent="0.25">
      <c r="C42" s="47"/>
      <c r="D42" s="47"/>
      <c r="E42" s="47"/>
      <c r="F42" s="47"/>
      <c r="G42" s="47"/>
      <c r="H42" s="47"/>
      <c r="I42" s="47"/>
      <c r="J42" s="47"/>
      <c r="K42" s="48"/>
      <c r="L42" s="47"/>
    </row>
    <row r="43" spans="1:12" x14ac:dyDescent="0.25">
      <c r="A43" s="2" t="s">
        <v>1713</v>
      </c>
      <c r="B43" s="1" t="str">
        <f>_xll.xlqAAIIDescrip($A43&amp;B$2&amp;"_x")</f>
        <v>Depreciation &amp; Amortization (CF)</v>
      </c>
      <c r="C43" s="47">
        <f>_xll.xlqAAII($C$3,$A43&amp;C$2&amp;"_x",C$1,$B$1)</f>
        <v>2.2000000000000002</v>
      </c>
      <c r="D43" s="47">
        <f>_xll.xlqAAII($C$3,$A43&amp;D$2&amp;"_x",D$1,$B$1)</f>
        <v>2.4</v>
      </c>
      <c r="E43" s="47">
        <f>_xll.xlqAAII($C$3,$A43&amp;E$2&amp;"_x",E$1,$B$1)</f>
        <v>2.4</v>
      </c>
      <c r="F43" s="47">
        <f>_xll.xlqAAII($C$3,$A43&amp;F$2&amp;"_x",F$1,$B$1)</f>
        <v>4.8</v>
      </c>
      <c r="G43" s="47">
        <f>_xll.xlqAAII($C$3,$A43&amp;G$2&amp;"_x",G$1,$B$1)</f>
        <v>2.4</v>
      </c>
      <c r="H43" s="47">
        <f>_xll.xlqAAII($C$3,$A43&amp;H$2&amp;"_x",H$1,$B$1)</f>
        <v>2.5</v>
      </c>
      <c r="I43" s="47">
        <f>_xll.xlqAAII($C$3,$A43&amp;I$2&amp;"_x",I$1,$B$1)</f>
        <v>2.7</v>
      </c>
      <c r="J43" s="47">
        <f>_xll.xlqAAII($C$3,$A43&amp;J$2&amp;"_x",J$1,$B$1)</f>
        <v>5.4</v>
      </c>
      <c r="K43" s="48"/>
      <c r="L43" s="47" t="str">
        <f>_xll.xlqAAII($C$3,$A43&amp;"12M",L$1,$B$1)</f>
        <v>NA</v>
      </c>
    </row>
    <row r="44" spans="1:12" x14ac:dyDescent="0.25">
      <c r="A44" s="2" t="s">
        <v>171</v>
      </c>
      <c r="B44" s="1" t="str">
        <f>_xll.xlqAAIIDescrip($A44&amp;B$2&amp;"_x")</f>
        <v>Capital Expenditures</v>
      </c>
      <c r="C44" s="47">
        <f>_xll.xlqAAII($C$3,$A44&amp;C$2&amp;"_x",C$1,$B$1)</f>
        <v>6.6</v>
      </c>
      <c r="D44" s="47">
        <f>_xll.xlqAAII($C$3,$A44&amp;D$2&amp;"_x",D$1,$B$1)</f>
        <v>18.5</v>
      </c>
      <c r="E44" s="47">
        <f>_xll.xlqAAII($C$3,$A44&amp;E$2&amp;"_x",E$1,$B$1)</f>
        <v>10.4</v>
      </c>
      <c r="F44" s="47">
        <f>_xll.xlqAAII($C$3,$A44&amp;F$2&amp;"_x",F$1,$B$1)</f>
        <v>16.2</v>
      </c>
      <c r="G44" s="47">
        <f>_xll.xlqAAII($C$3,$A44&amp;G$2&amp;"_x",G$1,$B$1)</f>
        <v>5.3</v>
      </c>
      <c r="H44" s="47">
        <f>_xll.xlqAAII($C$3,$A44&amp;H$2&amp;"_x",H$1,$B$1)</f>
        <v>2.9</v>
      </c>
      <c r="I44" s="47">
        <f>_xll.xlqAAII($C$3,$A44&amp;I$2&amp;"_x",I$1,$B$1)</f>
        <v>1.1000000000000001</v>
      </c>
      <c r="J44" s="47">
        <f>_xll.xlqAAII($C$3,$A44&amp;J$2&amp;"_x",J$1,$B$1)</f>
        <v>2.2000000000000002</v>
      </c>
      <c r="K44" s="48"/>
      <c r="L44" s="47" t="str">
        <f>_xll.xlqAAII($C$3,$A44&amp;"12M",L$1,$B$1)</f>
        <v>NA</v>
      </c>
    </row>
    <row r="45" spans="1:12" x14ac:dyDescent="0.25">
      <c r="C45" s="25"/>
      <c r="D45" s="25"/>
      <c r="E45" s="25"/>
      <c r="F45" s="25"/>
      <c r="G45" s="25"/>
      <c r="H45" s="25"/>
      <c r="I45" s="25"/>
      <c r="J45" s="25"/>
      <c r="L45" s="25"/>
    </row>
    <row r="46" spans="1:12" x14ac:dyDescent="0.25">
      <c r="A46" s="2" t="s">
        <v>172</v>
      </c>
      <c r="B46" s="1" t="str">
        <f>_xll.xlqAAIIDescrip($A46&amp;B$2&amp;"_x")</f>
        <v>Cash Flow/Share</v>
      </c>
      <c r="C46" s="25">
        <f>_xll.xlqAAII($C$3,$A46&amp;C$2&amp;"_x",C$1,$B$1)</f>
        <v>0.1</v>
      </c>
      <c r="D46" s="25">
        <f>_xll.xlqAAII($C$3,$A46&amp;D$2&amp;"_x",D$1,$B$1)</f>
        <v>0.15</v>
      </c>
      <c r="E46" s="25">
        <f>_xll.xlqAAII($C$3,$A46&amp;E$2&amp;"_x",E$1,$B$1)</f>
        <v>0.31</v>
      </c>
      <c r="F46" s="25">
        <f>_xll.xlqAAII($C$3,$A46&amp;F$2&amp;"_x",F$1,$B$1)</f>
        <v>-0.16</v>
      </c>
      <c r="G46" s="25">
        <f>_xll.xlqAAII($C$3,$A46&amp;G$2&amp;"_x",G$1,$B$1)</f>
        <v>0.12</v>
      </c>
      <c r="H46" s="25">
        <f>_xll.xlqAAII($C$3,$A46&amp;H$2&amp;"_x",H$1,$B$1)</f>
        <v>0.01</v>
      </c>
      <c r="I46" s="25">
        <f>_xll.xlqAAII($C$3,$A46&amp;I$2&amp;"_x",I$1,$B$1)</f>
        <v>0.02</v>
      </c>
      <c r="J46" s="25">
        <f>_xll.xlqAAII($C$3,$A46&amp;J$2&amp;"_x",J$1,$B$1)</f>
        <v>0.15</v>
      </c>
      <c r="L46" s="25" t="str">
        <f>_xll.xlqAAII($C$3,$A46&amp;"12M",L$1,$B$1)</f>
        <v>NA</v>
      </c>
    </row>
    <row r="47" spans="1:12" x14ac:dyDescent="0.25">
      <c r="A47" s="2" t="s">
        <v>173</v>
      </c>
      <c r="B47" s="1" t="str">
        <f>_xll.xlqAAIIDescrip($A47&amp;B$2&amp;"_x")</f>
        <v>Free Cash Flow/Share</v>
      </c>
      <c r="C47" s="25">
        <f>_xll.xlqAAII($C$3,$A47&amp;C$2&amp;"_x",C$1,$B$1)</f>
        <v>0.01</v>
      </c>
      <c r="D47" s="25">
        <f>_xll.xlqAAII($C$3,$A47&amp;D$2&amp;"_x",D$1,$B$1)</f>
        <v>0.15</v>
      </c>
      <c r="E47" s="25">
        <f>_xll.xlqAAII($C$3,$A47&amp;E$2&amp;"_x",E$1,$B$1)</f>
        <v>-0.17</v>
      </c>
      <c r="F47" s="25">
        <f>_xll.xlqAAII($C$3,$A47&amp;F$2&amp;"_x",F$1,$B$1)</f>
        <v>-1.26</v>
      </c>
      <c r="G47" s="25">
        <f>_xll.xlqAAII($C$3,$A47&amp;G$2&amp;"_x",G$1,$B$1)</f>
        <v>-0.59</v>
      </c>
      <c r="H47" s="25">
        <f>_xll.xlqAAII($C$3,$A47&amp;H$2&amp;"_x",H$1,$B$1)</f>
        <v>0.21</v>
      </c>
      <c r="I47" s="25">
        <f>_xll.xlqAAII($C$3,$A47&amp;I$2&amp;"_x",I$1,$B$1)</f>
        <v>0.15</v>
      </c>
      <c r="J47" s="25">
        <f>_xll.xlqAAII($C$3,$A47&amp;J$2&amp;"_x",J$1,$B$1)</f>
        <v>-0.41</v>
      </c>
      <c r="L47" s="25" t="str">
        <f>_xll.xlqAAII($C$3,$A47&amp;"12M",L$1,$B$1)</f>
        <v>NA</v>
      </c>
    </row>
    <row r="48" spans="1:12" x14ac:dyDescent="0.25">
      <c r="A48" s="2" t="s">
        <v>1252</v>
      </c>
      <c r="B48" s="1" t="str">
        <f>_xll.xlqAAIIDescrip($A48&amp;B$2&amp;"_x")</f>
        <v>DCF: BSCF</v>
      </c>
      <c r="C48" s="25">
        <f>_xll.xlqAAII($C$3,$A48&amp;C$2&amp;"_x",C$1,$B$1)</f>
        <v>-2.48</v>
      </c>
      <c r="D48" s="25">
        <f>_xll.xlqAAII($C$3,$A48&amp;D$2&amp;"_x",D$1,$B$1)</f>
        <v>2.12</v>
      </c>
      <c r="E48" s="25">
        <f>_xll.xlqAAII($C$3,$A48&amp;E$2&amp;"_x",E$1,$B$1)</f>
        <v>12.26</v>
      </c>
      <c r="F48" s="25">
        <f>_xll.xlqAAII($C$3,$A48&amp;F$2&amp;"_x",F$1,$B$1)</f>
        <v>2.61</v>
      </c>
      <c r="G48" s="25"/>
      <c r="H48" s="25"/>
      <c r="I48" s="25"/>
      <c r="J48" s="25"/>
      <c r="L48" s="25"/>
    </row>
    <row r="49" spans="1:12" x14ac:dyDescent="0.25">
      <c r="A49" s="2" t="s">
        <v>1253</v>
      </c>
      <c r="B49" s="1" t="str">
        <f>_xll.xlqAAIIDescrip($A49&amp;B$2&amp;"_x")</f>
        <v>DCF: OCF</v>
      </c>
      <c r="C49" s="25">
        <f>_xll.xlqAAII($C$3,$A49&amp;C$2&amp;"_x",C$1,$B$1)</f>
        <v>2.93</v>
      </c>
      <c r="D49" s="25">
        <f>_xll.xlqAAII($C$3,$A49&amp;D$2&amp;"_x",D$1,$B$1)</f>
        <v>1.95</v>
      </c>
      <c r="E49" s="25">
        <f>_xll.xlqAAII($C$3,$A49&amp;E$2&amp;"_x",E$1,$B$1)</f>
        <v>-6.89</v>
      </c>
      <c r="F49" s="25">
        <f>_xll.xlqAAII($C$3,$A49&amp;F$2&amp;"_x",F$1,$B$1)</f>
        <v>-8.34</v>
      </c>
      <c r="G49" s="25"/>
      <c r="H49" s="25"/>
      <c r="I49" s="25"/>
      <c r="J49" s="25"/>
      <c r="L49" s="25"/>
    </row>
    <row r="50" spans="1:12" x14ac:dyDescent="0.25">
      <c r="A50" s="2" t="s">
        <v>1254</v>
      </c>
      <c r="B50" s="1" t="str">
        <f>_xll.xlqAAIIDescrip($A50&amp;B$2&amp;"_x")</f>
        <v>DCF</v>
      </c>
      <c r="C50" s="25">
        <f>_xll.xlqAAII($C$3,$A50&amp;C$2&amp;"_x",C$1,$B$1)</f>
        <v>5.41</v>
      </c>
      <c r="D50" s="25">
        <f>_xll.xlqAAII($C$3,$A50&amp;D$2&amp;"_x",D$1,$B$1)</f>
        <v>-0.17</v>
      </c>
      <c r="E50" s="25">
        <f>_xll.xlqAAII($C$3,$A50&amp;E$2&amp;"_x",E$1,$B$1)</f>
        <v>-19.149999999999999</v>
      </c>
      <c r="F50" s="25">
        <f>_xll.xlqAAII($C$3,$A50&amp;F$2&amp;"_x",F$1,$B$1)</f>
        <v>-10.95</v>
      </c>
      <c r="G50" s="25"/>
      <c r="H50" s="25"/>
      <c r="I50" s="25"/>
      <c r="J50" s="25"/>
      <c r="L50" s="25"/>
    </row>
    <row r="52" spans="1:12" x14ac:dyDescent="0.25">
      <c r="B52" s="1" t="s">
        <v>140</v>
      </c>
    </row>
    <row r="55" spans="1:12" x14ac:dyDescent="0.25">
      <c r="A55" s="2" t="s">
        <v>174</v>
      </c>
      <c r="B55" s="1" t="str">
        <f>_xll.xlqAAIIDescrip($A55&amp;B$2&amp;"_x")</f>
        <v>Cash</v>
      </c>
      <c r="C55" s="47">
        <f>_xll.xlqAAII($C$3,$A55&amp;C$2&amp;"_x",C$1,$B$1)</f>
        <v>14.9</v>
      </c>
      <c r="D55" s="47">
        <f>_xll.xlqAAII($C$3,$A55&amp;D$2&amp;"_x",D$1,$B$1)</f>
        <v>13.4</v>
      </c>
      <c r="E55" s="47">
        <f>_xll.xlqAAII($C$3,$A55&amp;E$2&amp;"_x",E$1,$B$1)</f>
        <v>11.1</v>
      </c>
      <c r="F55" s="47">
        <f>_xll.xlqAAII($C$3,$A55&amp;F$2&amp;"_x",F$1,$B$1)</f>
        <v>6.6</v>
      </c>
      <c r="G55" s="47">
        <f>_xll.xlqAAII($C$3,$A55&amp;G$2&amp;"_x",G$1,$B$1)</f>
        <v>10.8</v>
      </c>
      <c r="H55" s="47">
        <f>_xll.xlqAAII($C$3,$A55&amp;H$2&amp;"_x",H$1,$B$1)</f>
        <v>9</v>
      </c>
      <c r="I55" s="47">
        <f>_xll.xlqAAII($C$3,$A55&amp;I$2&amp;"_x",I$1,$B$1)</f>
        <v>8.9</v>
      </c>
      <c r="J55" s="47">
        <f>_xll.xlqAAII($C$3,$A55&amp;J$2&amp;"_x",J$1,$B$1)</f>
        <v>8.6</v>
      </c>
      <c r="K55" s="48"/>
      <c r="L55" s="47"/>
    </row>
    <row r="56" spans="1:12" x14ac:dyDescent="0.25">
      <c r="A56" s="2" t="s">
        <v>175</v>
      </c>
      <c r="B56" s="1" t="str">
        <f>_xll.xlqAAIIDescrip($A56&amp;B$2&amp;"_x")</f>
        <v>Short-Term Investments</v>
      </c>
      <c r="C56" s="47">
        <f>_xll.xlqAAII($C$3,$A56&amp;C$2&amp;"_x",C$1,$B$1)</f>
        <v>0</v>
      </c>
      <c r="D56" s="47">
        <f>_xll.xlqAAII($C$3,$A56&amp;D$2&amp;"_x",D$1,$B$1)</f>
        <v>0</v>
      </c>
      <c r="E56" s="47">
        <f>_xll.xlqAAII($C$3,$A56&amp;E$2&amp;"_x",E$1,$B$1)</f>
        <v>0</v>
      </c>
      <c r="F56" s="47">
        <f>_xll.xlqAAII($C$3,$A56&amp;F$2&amp;"_x",F$1,$B$1)</f>
        <v>0</v>
      </c>
      <c r="G56" s="47">
        <f>_xll.xlqAAII($C$3,$A56&amp;G$2&amp;"_x",G$1,$B$1)</f>
        <v>0</v>
      </c>
      <c r="H56" s="47">
        <f>_xll.xlqAAII($C$3,$A56&amp;H$2&amp;"_x",H$1,$B$1)</f>
        <v>0</v>
      </c>
      <c r="I56" s="47">
        <f>_xll.xlqAAII($C$3,$A56&amp;I$2&amp;"_x",I$1,$B$1)</f>
        <v>0</v>
      </c>
      <c r="J56" s="47">
        <f>_xll.xlqAAII($C$3,$A56&amp;J$2&amp;"_x",J$1,$B$1)</f>
        <v>0</v>
      </c>
      <c r="K56" s="48"/>
      <c r="L56" s="47"/>
    </row>
    <row r="57" spans="1:12" x14ac:dyDescent="0.25">
      <c r="A57" s="2" t="s">
        <v>176</v>
      </c>
      <c r="B57" s="1" t="str">
        <f>_xll.xlqAAIIDescrip($A57&amp;B$2&amp;"_x")</f>
        <v>Accounts Receivable</v>
      </c>
      <c r="C57" s="47">
        <f>_xll.xlqAAII($C$3,$A57&amp;C$2&amp;"_x",C$1,$B$1)</f>
        <v>73.3</v>
      </c>
      <c r="D57" s="47">
        <f>_xll.xlqAAII($C$3,$A57&amp;D$2&amp;"_x",D$1,$B$1)</f>
        <v>59.7</v>
      </c>
      <c r="E57" s="47">
        <f>_xll.xlqAAII($C$3,$A57&amp;E$2&amp;"_x",E$1,$B$1)</f>
        <v>65.599999999999994</v>
      </c>
      <c r="F57" s="47">
        <f>_xll.xlqAAII($C$3,$A57&amp;F$2&amp;"_x",F$1,$B$1)</f>
        <v>62.8</v>
      </c>
      <c r="G57" s="47">
        <f>_xll.xlqAAII($C$3,$A57&amp;G$2&amp;"_x",G$1,$B$1)</f>
        <v>57.2</v>
      </c>
      <c r="H57" s="47">
        <f>_xll.xlqAAII($C$3,$A57&amp;H$2&amp;"_x",H$1,$B$1)</f>
        <v>49.5</v>
      </c>
      <c r="I57" s="47">
        <f>_xll.xlqAAII($C$3,$A57&amp;I$2&amp;"_x",I$1,$B$1)</f>
        <v>45.4</v>
      </c>
      <c r="J57" s="47">
        <f>_xll.xlqAAII($C$3,$A57&amp;J$2&amp;"_x",J$1,$B$1)</f>
        <v>38.6</v>
      </c>
      <c r="K57" s="48"/>
      <c r="L57" s="47"/>
    </row>
    <row r="58" spans="1:12" x14ac:dyDescent="0.25">
      <c r="A58" s="2" t="s">
        <v>177</v>
      </c>
      <c r="B58" s="1" t="str">
        <f>_xll.xlqAAIIDescrip($A58&amp;B$2&amp;"_x")</f>
        <v>Inventory</v>
      </c>
      <c r="C58" s="47">
        <f>_xll.xlqAAII($C$3,$A58&amp;C$2&amp;"_x",C$1,$B$1)</f>
        <v>50.9</v>
      </c>
      <c r="D58" s="47">
        <f>_xll.xlqAAII($C$3,$A58&amp;D$2&amp;"_x",D$1,$B$1)</f>
        <v>51.1</v>
      </c>
      <c r="E58" s="47">
        <f>_xll.xlqAAII($C$3,$A58&amp;E$2&amp;"_x",E$1,$B$1)</f>
        <v>56.5</v>
      </c>
      <c r="F58" s="47">
        <f>_xll.xlqAAII($C$3,$A58&amp;F$2&amp;"_x",F$1,$B$1)</f>
        <v>53.7</v>
      </c>
      <c r="G58" s="47">
        <f>_xll.xlqAAII($C$3,$A58&amp;G$2&amp;"_x",G$1,$B$1)</f>
        <v>46.5</v>
      </c>
      <c r="H58" s="47">
        <f>_xll.xlqAAII($C$3,$A58&amp;H$2&amp;"_x",H$1,$B$1)</f>
        <v>35.700000000000003</v>
      </c>
      <c r="I58" s="47">
        <f>_xll.xlqAAII($C$3,$A58&amp;I$2&amp;"_x",I$1,$B$1)</f>
        <v>31.5</v>
      </c>
      <c r="J58" s="47">
        <f>_xll.xlqAAII($C$3,$A58&amp;J$2&amp;"_x",J$1,$B$1)</f>
        <v>30.9</v>
      </c>
      <c r="K58" s="48"/>
      <c r="L58" s="47"/>
    </row>
    <row r="59" spans="1:12" s="36" customFormat="1" x14ac:dyDescent="0.25">
      <c r="A59" s="36" t="s">
        <v>178</v>
      </c>
      <c r="B59" s="37" t="str">
        <f>_xll.xlqAAIIDescrip($A59&amp;B$2&amp;"_x")</f>
        <v>Other Current Assets</v>
      </c>
      <c r="C59" s="49">
        <f>_xll.xlqAAII($C$3,$A59&amp;C$2&amp;"_x",C$1,$B$1)</f>
        <v>7</v>
      </c>
      <c r="D59" s="49">
        <f>_xll.xlqAAII($C$3,$A59&amp;D$2&amp;"_x",D$1,$B$1)</f>
        <v>8.1</v>
      </c>
      <c r="E59" s="49">
        <f>_xll.xlqAAII($C$3,$A59&amp;E$2&amp;"_x",E$1,$B$1)</f>
        <v>6.7</v>
      </c>
      <c r="F59" s="49">
        <f>_xll.xlqAAII($C$3,$A59&amp;F$2&amp;"_x",F$1,$B$1)</f>
        <v>6.4</v>
      </c>
      <c r="G59" s="49">
        <f>_xll.xlqAAII($C$3,$A59&amp;G$2&amp;"_x",G$1,$B$1)</f>
        <v>10.8</v>
      </c>
      <c r="H59" s="49">
        <f>_xll.xlqAAII($C$3,$A59&amp;H$2&amp;"_x",H$1,$B$1)</f>
        <v>5.8</v>
      </c>
      <c r="I59" s="49">
        <f>_xll.xlqAAII($C$3,$A59&amp;I$2&amp;"_x",I$1,$B$1)</f>
        <v>5.3</v>
      </c>
      <c r="J59" s="49">
        <f>_xll.xlqAAII($C$3,$A59&amp;J$2&amp;"_x",J$1,$B$1)</f>
        <v>5.6</v>
      </c>
      <c r="K59" s="50"/>
      <c r="L59" s="49"/>
    </row>
    <row r="60" spans="1:12" s="1" customFormat="1" x14ac:dyDescent="0.25">
      <c r="A60" s="1" t="s">
        <v>179</v>
      </c>
      <c r="B60" s="1" t="str">
        <f>_xll.xlqAAIIDescrip($A60&amp;B$2&amp;"_x")</f>
        <v>Current Assets</v>
      </c>
      <c r="C60" s="51">
        <f>_xll.xlqAAII($C$3,$A60&amp;C$2&amp;"_x",C$1,$B$1)</f>
        <v>146</v>
      </c>
      <c r="D60" s="51">
        <f>_xll.xlqAAII($C$3,$A60&amp;D$2&amp;"_x",D$1,$B$1)</f>
        <v>132.19999999999999</v>
      </c>
      <c r="E60" s="51">
        <f>_xll.xlqAAII($C$3,$A60&amp;E$2&amp;"_x",E$1,$B$1)</f>
        <v>139.9</v>
      </c>
      <c r="F60" s="51">
        <f>_xll.xlqAAII($C$3,$A60&amp;F$2&amp;"_x",F$1,$B$1)</f>
        <v>129.6</v>
      </c>
      <c r="G60" s="51">
        <f>_xll.xlqAAII($C$3,$A60&amp;G$2&amp;"_x",G$1,$B$1)</f>
        <v>125.2</v>
      </c>
      <c r="H60" s="51">
        <f>_xll.xlqAAII($C$3,$A60&amp;H$2&amp;"_x",H$1,$B$1)</f>
        <v>100</v>
      </c>
      <c r="I60" s="51">
        <f>_xll.xlqAAII($C$3,$A60&amp;I$2&amp;"_x",I$1,$B$1)</f>
        <v>91.1</v>
      </c>
      <c r="J60" s="51">
        <f>_xll.xlqAAII($C$3,$A60&amp;J$2&amp;"_x",J$1,$B$1)</f>
        <v>83.8</v>
      </c>
      <c r="K60" s="52"/>
      <c r="L60" s="51"/>
    </row>
    <row r="61" spans="1:12" x14ac:dyDescent="0.25">
      <c r="C61" s="47"/>
      <c r="D61" s="47"/>
      <c r="E61" s="47"/>
      <c r="F61" s="47"/>
      <c r="G61" s="47"/>
      <c r="H61" s="47"/>
      <c r="I61" s="47"/>
      <c r="J61" s="47"/>
      <c r="K61" s="48"/>
      <c r="L61" s="47"/>
    </row>
    <row r="62" spans="1:12" x14ac:dyDescent="0.25">
      <c r="A62" s="2" t="s">
        <v>180</v>
      </c>
      <c r="B62" s="1" t="str">
        <f>_xll.xlqAAIIDescrip($A62&amp;B$2&amp;"_x")</f>
        <v>Net Fixed Assets (PP&amp;E)</v>
      </c>
      <c r="C62" s="47">
        <f>_xll.xlqAAII($C$3,$A62&amp;C$2&amp;"_x",C$1,$B$1)</f>
        <v>99.9</v>
      </c>
      <c r="D62" s="47">
        <f>_xll.xlqAAII($C$3,$A62&amp;D$2&amp;"_x",D$1,$B$1)</f>
        <v>95.1</v>
      </c>
      <c r="E62" s="47">
        <f>_xll.xlqAAII($C$3,$A62&amp;E$2&amp;"_x",E$1,$B$1)</f>
        <v>79.8</v>
      </c>
      <c r="F62" s="47">
        <f>_xll.xlqAAII($C$3,$A62&amp;F$2&amp;"_x",F$1,$B$1)</f>
        <v>70.5</v>
      </c>
      <c r="G62" s="47">
        <f>_xll.xlqAAII($C$3,$A62&amp;G$2&amp;"_x",G$1,$B$1)</f>
        <v>61</v>
      </c>
      <c r="H62" s="47">
        <f>_xll.xlqAAII($C$3,$A62&amp;H$2&amp;"_x",H$1,$B$1)</f>
        <v>59.9</v>
      </c>
      <c r="I62" s="47">
        <f>_xll.xlqAAII($C$3,$A62&amp;I$2&amp;"_x",I$1,$B$1)</f>
        <v>59.6</v>
      </c>
      <c r="J62" s="47">
        <f>_xll.xlqAAII($C$3,$A62&amp;J$2&amp;"_x",J$1,$B$1)</f>
        <v>58.1</v>
      </c>
      <c r="K62" s="48"/>
      <c r="L62" s="47"/>
    </row>
    <row r="63" spans="1:12" x14ac:dyDescent="0.25">
      <c r="A63" s="2" t="s">
        <v>181</v>
      </c>
      <c r="B63" s="1" t="str">
        <f>_xll.xlqAAIIDescrip($A63&amp;B$2&amp;"_x")</f>
        <v>Long-Term Investments</v>
      </c>
      <c r="C63" s="47">
        <f>_xll.xlqAAII($C$3,$A63&amp;C$2&amp;"_x",C$1,$B$1)</f>
        <v>0</v>
      </c>
      <c r="D63" s="47">
        <f>_xll.xlqAAII($C$3,$A63&amp;D$2&amp;"_x",D$1,$B$1)</f>
        <v>0</v>
      </c>
      <c r="E63" s="47">
        <f>_xll.xlqAAII($C$3,$A63&amp;E$2&amp;"_x",E$1,$B$1)</f>
        <v>0</v>
      </c>
      <c r="F63" s="47">
        <f>_xll.xlqAAII($C$3,$A63&amp;F$2&amp;"_x",F$1,$B$1)</f>
        <v>0</v>
      </c>
      <c r="G63" s="47">
        <f>_xll.xlqAAII($C$3,$A63&amp;G$2&amp;"_x",G$1,$B$1)</f>
        <v>0</v>
      </c>
      <c r="H63" s="47">
        <f>_xll.xlqAAII($C$3,$A63&amp;H$2&amp;"_x",H$1,$B$1)</f>
        <v>0</v>
      </c>
      <c r="I63" s="47">
        <f>_xll.xlqAAII($C$3,$A63&amp;I$2&amp;"_x",I$1,$B$1)</f>
        <v>0</v>
      </c>
      <c r="J63" s="47">
        <f>_xll.xlqAAII($C$3,$A63&amp;J$2&amp;"_x",J$1,$B$1)</f>
        <v>0</v>
      </c>
      <c r="K63" s="48"/>
      <c r="L63" s="47"/>
    </row>
    <row r="64" spans="1:12" x14ac:dyDescent="0.25">
      <c r="A64" s="2" t="s">
        <v>182</v>
      </c>
      <c r="B64" s="1" t="str">
        <f>_xll.xlqAAIIDescrip($A64&amp;B$2&amp;"_x")</f>
        <v>Goodwill And Intangibles</v>
      </c>
      <c r="C64" s="47">
        <f>_xll.xlqAAII($C$3,$A64&amp;C$2&amp;"_x",C$1,$B$1)</f>
        <v>7.9</v>
      </c>
      <c r="D64" s="47">
        <f>_xll.xlqAAII($C$3,$A64&amp;D$2&amp;"_x",D$1,$B$1)</f>
        <v>8.6</v>
      </c>
      <c r="E64" s="47">
        <f>_xll.xlqAAII($C$3,$A64&amp;E$2&amp;"_x",E$1,$B$1)</f>
        <v>9.5</v>
      </c>
      <c r="F64" s="47">
        <f>_xll.xlqAAII($C$3,$A64&amp;F$2&amp;"_x",F$1,$B$1)</f>
        <v>10.5</v>
      </c>
      <c r="G64" s="47">
        <f>_xll.xlqAAII($C$3,$A64&amp;G$2&amp;"_x",G$1,$B$1)</f>
        <v>12.1</v>
      </c>
      <c r="H64" s="47">
        <f>_xll.xlqAAII($C$3,$A64&amp;H$2&amp;"_x",H$1,$B$1)</f>
        <v>12.9</v>
      </c>
      <c r="I64" s="47">
        <f>_xll.xlqAAII($C$3,$A64&amp;I$2&amp;"_x",I$1,$B$1)</f>
        <v>14</v>
      </c>
      <c r="J64" s="47">
        <f>_xll.xlqAAII($C$3,$A64&amp;J$2&amp;"_x",J$1,$B$1)</f>
        <v>31.8</v>
      </c>
      <c r="K64" s="48"/>
      <c r="L64" s="47"/>
    </row>
    <row r="65" spans="1:12" s="36" customFormat="1" x14ac:dyDescent="0.25">
      <c r="A65" s="36" t="s">
        <v>183</v>
      </c>
      <c r="B65" s="37" t="str">
        <f>_xll.xlqAAIIDescrip($A65&amp;B$2&amp;"_x")</f>
        <v>Other Long-Term Assets</v>
      </c>
      <c r="C65" s="49">
        <f>_xll.xlqAAII($C$3,$A65&amp;C$2&amp;"_x",C$1,$B$1)</f>
        <v>12.3</v>
      </c>
      <c r="D65" s="49">
        <f>_xll.xlqAAII($C$3,$A65&amp;D$2&amp;"_x",D$1,$B$1)</f>
        <v>4.5</v>
      </c>
      <c r="E65" s="49">
        <f>_xll.xlqAAII($C$3,$A65&amp;E$2&amp;"_x",E$1,$B$1)</f>
        <v>0.3</v>
      </c>
      <c r="F65" s="49">
        <f>_xll.xlqAAII($C$3,$A65&amp;F$2&amp;"_x",F$1,$B$1)</f>
        <v>0.2</v>
      </c>
      <c r="G65" s="49">
        <f>_xll.xlqAAII($C$3,$A65&amp;G$2&amp;"_x",G$1,$B$1)</f>
        <v>0.2</v>
      </c>
      <c r="H65" s="49">
        <f>_xll.xlqAAII($C$3,$A65&amp;H$2&amp;"_x",H$1,$B$1)</f>
        <v>0.4</v>
      </c>
      <c r="I65" s="49">
        <f>_xll.xlqAAII($C$3,$A65&amp;I$2&amp;"_x",I$1,$B$1)</f>
        <v>0.2</v>
      </c>
      <c r="J65" s="49">
        <f>_xll.xlqAAII($C$3,$A65&amp;J$2&amp;"_x",J$1,$B$1)</f>
        <v>0.1</v>
      </c>
      <c r="K65" s="50"/>
      <c r="L65" s="49"/>
    </row>
    <row r="66" spans="1:12" s="1" customFormat="1" x14ac:dyDescent="0.25">
      <c r="A66" s="1" t="s">
        <v>184</v>
      </c>
      <c r="B66" s="1" t="str">
        <f>_xll.xlqAAIIDescrip($A66&amp;B$2&amp;"_x")</f>
        <v>Total Assets</v>
      </c>
      <c r="C66" s="51">
        <f>_xll.xlqAAII($C$3,$A66&amp;C$2&amp;"_x",C$1,$B$1)</f>
        <v>266.10000000000002</v>
      </c>
      <c r="D66" s="51">
        <f>_xll.xlqAAII($C$3,$A66&amp;D$2&amp;"_x",D$1,$B$1)</f>
        <v>240.4</v>
      </c>
      <c r="E66" s="51">
        <f>_xll.xlqAAII($C$3,$A66&amp;E$2&amp;"_x",E$1,$B$1)</f>
        <v>229.5</v>
      </c>
      <c r="F66" s="51">
        <f>_xll.xlqAAII($C$3,$A66&amp;F$2&amp;"_x",F$1,$B$1)</f>
        <v>210.8</v>
      </c>
      <c r="G66" s="51">
        <f>_xll.xlqAAII($C$3,$A66&amp;G$2&amp;"_x",G$1,$B$1)</f>
        <v>198.4</v>
      </c>
      <c r="H66" s="51">
        <f>_xll.xlqAAII($C$3,$A66&amp;H$2&amp;"_x",H$1,$B$1)</f>
        <v>173.1</v>
      </c>
      <c r="I66" s="51">
        <f>_xll.xlqAAII($C$3,$A66&amp;I$2&amp;"_x",I$1,$B$1)</f>
        <v>164.9</v>
      </c>
      <c r="J66" s="51">
        <f>_xll.xlqAAII($C$3,$A66&amp;J$2&amp;"_x",J$1,$B$1)</f>
        <v>173.9</v>
      </c>
      <c r="K66" s="52"/>
      <c r="L66" s="51"/>
    </row>
    <row r="67" spans="1:12" x14ac:dyDescent="0.25">
      <c r="C67" s="47"/>
      <c r="D67" s="47"/>
      <c r="E67" s="47"/>
      <c r="F67" s="47"/>
      <c r="G67" s="47"/>
      <c r="H67" s="47"/>
      <c r="I67" s="47"/>
      <c r="J67" s="47"/>
      <c r="K67" s="48"/>
      <c r="L67" s="47"/>
    </row>
    <row r="68" spans="1:12" x14ac:dyDescent="0.25">
      <c r="B68" s="1" t="s">
        <v>141</v>
      </c>
      <c r="C68" s="47"/>
      <c r="D68" s="47"/>
      <c r="E68" s="47"/>
      <c r="F68" s="47"/>
      <c r="G68" s="47"/>
      <c r="H68" s="47"/>
      <c r="I68" s="47"/>
      <c r="J68" s="47"/>
      <c r="K68" s="48"/>
      <c r="L68" s="47"/>
    </row>
    <row r="69" spans="1:12" x14ac:dyDescent="0.25">
      <c r="A69" s="2" t="s">
        <v>185</v>
      </c>
      <c r="B69" s="1" t="str">
        <f>_xll.xlqAAIIDescrip($A69&amp;B$2&amp;"_x")</f>
        <v>Accounts Payable</v>
      </c>
      <c r="C69" s="47">
        <f>_xll.xlqAAII($C$3,$A69&amp;C$2&amp;"_x",C$1,$B$1)</f>
        <v>29.7</v>
      </c>
      <c r="D69" s="47">
        <f>_xll.xlqAAII($C$3,$A69&amp;D$2&amp;"_x",D$1,$B$1)</f>
        <v>24.2</v>
      </c>
      <c r="E69" s="47">
        <f>_xll.xlqAAII($C$3,$A69&amp;E$2&amp;"_x",E$1,$B$1)</f>
        <v>25.1</v>
      </c>
      <c r="F69" s="47">
        <f>_xll.xlqAAII($C$3,$A69&amp;F$2&amp;"_x",F$1,$B$1)</f>
        <v>27.8</v>
      </c>
      <c r="G69" s="47">
        <f>_xll.xlqAAII($C$3,$A69&amp;G$2&amp;"_x",G$1,$B$1)</f>
        <v>22.9</v>
      </c>
      <c r="H69" s="47">
        <f>_xll.xlqAAII($C$3,$A69&amp;H$2&amp;"_x",H$1,$B$1)</f>
        <v>19.8</v>
      </c>
      <c r="I69" s="47">
        <f>_xll.xlqAAII($C$3,$A69&amp;I$2&amp;"_x",I$1,$B$1)</f>
        <v>15.8</v>
      </c>
      <c r="J69" s="47">
        <f>_xll.xlqAAII($C$3,$A69&amp;J$2&amp;"_x",J$1,$B$1)</f>
        <v>15.3</v>
      </c>
      <c r="K69" s="48"/>
      <c r="L69" s="47"/>
    </row>
    <row r="70" spans="1:12" x14ac:dyDescent="0.25">
      <c r="A70" s="2" t="s">
        <v>186</v>
      </c>
      <c r="B70" s="1" t="str">
        <f>_xll.xlqAAIIDescrip($A70&amp;B$2&amp;"_x")</f>
        <v>Short-Term Debt</v>
      </c>
      <c r="C70" s="47">
        <f>_xll.xlqAAII($C$3,$A70&amp;C$2&amp;"_x",C$1,$B$1)</f>
        <v>3.1</v>
      </c>
      <c r="D70" s="47">
        <f>_xll.xlqAAII($C$3,$A70&amp;D$2&amp;"_x",D$1,$B$1)</f>
        <v>3.1</v>
      </c>
      <c r="E70" s="47" t="str">
        <f>_xll.xlqAAII($C$3,$A70&amp;E$2&amp;"_x",E$1,$B$1)</f>
        <v>NA</v>
      </c>
      <c r="F70" s="47" t="str">
        <f>_xll.xlqAAII($C$3,$A70&amp;F$2&amp;"_x",F$1,$B$1)</f>
        <v>NA</v>
      </c>
      <c r="G70" s="47" t="str">
        <f>_xll.xlqAAII($C$3,$A70&amp;G$2&amp;"_x",G$1,$B$1)</f>
        <v>NA</v>
      </c>
      <c r="H70" s="47" t="str">
        <f>_xll.xlqAAII($C$3,$A70&amp;H$2&amp;"_x",H$1,$B$1)</f>
        <v>NA</v>
      </c>
      <c r="I70" s="47" t="str">
        <f>_xll.xlqAAII($C$3,$A70&amp;I$2&amp;"_x",I$1,$B$1)</f>
        <v>NA</v>
      </c>
      <c r="J70" s="47" t="str">
        <f>_xll.xlqAAII($C$3,$A70&amp;J$2&amp;"_x",J$1,$B$1)</f>
        <v>NA</v>
      </c>
      <c r="K70" s="48"/>
      <c r="L70" s="47"/>
    </row>
    <row r="71" spans="1:12" s="36" customFormat="1" x14ac:dyDescent="0.25">
      <c r="A71" s="36" t="s">
        <v>187</v>
      </c>
      <c r="B71" s="37" t="str">
        <f>_xll.xlqAAIIDescrip($A71&amp;B$2&amp;"_x")</f>
        <v>Other Current Liabilities</v>
      </c>
      <c r="C71" s="49">
        <f>_xll.xlqAAII($C$3,$A71&amp;C$2&amp;"_x",C$1,$B$1)</f>
        <v>34.1</v>
      </c>
      <c r="D71" s="49">
        <f>_xll.xlqAAII($C$3,$A71&amp;D$2&amp;"_x",D$1,$B$1)</f>
        <v>37.200000000000003</v>
      </c>
      <c r="E71" s="49">
        <f>_xll.xlqAAII($C$3,$A71&amp;E$2&amp;"_x",E$1,$B$1)</f>
        <v>40.1</v>
      </c>
      <c r="F71" s="49">
        <f>_xll.xlqAAII($C$3,$A71&amp;F$2&amp;"_x",F$1,$B$1)</f>
        <v>30.6</v>
      </c>
      <c r="G71" s="49">
        <f>_xll.xlqAAII($C$3,$A71&amp;G$2&amp;"_x",G$1,$B$1)</f>
        <v>31.5</v>
      </c>
      <c r="H71" s="49">
        <f>_xll.xlqAAII($C$3,$A71&amp;H$2&amp;"_x",H$1,$B$1)</f>
        <v>25.8</v>
      </c>
      <c r="I71" s="49">
        <f>_xll.xlqAAII($C$3,$A71&amp;I$2&amp;"_x",I$1,$B$1)</f>
        <v>17.2</v>
      </c>
      <c r="J71" s="49">
        <f>_xll.xlqAAII($C$3,$A71&amp;J$2&amp;"_x",J$1,$B$1)</f>
        <v>13.7</v>
      </c>
      <c r="K71" s="50"/>
      <c r="L71" s="49"/>
    </row>
    <row r="72" spans="1:12" s="1" customFormat="1" x14ac:dyDescent="0.25">
      <c r="A72" s="1" t="s">
        <v>188</v>
      </c>
      <c r="B72" s="1" t="str">
        <f>_xll.xlqAAIIDescrip($A72&amp;B$2&amp;"_x")</f>
        <v>Current Liabilities</v>
      </c>
      <c r="C72" s="51">
        <f>_xll.xlqAAII($C$3,$A72&amp;C$2&amp;"_x",C$1,$B$1)</f>
        <v>66.900000000000006</v>
      </c>
      <c r="D72" s="51">
        <f>_xll.xlqAAII($C$3,$A72&amp;D$2&amp;"_x",D$1,$B$1)</f>
        <v>64.599999999999994</v>
      </c>
      <c r="E72" s="51">
        <f>_xll.xlqAAII($C$3,$A72&amp;E$2&amp;"_x",E$1,$B$1)</f>
        <v>65.099999999999994</v>
      </c>
      <c r="F72" s="51">
        <f>_xll.xlqAAII($C$3,$A72&amp;F$2&amp;"_x",F$1,$B$1)</f>
        <v>58.4</v>
      </c>
      <c r="G72" s="51">
        <f>_xll.xlqAAII($C$3,$A72&amp;G$2&amp;"_x",G$1,$B$1)</f>
        <v>54.4</v>
      </c>
      <c r="H72" s="51">
        <f>_xll.xlqAAII($C$3,$A72&amp;H$2&amp;"_x",H$1,$B$1)</f>
        <v>45.6</v>
      </c>
      <c r="I72" s="51">
        <f>_xll.xlqAAII($C$3,$A72&amp;I$2&amp;"_x",I$1,$B$1)</f>
        <v>33</v>
      </c>
      <c r="J72" s="51">
        <f>_xll.xlqAAII($C$3,$A72&amp;J$2&amp;"_x",J$1,$B$1)</f>
        <v>29</v>
      </c>
      <c r="K72" s="52"/>
      <c r="L72" s="51"/>
    </row>
    <row r="73" spans="1:12" x14ac:dyDescent="0.25">
      <c r="C73" s="47"/>
      <c r="D73" s="47"/>
      <c r="E73" s="47"/>
      <c r="F73" s="47"/>
      <c r="G73" s="47"/>
      <c r="H73" s="47"/>
      <c r="I73" s="47"/>
      <c r="J73" s="47"/>
      <c r="K73" s="48"/>
      <c r="L73" s="47"/>
    </row>
    <row r="74" spans="1:12" x14ac:dyDescent="0.25">
      <c r="A74" s="2" t="s">
        <v>189</v>
      </c>
      <c r="B74" s="1" t="str">
        <f>_xll.xlqAAIIDescrip($A74&amp;B$2&amp;"_x")</f>
        <v>Long-Term Debt</v>
      </c>
      <c r="C74" s="47">
        <f>_xll.xlqAAII($C$3,$A74&amp;C$2&amp;"_x",C$1,$B$1)</f>
        <v>40.200000000000003</v>
      </c>
      <c r="D74" s="47">
        <f>_xll.xlqAAII($C$3,$A74&amp;D$2&amp;"_x",D$1,$B$1)</f>
        <v>38.200000000000003</v>
      </c>
      <c r="E74" s="47">
        <f>_xll.xlqAAII($C$3,$A74&amp;E$2&amp;"_x",E$1,$B$1)</f>
        <v>41.5</v>
      </c>
      <c r="F74" s="47">
        <f>_xll.xlqAAII($C$3,$A74&amp;F$2&amp;"_x",F$1,$B$1)</f>
        <v>34.6</v>
      </c>
      <c r="G74" s="47">
        <f>_xll.xlqAAII($C$3,$A74&amp;G$2&amp;"_x",G$1,$B$1)</f>
        <v>29.4</v>
      </c>
      <c r="H74" s="47">
        <f>_xll.xlqAAII($C$3,$A74&amp;H$2&amp;"_x",H$1,$B$1)</f>
        <v>18</v>
      </c>
      <c r="I74" s="47">
        <f>_xll.xlqAAII($C$3,$A74&amp;I$2&amp;"_x",I$1,$B$1)</f>
        <v>22</v>
      </c>
      <c r="J74" s="47">
        <f>_xll.xlqAAII($C$3,$A74&amp;J$2&amp;"_x",J$1,$B$1)</f>
        <v>23.9</v>
      </c>
      <c r="K74" s="48"/>
      <c r="L74" s="47"/>
    </row>
    <row r="75" spans="1:12" s="36" customFormat="1" x14ac:dyDescent="0.25">
      <c r="A75" s="36" t="s">
        <v>190</v>
      </c>
      <c r="B75" s="37" t="str">
        <f>_xll.xlqAAIIDescrip($A75&amp;B$2&amp;"_x")</f>
        <v>Other Long-Term Liabilities</v>
      </c>
      <c r="C75" s="49">
        <f>_xll.xlqAAII($C$3,$A75&amp;C$2&amp;"_x",C$1,$B$1)</f>
        <v>10</v>
      </c>
      <c r="D75" s="49">
        <f>_xll.xlqAAII($C$3,$A75&amp;D$2&amp;"_x",D$1,$B$1)</f>
        <v>3.3</v>
      </c>
      <c r="E75" s="49">
        <f>_xll.xlqAAII($C$3,$A75&amp;E$2&amp;"_x",E$1,$B$1)</f>
        <v>3.5</v>
      </c>
      <c r="F75" s="49">
        <f>_xll.xlqAAII($C$3,$A75&amp;F$2&amp;"_x",F$1,$B$1)</f>
        <v>3.6</v>
      </c>
      <c r="G75" s="49">
        <f>_xll.xlqAAII($C$3,$A75&amp;G$2&amp;"_x",G$1,$B$1)</f>
        <v>3.3</v>
      </c>
      <c r="H75" s="49">
        <f>_xll.xlqAAII($C$3,$A75&amp;H$2&amp;"_x",H$1,$B$1)</f>
        <v>3.7</v>
      </c>
      <c r="I75" s="49">
        <f>_xll.xlqAAII($C$3,$A75&amp;I$2&amp;"_x",I$1,$B$1)</f>
        <v>3.6</v>
      </c>
      <c r="J75" s="49">
        <f>_xll.xlqAAII($C$3,$A75&amp;J$2&amp;"_x",J$1,$B$1)</f>
        <v>3.9</v>
      </c>
      <c r="K75" s="50"/>
      <c r="L75" s="49"/>
    </row>
    <row r="76" spans="1:12" s="1" customFormat="1" x14ac:dyDescent="0.25">
      <c r="A76" s="1" t="s">
        <v>191</v>
      </c>
      <c r="B76" s="1" t="str">
        <f>_xll.xlqAAIIDescrip($A76&amp;B$2&amp;"_x")</f>
        <v>Total Liabilities</v>
      </c>
      <c r="C76" s="51">
        <f>_xll.xlqAAII($C$3,$A76&amp;C$2&amp;"_x",C$1,$B$1)</f>
        <v>117.2</v>
      </c>
      <c r="D76" s="51">
        <f>_xll.xlqAAII($C$3,$A76&amp;D$2&amp;"_x",D$1,$B$1)</f>
        <v>106.1</v>
      </c>
      <c r="E76" s="51">
        <f>_xll.xlqAAII($C$3,$A76&amp;E$2&amp;"_x",E$1,$B$1)</f>
        <v>110.1</v>
      </c>
      <c r="F76" s="51">
        <f>_xll.xlqAAII($C$3,$A76&amp;F$2&amp;"_x",F$1,$B$1)</f>
        <v>96.6</v>
      </c>
      <c r="G76" s="51">
        <f>_xll.xlqAAII($C$3,$A76&amp;G$2&amp;"_x",G$1,$B$1)</f>
        <v>87.1</v>
      </c>
      <c r="H76" s="51">
        <f>_xll.xlqAAII($C$3,$A76&amp;H$2&amp;"_x",H$1,$B$1)</f>
        <v>67.3</v>
      </c>
      <c r="I76" s="51">
        <f>_xll.xlqAAII($C$3,$A76&amp;I$2&amp;"_x",I$1,$B$1)</f>
        <v>58.6</v>
      </c>
      <c r="J76" s="51">
        <f>_xll.xlqAAII($C$3,$A76&amp;J$2&amp;"_x",J$1,$B$1)</f>
        <v>56.9</v>
      </c>
      <c r="K76" s="52"/>
      <c r="L76" s="51"/>
    </row>
    <row r="77" spans="1:12" s="1" customFormat="1" x14ac:dyDescent="0.25">
      <c r="C77" s="51"/>
      <c r="D77" s="51"/>
      <c r="E77" s="51"/>
      <c r="F77" s="51"/>
      <c r="G77" s="51"/>
      <c r="H77" s="51"/>
      <c r="I77" s="51"/>
      <c r="J77" s="51"/>
      <c r="K77" s="52"/>
      <c r="L77" s="51"/>
    </row>
    <row r="78" spans="1:12" x14ac:dyDescent="0.25">
      <c r="A78" s="2" t="s">
        <v>192</v>
      </c>
      <c r="B78" s="1" t="str">
        <f>_xll.xlqAAIIDescrip($A78&amp;B$2&amp;"_x")</f>
        <v>Preferred Stock</v>
      </c>
      <c r="C78" s="47">
        <f>_xll.xlqAAII($C$3,$A78&amp;C$2&amp;"_x",C$1,$B$1)</f>
        <v>0</v>
      </c>
      <c r="D78" s="47">
        <f>_xll.xlqAAII($C$3,$A78&amp;D$2&amp;"_x",D$1,$B$1)</f>
        <v>0</v>
      </c>
      <c r="E78" s="47">
        <f>_xll.xlqAAII($C$3,$A78&amp;E$2&amp;"_x",E$1,$B$1)</f>
        <v>0</v>
      </c>
      <c r="F78" s="47">
        <f>_xll.xlqAAII($C$3,$A78&amp;F$2&amp;"_x",F$1,$B$1)</f>
        <v>0</v>
      </c>
      <c r="G78" s="47">
        <f>_xll.xlqAAII($C$3,$A78&amp;G$2&amp;"_x",G$1,$B$1)</f>
        <v>0</v>
      </c>
      <c r="H78" s="47">
        <f>_xll.xlqAAII($C$3,$A78&amp;H$2&amp;"_x",H$1,$B$1)</f>
        <v>0</v>
      </c>
      <c r="I78" s="47">
        <f>_xll.xlqAAII($C$3,$A78&amp;I$2&amp;"_x",I$1,$B$1)</f>
        <v>0</v>
      </c>
      <c r="J78" s="47">
        <f>_xll.xlqAAII($C$3,$A78&amp;J$2&amp;"_x",J$1,$B$1)</f>
        <v>0</v>
      </c>
      <c r="K78" s="48"/>
      <c r="L78" s="47"/>
    </row>
    <row r="79" spans="1:12" s="36" customFormat="1" x14ac:dyDescent="0.25">
      <c r="A79" s="36" t="s">
        <v>193</v>
      </c>
      <c r="B79" s="37" t="str">
        <f>_xll.xlqAAIIDescrip($A79&amp;B$2&amp;"_x")</f>
        <v>Equity (Common)</v>
      </c>
      <c r="C79" s="49">
        <f>_xll.xlqAAII($C$3,$A79&amp;C$2&amp;"_x",C$1,$B$1)</f>
        <v>148.9</v>
      </c>
      <c r="D79" s="49">
        <f>_xll.xlqAAII($C$3,$A79&amp;D$2&amp;"_x",D$1,$B$1)</f>
        <v>134.30000000000001</v>
      </c>
      <c r="E79" s="49">
        <f>_xll.xlqAAII($C$3,$A79&amp;E$2&amp;"_x",E$1,$B$1)</f>
        <v>119.4</v>
      </c>
      <c r="F79" s="49">
        <f>_xll.xlqAAII($C$3,$A79&amp;F$2&amp;"_x",F$1,$B$1)</f>
        <v>114.2</v>
      </c>
      <c r="G79" s="49">
        <f>_xll.xlqAAII($C$3,$A79&amp;G$2&amp;"_x",G$1,$B$1)</f>
        <v>111.4</v>
      </c>
      <c r="H79" s="49">
        <f>_xll.xlqAAII($C$3,$A79&amp;H$2&amp;"_x",H$1,$B$1)</f>
        <v>105.8</v>
      </c>
      <c r="I79" s="49">
        <f>_xll.xlqAAII($C$3,$A79&amp;I$2&amp;"_x",I$1,$B$1)</f>
        <v>106.3</v>
      </c>
      <c r="J79" s="49">
        <f>_xll.xlqAAII($C$3,$A79&amp;J$2&amp;"_x",J$1,$B$1)</f>
        <v>117</v>
      </c>
      <c r="K79" s="50"/>
      <c r="L79" s="49"/>
    </row>
    <row r="80" spans="1:12" s="1" customFormat="1" x14ac:dyDescent="0.25">
      <c r="A80" s="1" t="s">
        <v>194</v>
      </c>
      <c r="B80" s="1" t="str">
        <f>_xll.xlqAAIIDescrip($A80&amp;B$2&amp;"_x")</f>
        <v>Liabilities And Equity</v>
      </c>
      <c r="C80" s="51">
        <f>_xll.xlqAAII($C$3,$A80&amp;C$2&amp;"_x",C$1,$B$1)</f>
        <v>266.10000000000002</v>
      </c>
      <c r="D80" s="51">
        <f>_xll.xlqAAII($C$3,$A80&amp;D$2&amp;"_x",D$1,$B$1)</f>
        <v>240.4</v>
      </c>
      <c r="E80" s="51">
        <f>_xll.xlqAAII($C$3,$A80&amp;E$2&amp;"_x",E$1,$B$1)</f>
        <v>229.5</v>
      </c>
      <c r="F80" s="51">
        <f>_xll.xlqAAII($C$3,$A80&amp;F$2&amp;"_x",F$1,$B$1)</f>
        <v>210.8</v>
      </c>
      <c r="G80" s="51">
        <f>_xll.xlqAAII($C$3,$A80&amp;G$2&amp;"_x",G$1,$B$1)</f>
        <v>198.4</v>
      </c>
      <c r="H80" s="51">
        <f>_xll.xlqAAII($C$3,$A80&amp;H$2&amp;"_x",H$1,$B$1)</f>
        <v>173.1</v>
      </c>
      <c r="I80" s="51">
        <f>_xll.xlqAAII($C$3,$A80&amp;I$2&amp;"_x",I$1,$B$1)</f>
        <v>164.9</v>
      </c>
      <c r="J80" s="51">
        <f>_xll.xlqAAII($C$3,$A80&amp;J$2&amp;"_x",J$1,$B$1)</f>
        <v>173.9</v>
      </c>
      <c r="K80" s="52"/>
      <c r="L80" s="51"/>
    </row>
    <row r="81" spans="1:12" x14ac:dyDescent="0.25">
      <c r="C81" s="25"/>
      <c r="D81" s="25"/>
      <c r="E81" s="25"/>
      <c r="F81" s="25"/>
      <c r="G81" s="25"/>
      <c r="H81" s="25"/>
      <c r="I81" s="25"/>
      <c r="J81" s="25"/>
      <c r="L81" s="25"/>
    </row>
    <row r="82" spans="1:12" x14ac:dyDescent="0.25">
      <c r="A82" s="2" t="s">
        <v>195</v>
      </c>
      <c r="B82" s="1" t="str">
        <f>_xll.xlqAAIIDescrip($A82&amp;B$2&amp;"_x")</f>
        <v>Book Value/Share</v>
      </c>
      <c r="C82" s="25">
        <f>_xll.xlqAAII($C$3,$A82&amp;C$2&amp;"_x",C$1,$B$1)</f>
        <v>10.199999999999999</v>
      </c>
      <c r="D82" s="25">
        <f>_xll.xlqAAII($C$3,$A82&amp;D$2&amp;"_x",D$1,$B$1)</f>
        <v>9.2200000000000006</v>
      </c>
      <c r="E82" s="25">
        <f>_xll.xlqAAII($C$3,$A82&amp;E$2&amp;"_x",E$1,$B$1)</f>
        <v>8.19</v>
      </c>
      <c r="F82" s="25">
        <f>_xll.xlqAAII($C$3,$A82&amp;F$2&amp;"_x",F$1,$B$1)</f>
        <v>7.85</v>
      </c>
      <c r="G82" s="25">
        <f>_xll.xlqAAII($C$3,$A82&amp;G$2&amp;"_x",G$1,$B$1)</f>
        <v>7.67</v>
      </c>
      <c r="H82" s="25">
        <f>_xll.xlqAAII($C$3,$A82&amp;H$2&amp;"_x",H$1,$B$1)</f>
        <v>7.35</v>
      </c>
      <c r="I82" s="25">
        <f>_xll.xlqAAII($C$3,$A82&amp;I$2&amp;"_x",I$1,$B$1)</f>
        <v>7.4</v>
      </c>
      <c r="J82" s="25">
        <f>_xll.xlqAAII($C$3,$A82&amp;J$2&amp;"_x",J$1,$B$1)</f>
        <v>8.15</v>
      </c>
      <c r="L82" s="25"/>
    </row>
  </sheetData>
  <pageMargins left="0.75" right="0.75" top="1" bottom="1" header="0.5" footer="0.5"/>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pane xSplit="1" ySplit="5" topLeftCell="B6" activePane="bottomRight" state="frozen"/>
      <selection pane="topRight" activeCell="B1" sqref="B1"/>
      <selection pane="bottomLeft" activeCell="A6" sqref="A6"/>
      <selection pane="bottomRight" activeCell="C7" sqref="C7"/>
    </sheetView>
  </sheetViews>
  <sheetFormatPr defaultRowHeight="15" x14ac:dyDescent="0.25"/>
  <cols>
    <col min="1" max="1" width="27.42578125" style="2" bestFit="1" customWidth="1"/>
    <col min="2" max="2" width="30.7109375" style="1" bestFit="1" customWidth="1"/>
    <col min="3" max="12" width="12" style="2" customWidth="1"/>
    <col min="13" max="16384" width="9.140625" style="2"/>
  </cols>
  <sheetData>
    <row r="1" spans="1:12" x14ac:dyDescent="0.25">
      <c r="A1" s="2" t="s">
        <v>613</v>
      </c>
      <c r="B1" s="1">
        <v>0</v>
      </c>
      <c r="C1" s="2" t="s">
        <v>1075</v>
      </c>
      <c r="D1" s="2">
        <v>1</v>
      </c>
      <c r="E1" s="2">
        <v>2</v>
      </c>
      <c r="F1" s="2">
        <v>3</v>
      </c>
      <c r="G1" s="2">
        <v>4</v>
      </c>
      <c r="H1" s="2">
        <v>5</v>
      </c>
      <c r="I1" s="2">
        <v>6</v>
      </c>
      <c r="J1" s="2">
        <v>7</v>
      </c>
    </row>
    <row r="2" spans="1:12" s="1" customFormat="1" x14ac:dyDescent="0.25">
      <c r="B2" s="1" t="s">
        <v>1052</v>
      </c>
      <c r="C2" s="1" t="s">
        <v>499</v>
      </c>
      <c r="D2" s="1" t="s">
        <v>1052</v>
      </c>
      <c r="E2" s="1" t="s">
        <v>1052</v>
      </c>
      <c r="F2" s="1" t="s">
        <v>1052</v>
      </c>
      <c r="G2" s="1" t="s">
        <v>1052</v>
      </c>
      <c r="H2" s="1" t="s">
        <v>1052</v>
      </c>
      <c r="I2" s="1" t="s">
        <v>1052</v>
      </c>
      <c r="J2" s="1" t="s">
        <v>1052</v>
      </c>
      <c r="K2" s="1" t="s">
        <v>119</v>
      </c>
      <c r="L2" s="1" t="s">
        <v>118</v>
      </c>
    </row>
    <row r="3" spans="1:12" s="1" customFormat="1" x14ac:dyDescent="0.25">
      <c r="B3" s="1" t="s">
        <v>542</v>
      </c>
      <c r="C3" s="17" t="s">
        <v>543</v>
      </c>
      <c r="E3" s="2" t="str">
        <f>_xll.xlqAAII($C$3,"name",,$B$1)</f>
        <v>Microsoft Corporation</v>
      </c>
    </row>
    <row r="4" spans="1:12" s="1" customFormat="1" x14ac:dyDescent="0.25">
      <c r="C4" s="17"/>
    </row>
    <row r="5" spans="1:12" s="33" customFormat="1" ht="15.75" thickBot="1" x14ac:dyDescent="0.3">
      <c r="A5" s="33" t="s">
        <v>145</v>
      </c>
      <c r="C5" s="33" t="s">
        <v>198</v>
      </c>
      <c r="D5" s="34">
        <f>_xll.xlqAAII($C$3,$A5&amp;D$2,D$1,$B$1)</f>
        <v>43281</v>
      </c>
      <c r="E5" s="34">
        <f>_xll.xlqAAII($C$3,$A5&amp;E$2,E$1,$B$1)</f>
        <v>42916</v>
      </c>
      <c r="F5" s="34">
        <f>_xll.xlqAAII($C$3,$A5&amp;F$2,F$1,$B$1)</f>
        <v>42551</v>
      </c>
      <c r="G5" s="34">
        <f>_xll.xlqAAII($C$3,$A5&amp;G$2,G$1,$B$1)</f>
        <v>42185</v>
      </c>
      <c r="H5" s="34">
        <f>_xll.xlqAAII($C$3,$A5&amp;H$2,H$1,$B$1)</f>
        <v>41820</v>
      </c>
      <c r="I5" s="34">
        <f>_xll.xlqAAII($C$3,$A5&amp;I$2,I$1,$B$1)</f>
        <v>41455</v>
      </c>
      <c r="J5" s="34">
        <f>_xll.xlqAAII($C$3,$A5&amp;J$2,J$1,$B$1)</f>
        <v>41090</v>
      </c>
      <c r="K5" s="34" t="s">
        <v>1053</v>
      </c>
      <c r="L5" s="34" t="s">
        <v>1071</v>
      </c>
    </row>
    <row r="6" spans="1:12" x14ac:dyDescent="0.25">
      <c r="B6" s="44" t="s">
        <v>1050</v>
      </c>
    </row>
    <row r="7" spans="1:12" x14ac:dyDescent="0.25">
      <c r="A7" s="14" t="s">
        <v>1051</v>
      </c>
      <c r="B7" s="44" t="str">
        <f>_xll.xlqAAIIDescrip($A7&amp;B$2)</f>
        <v>Gross Margin</v>
      </c>
      <c r="C7" s="2">
        <f>_xll.xlqAAII($C$3, $A7&amp;C$2,,$B$1)</f>
        <v>65.400000000000006</v>
      </c>
      <c r="D7" s="2">
        <f>_xll.xlqAAII($C$3, $A7&amp;D$2,D$1,$B$1)</f>
        <v>65.2</v>
      </c>
      <c r="E7" s="2">
        <f>_xll.xlqAAII($C$3, $A7&amp;E$2,E$1,$B$1)</f>
        <v>64.5</v>
      </c>
      <c r="F7" s="2">
        <f>_xll.xlqAAII($C$3, $A7&amp;F$2,F$1,$B$1)</f>
        <v>64</v>
      </c>
      <c r="G7" s="2">
        <f>_xll.xlqAAII($C$3, $A7&amp;G$2,G$1,$B$1)</f>
        <v>64.7</v>
      </c>
      <c r="H7" s="2">
        <f>_xll.xlqAAII($C$3, $A7&amp;H$2,H$1,$B$1)</f>
        <v>68.8</v>
      </c>
      <c r="I7" s="2">
        <f>_xll.xlqAAII($C$3, $A7&amp;I$2,I$1,$B$1)</f>
        <v>73.8</v>
      </c>
      <c r="J7" s="2">
        <f>_xll.xlqAAII($C$3, $A7&amp;J$2,J$1,$B$1)</f>
        <v>76.2</v>
      </c>
      <c r="K7" s="2">
        <f>_xll.xlqAAII($C$3, $A7&amp;K$2,K$1,$B$1)</f>
        <v>65.5</v>
      </c>
    </row>
    <row r="8" spans="1:12" x14ac:dyDescent="0.25">
      <c r="A8" s="14" t="s">
        <v>1054</v>
      </c>
      <c r="B8" s="44" t="str">
        <f>_xll.xlqAAIIDescrip($A8&amp;B$2)</f>
        <v>Operating Margin</v>
      </c>
      <c r="C8" s="2">
        <f>_xll.xlqAAII($C$3, $A8&amp;C$2,,$B$1)</f>
        <v>33.5</v>
      </c>
      <c r="D8" s="2">
        <f>_xll.xlqAAII($C$3, $A8&amp;D$2,D$1,$B$1)</f>
        <v>31.7</v>
      </c>
      <c r="E8" s="2">
        <f>_xll.xlqAAII($C$3, $A8&amp;E$2,E$1,$B$1)</f>
        <v>30</v>
      </c>
      <c r="F8" s="2">
        <f>_xll.xlqAAII($C$3, $A8&amp;F$2,F$1,$B$1)</f>
        <v>28.3</v>
      </c>
      <c r="G8" s="2">
        <f>_xll.xlqAAII($C$3, $A8&amp;G$2,G$1,$B$1)</f>
        <v>19.2</v>
      </c>
      <c r="H8" s="2">
        <f>_xll.xlqAAII($C$3, $A8&amp;H$2,H$1,$B$1)</f>
        <v>31.8</v>
      </c>
      <c r="I8" s="2">
        <f>_xll.xlqAAII($C$3, $A8&amp;I$2,I$1,$B$1)</f>
        <v>34.1</v>
      </c>
      <c r="J8" s="2">
        <f>_xll.xlqAAII($C$3, $A8&amp;J$2,J$1,$B$1)</f>
        <v>29.5</v>
      </c>
      <c r="K8" s="2">
        <f>_xll.xlqAAII($C$3, $A8&amp;K$2,K$1,$B$1)</f>
        <v>28.2</v>
      </c>
      <c r="L8" s="2">
        <f>_xll.xlqAAII($C$3, $A8&amp;L$2,L$1,$B$1)</f>
        <v>30</v>
      </c>
    </row>
    <row r="9" spans="1:12" x14ac:dyDescent="0.25">
      <c r="A9" s="14" t="s">
        <v>1057</v>
      </c>
      <c r="B9" s="44" t="str">
        <f>_xll.xlqAAIIDescrip($A9&amp;B$2)</f>
        <v>Net Margin</v>
      </c>
      <c r="C9" s="2">
        <f>_xll.xlqAAII($C$3, $A9&amp;C$2,,$B$1)</f>
        <v>28.6</v>
      </c>
      <c r="D9" s="2">
        <f>_xll.xlqAAII($C$3, $A9&amp;D$2,D$1,$B$1)</f>
        <v>15</v>
      </c>
      <c r="E9" s="2">
        <f>_xll.xlqAAII($C$3, $A9&amp;E$2,E$1,$B$1)</f>
        <v>26.4</v>
      </c>
      <c r="F9" s="2">
        <f>_xll.xlqAAII($C$3, $A9&amp;F$2,F$1,$B$1)</f>
        <v>22.5</v>
      </c>
      <c r="G9" s="2">
        <f>_xll.xlqAAII($C$3, $A9&amp;G$2,G$1,$B$1)</f>
        <v>13</v>
      </c>
      <c r="H9" s="2">
        <f>_xll.xlqAAII($C$3, $A9&amp;H$2,H$1,$B$1)</f>
        <v>25.4</v>
      </c>
      <c r="I9" s="2">
        <f>_xll.xlqAAII($C$3, $A9&amp;I$2,I$1,$B$1)</f>
        <v>28.1</v>
      </c>
      <c r="J9" s="2">
        <f>_xll.xlqAAII($C$3, $A9&amp;J$2,J$1,$B$1)</f>
        <v>23</v>
      </c>
    </row>
    <row r="10" spans="1:12" x14ac:dyDescent="0.25">
      <c r="A10" s="14" t="s">
        <v>1059</v>
      </c>
      <c r="B10" s="44" t="str">
        <f>_xll.xlqAAIIDescrip($A10&amp;B$2)</f>
        <v>Return on Assets</v>
      </c>
      <c r="C10" s="2">
        <f>_xll.xlqAAII($C$3, $A10&amp;C$2,,$B$1)</f>
        <v>13.5</v>
      </c>
      <c r="D10" s="2">
        <f>_xll.xlqAAII($C$3, $A10&amp;D$2,D$1,$B$1)</f>
        <v>6.5</v>
      </c>
      <c r="E10" s="2">
        <f>_xll.xlqAAII($C$3, $A10&amp;E$2,E$1,$B$1)</f>
        <v>11.5</v>
      </c>
      <c r="F10" s="2">
        <f>_xll.xlqAAII($C$3, $A10&amp;F$2,F$1,$B$1)</f>
        <v>11.2</v>
      </c>
      <c r="G10" s="2">
        <f>_xll.xlqAAII($C$3, $A10&amp;G$2,G$1,$B$1)</f>
        <v>7</v>
      </c>
      <c r="H10" s="2">
        <f>_xll.xlqAAII($C$3, $A10&amp;H$2,H$1,$B$1)</f>
        <v>14</v>
      </c>
      <c r="I10" s="2">
        <f>_xll.xlqAAII($C$3, $A10&amp;I$2,I$1,$B$1)</f>
        <v>16.600000000000001</v>
      </c>
      <c r="J10" s="2">
        <f>_xll.xlqAAII($C$3, $A10&amp;J$2,J$1,$B$1)</f>
        <v>14.8</v>
      </c>
    </row>
    <row r="11" spans="1:12" x14ac:dyDescent="0.25">
      <c r="A11" s="14" t="s">
        <v>1060</v>
      </c>
      <c r="B11" s="44" t="str">
        <f>_xll.xlqAAIIDescrip($A11&amp;B$2)</f>
        <v>Return on Equity</v>
      </c>
      <c r="C11" s="2">
        <f>_xll.xlqAAII($C$3, $A11&amp;C$2,,$B$1)</f>
        <v>39.299999999999997</v>
      </c>
      <c r="D11" s="2">
        <f>_xll.xlqAAII($C$3, $A11&amp;D$2,D$1,$B$1)</f>
        <v>19.399999999999999</v>
      </c>
      <c r="E11" s="2">
        <f>_xll.xlqAAII($C$3, $A11&amp;E$2,E$1,$B$1)</f>
        <v>31.9</v>
      </c>
      <c r="F11" s="2">
        <f>_xll.xlqAAII($C$3, $A11&amp;F$2,F$1,$B$1)</f>
        <v>27</v>
      </c>
      <c r="G11" s="2">
        <f>_xll.xlqAAII($C$3, $A11&amp;G$2,G$1,$B$1)</f>
        <v>14.4</v>
      </c>
      <c r="H11" s="2">
        <f>_xll.xlqAAII($C$3, $A11&amp;H$2,H$1,$B$1)</f>
        <v>26.2</v>
      </c>
      <c r="I11" s="2">
        <f>_xll.xlqAAII($C$3, $A11&amp;I$2,I$1,$B$1)</f>
        <v>30.1</v>
      </c>
      <c r="J11" s="2">
        <f>_xll.xlqAAII($C$3, $A11&amp;J$2,J$1,$B$1)</f>
        <v>27.5</v>
      </c>
      <c r="K11" s="2">
        <f>_xll.xlqAAII($C$3, $A11&amp;K$2,K$1,$B$1)</f>
        <v>23.8</v>
      </c>
    </row>
    <row r="12" spans="1:12" x14ac:dyDescent="0.25">
      <c r="A12" s="14"/>
      <c r="B12" s="44"/>
    </row>
    <row r="13" spans="1:12" x14ac:dyDescent="0.25">
      <c r="B13" s="44" t="s">
        <v>1061</v>
      </c>
    </row>
    <row r="14" spans="1:12" x14ac:dyDescent="0.25">
      <c r="A14" s="14" t="s">
        <v>1062</v>
      </c>
      <c r="B14" s="44" t="str">
        <f>_xll.xlqAAIIDescrip($A14&amp;B$2)</f>
        <v>Quick Ratio</v>
      </c>
      <c r="C14" s="2">
        <f>_xll.xlqAAII($C$3, $A14&amp;C$1,,$B$1)</f>
        <v>2.9</v>
      </c>
      <c r="D14" s="2">
        <f>_xll.xlqAAII($C$3, $A14&amp;D$2,D$1,$B$1)</f>
        <v>2.9</v>
      </c>
      <c r="E14" s="2">
        <f>_xll.xlqAAII($C$3, $A14&amp;E$2,E$1,$B$1)</f>
        <v>2.9</v>
      </c>
      <c r="F14" s="2">
        <f>_xll.xlqAAII($C$3, $A14&amp;F$2,F$1,$B$1)</f>
        <v>2.2999999999999998</v>
      </c>
      <c r="G14" s="2">
        <f>_xll.xlqAAII($C$3, $A14&amp;G$2,G$1,$B$1)</f>
        <v>2.4</v>
      </c>
      <c r="H14" s="2">
        <f>_xll.xlqAAII($C$3, $A14&amp;H$2,H$1,$B$1)</f>
        <v>2.4</v>
      </c>
      <c r="I14" s="2">
        <f>_xll.xlqAAII($C$3, $A14&amp;I$2,I$1,$B$1)</f>
        <v>2.7</v>
      </c>
      <c r="J14" s="2">
        <f>_xll.xlqAAII($C$3, $A14&amp;J$2,J$1,$B$1)</f>
        <v>2.6</v>
      </c>
    </row>
    <row r="15" spans="1:12" x14ac:dyDescent="0.25">
      <c r="A15" s="14" t="s">
        <v>1063</v>
      </c>
      <c r="B15" s="44" t="str">
        <f>_xll.xlqAAIIDescrip($A15&amp;B$2)</f>
        <v>Current Ratio</v>
      </c>
      <c r="C15" s="2">
        <f>_xll.xlqAAII($C$3, $A15&amp;C$1,,$B$1)</f>
        <v>3</v>
      </c>
      <c r="D15" s="2">
        <f>_xll.xlqAAII($C$3, $A15&amp;D$2,D$1,$B$1)</f>
        <v>2.9</v>
      </c>
      <c r="E15" s="2">
        <f>_xll.xlqAAII($C$3, $A15&amp;E$2,E$1,$B$1)</f>
        <v>2.9</v>
      </c>
      <c r="F15" s="2">
        <f>_xll.xlqAAII($C$3, $A15&amp;F$2,F$1,$B$1)</f>
        <v>2.4</v>
      </c>
      <c r="G15" s="2">
        <f>_xll.xlqAAII($C$3, $A15&amp;G$2,G$1,$B$1)</f>
        <v>2.5</v>
      </c>
      <c r="H15" s="2">
        <f>_xll.xlqAAII($C$3, $A15&amp;H$2,H$1,$B$1)</f>
        <v>2.5</v>
      </c>
      <c r="I15" s="2">
        <f>_xll.xlqAAII($C$3, $A15&amp;I$2,I$1,$B$1)</f>
        <v>2.7</v>
      </c>
      <c r="J15" s="2">
        <f>_xll.xlqAAII($C$3, $A15&amp;J$2,J$1,$B$1)</f>
        <v>2.6</v>
      </c>
    </row>
    <row r="16" spans="1:12" x14ac:dyDescent="0.25">
      <c r="A16" s="14" t="s">
        <v>1058</v>
      </c>
      <c r="B16" s="44" t="str">
        <f>_xll.xlqAAIIDescrip($A16&amp;B$2)</f>
        <v>Payout Ratio</v>
      </c>
      <c r="C16" s="2">
        <f>_xll.xlqAAII($C$3, $A16&amp;C$2,,$B$1)</f>
        <v>38.700000000000003</v>
      </c>
      <c r="D16" s="2">
        <f>_xll.xlqAAII($C$3, $A16&amp;D$2,D$1,$B$1)</f>
        <v>76.7</v>
      </c>
      <c r="E16" s="2">
        <f>_xll.xlqAAII($C$3, $A16&amp;E$2,E$1,$B$1)</f>
        <v>46.5</v>
      </c>
      <c r="F16" s="2">
        <f>_xll.xlqAAII($C$3, $A16&amp;F$2,F$1,$B$1)</f>
        <v>53.6</v>
      </c>
      <c r="G16" s="2">
        <f>_xll.xlqAAII($C$3, $A16&amp;G$2,G$1,$B$1)</f>
        <v>81.099999999999994</v>
      </c>
      <c r="H16" s="2">
        <f>_xll.xlqAAII($C$3, $A16&amp;H$2,H$1,$B$1)</f>
        <v>40.200000000000003</v>
      </c>
      <c r="I16" s="2">
        <f>_xll.xlqAAII($C$3, $A16&amp;I$2,I$1,$B$1)</f>
        <v>34.1</v>
      </c>
      <c r="J16" s="2">
        <f>_xll.xlqAAII($C$3, $A16&amp;J$2,J$1,$B$1)</f>
        <v>39.6</v>
      </c>
    </row>
    <row r="17" spans="1:10" x14ac:dyDescent="0.25">
      <c r="A17" s="14" t="s">
        <v>1055</v>
      </c>
      <c r="B17" s="44" t="str">
        <f>_xll.xlqAAIIDescrip($A17&amp;B$2)</f>
        <v>Times Interest Earned</v>
      </c>
      <c r="C17" s="2">
        <f>_xll.xlqAAII($C$3, $A17&amp;C$2,,$B$1)</f>
        <v>16.5</v>
      </c>
      <c r="D17" s="2">
        <f>_xll.xlqAAII($C$3, $A17&amp;D$2,D$1,$B$1)</f>
        <v>14.3</v>
      </c>
      <c r="E17" s="2">
        <f>_xll.xlqAAII($C$3, $A17&amp;E$2,E$1,$B$1)</f>
        <v>7.7</v>
      </c>
      <c r="F17" s="2">
        <f>_xll.xlqAAII($C$3, $A17&amp;F$2,F$1,$B$1)</f>
        <v>11.3</v>
      </c>
      <c r="G17" s="2">
        <f>_xll.xlqAAII($C$3, $A17&amp;G$2,G$1,$B$1)</f>
        <v>24.7</v>
      </c>
      <c r="H17" s="2">
        <f>_xll.xlqAAII($C$3, $A17&amp;H$2,H$1,$B$1)</f>
        <v>47.6</v>
      </c>
      <c r="I17" s="2">
        <f>_xll.xlqAAII($C$3, $A17&amp;I$2,I$1,$B$1)</f>
        <v>64.099999999999994</v>
      </c>
      <c r="J17" s="2">
        <f>_xll.xlqAAII($C$3, $A17&amp;J$2,J$1,$B$1)</f>
        <v>59.6</v>
      </c>
    </row>
    <row r="18" spans="1:10" x14ac:dyDescent="0.25">
      <c r="A18" s="14"/>
      <c r="B18" s="44"/>
    </row>
    <row r="19" spans="1:10" x14ac:dyDescent="0.25">
      <c r="B19" s="44" t="s">
        <v>1067</v>
      </c>
    </row>
    <row r="20" spans="1:10" x14ac:dyDescent="0.25">
      <c r="A20" s="14" t="s">
        <v>1064</v>
      </c>
      <c r="B20" s="44" t="str">
        <f>_xll.xlqAAIIDescrip($A20&amp;B$2)</f>
        <v>Total Liabilities/Assets</v>
      </c>
      <c r="C20" s="2">
        <f>_xll.xlqAAII($C$3, $A20&amp;C$1,,$B$1)</f>
        <v>64</v>
      </c>
      <c r="D20" s="2">
        <f>_xll.xlqAAII($C$3, $A20&amp;D$2,D$1,$B$1)</f>
        <v>68</v>
      </c>
      <c r="E20" s="2">
        <f>_xll.xlqAAII($C$3, $A20&amp;E$2,E$1,$B$1)</f>
        <v>65</v>
      </c>
      <c r="F20" s="2">
        <f>_xll.xlqAAII($C$3, $A20&amp;F$2,F$1,$B$1)</f>
        <v>62.8</v>
      </c>
      <c r="G20" s="2">
        <f>_xll.xlqAAII($C$3, $A20&amp;G$2,G$1,$B$1)</f>
        <v>54.1</v>
      </c>
      <c r="H20" s="2">
        <f>_xll.xlqAAII($C$3, $A20&amp;H$2,H$1,$B$1)</f>
        <v>47.9</v>
      </c>
      <c r="I20" s="2">
        <f>_xll.xlqAAII($C$3, $A20&amp;I$2,I$1,$B$1)</f>
        <v>44.6</v>
      </c>
      <c r="J20" s="2">
        <f>_xll.xlqAAII($C$3, $A20&amp;J$2,J$1,$B$1)</f>
        <v>45.3</v>
      </c>
    </row>
    <row r="21" spans="1:10" x14ac:dyDescent="0.25">
      <c r="A21" s="14" t="s">
        <v>1065</v>
      </c>
      <c r="B21" s="44" t="str">
        <f>_xll.xlqAAIIDescrip($A21&amp;B$2)</f>
        <v>LT Debt/Total Capital</v>
      </c>
      <c r="C21" s="2">
        <f>_xll.xlqAAII($C$3, $A21&amp;C$1,,$B$1)</f>
        <v>43.2</v>
      </c>
      <c r="D21" s="2">
        <f>_xll.xlqAAII($C$3, $A21&amp;D$2,D$1,$B$1)</f>
        <v>48</v>
      </c>
      <c r="E21" s="2">
        <f>_xll.xlqAAII($C$3, $A21&amp;E$2,E$1,$B$1)</f>
        <v>47.2</v>
      </c>
      <c r="F21" s="2">
        <f>_xll.xlqAAII($C$3, $A21&amp;F$2,F$1,$B$1)</f>
        <v>36.5</v>
      </c>
      <c r="G21" s="2">
        <f>_xll.xlqAAII($C$3, $A21&amp;G$2,G$1,$B$1)</f>
        <v>25.8</v>
      </c>
      <c r="H21" s="2">
        <f>_xll.xlqAAII($C$3, $A21&amp;H$2,H$1,$B$1)</f>
        <v>18.7</v>
      </c>
      <c r="I21" s="2">
        <f>_xll.xlqAAII($C$3, $A21&amp;I$2,I$1,$B$1)</f>
        <v>13.8</v>
      </c>
      <c r="J21" s="2">
        <f>_xll.xlqAAII($C$3, $A21&amp;J$2,J$1,$B$1)</f>
        <v>13.9</v>
      </c>
    </row>
    <row r="22" spans="1:10" x14ac:dyDescent="0.25">
      <c r="A22" s="14" t="s">
        <v>1066</v>
      </c>
      <c r="B22" s="44" t="str">
        <f>_xll.xlqAAIIDescrip($A22&amp;B$2)</f>
        <v>LT Debt/Equity Year</v>
      </c>
      <c r="C22" s="2">
        <f>_xll.xlqAAII($C$3, $A22&amp;C$1,,$B$1)</f>
        <v>76</v>
      </c>
      <c r="D22" s="2">
        <f>_xll.xlqAAII($C$3, $A22&amp;D$2,D$1,$B$1)</f>
        <v>92.3</v>
      </c>
      <c r="E22" s="2">
        <f>_xll.xlqAAII($C$3, $A22&amp;E$2,E$1,$B$1)</f>
        <v>89.5</v>
      </c>
      <c r="F22" s="2">
        <f>_xll.xlqAAII($C$3, $A22&amp;F$2,F$1,$B$1)</f>
        <v>57.4</v>
      </c>
      <c r="G22" s="2">
        <f>_xll.xlqAAII($C$3, $A22&amp;G$2,G$1,$B$1)</f>
        <v>34.700000000000003</v>
      </c>
      <c r="H22" s="2">
        <f>_xll.xlqAAII($C$3, $A22&amp;H$2,H$1,$B$1)</f>
        <v>23</v>
      </c>
      <c r="I22" s="2">
        <f>_xll.xlqAAII($C$3, $A22&amp;I$2,I$1,$B$1)</f>
        <v>16</v>
      </c>
      <c r="J22" s="2">
        <f>_xll.xlqAAII($C$3, $A22&amp;J$2,J$1,$B$1)</f>
        <v>16.100000000000001</v>
      </c>
    </row>
    <row r="23" spans="1:10" x14ac:dyDescent="0.25">
      <c r="A23" s="14"/>
      <c r="B23" s="44"/>
    </row>
    <row r="24" spans="1:10" x14ac:dyDescent="0.25">
      <c r="B24" s="44" t="s">
        <v>1068</v>
      </c>
    </row>
    <row r="25" spans="1:10" x14ac:dyDescent="0.25">
      <c r="A25" s="14" t="s">
        <v>1056</v>
      </c>
      <c r="B25" s="44" t="str">
        <f>_xll.xlqAAIIDescrip($A25&amp;B$2)</f>
        <v>Receivables Turnover</v>
      </c>
      <c r="C25" s="2">
        <f>_xll.xlqAAII($C$3, $A25&amp;C$2,,$B$1)</f>
        <v>5.9</v>
      </c>
      <c r="D25" s="2">
        <f>_xll.xlqAAII($C$3, $A25&amp;D$2,D$1,$B$1)</f>
        <v>4.5</v>
      </c>
      <c r="E25" s="2">
        <f>_xll.xlqAAII($C$3, $A25&amp;E$2,E$1,$B$1)</f>
        <v>4.7</v>
      </c>
      <c r="F25" s="2">
        <f>_xll.xlqAAII($C$3, $A25&amp;F$2,F$1,$B$1)</f>
        <v>5</v>
      </c>
      <c r="G25" s="2">
        <f>_xll.xlqAAII($C$3, $A25&amp;G$2,G$1,$B$1)</f>
        <v>5</v>
      </c>
      <c r="H25" s="2">
        <f>_xll.xlqAAII($C$3, $A25&amp;H$2,H$1,$B$1)</f>
        <v>4.7</v>
      </c>
      <c r="I25" s="2">
        <f>_xll.xlqAAII($C$3, $A25&amp;I$2,I$1,$B$1)</f>
        <v>4.7</v>
      </c>
      <c r="J25" s="2">
        <f>_xll.xlqAAII($C$3, $A25&amp;J$2,J$1,$B$1)</f>
        <v>4.8</v>
      </c>
    </row>
    <row r="26" spans="1:10" x14ac:dyDescent="0.25">
      <c r="A26" s="14" t="s">
        <v>1069</v>
      </c>
      <c r="B26" s="44" t="str">
        <f>_xll.xlqAAIIDescrip($A26&amp;B$2)</f>
        <v>Inventory Turnover</v>
      </c>
      <c r="C26" s="2">
        <f>_xll.xlqAAII($C$3, $A26&amp;C$2,,$B$1)</f>
        <v>16.600000000000001</v>
      </c>
      <c r="D26" s="2">
        <f>_xll.xlqAAII($C$3, $A26&amp;D$2,D$1,$B$1)</f>
        <v>15.8</v>
      </c>
      <c r="E26" s="2">
        <f>_xll.xlqAAII($C$3, $A26&amp;E$2,E$1,$B$1)</f>
        <v>15.5</v>
      </c>
      <c r="F26" s="2">
        <f>_xll.xlqAAII($C$3, $A26&amp;F$2,F$1,$B$1)</f>
        <v>12.7</v>
      </c>
      <c r="G26" s="2">
        <f>_xll.xlqAAII($C$3, $A26&amp;G$2,G$1,$B$1)</f>
        <v>11.9</v>
      </c>
      <c r="H26" s="2">
        <f>_xll.xlqAAII($C$3, $A26&amp;H$2,H$1,$B$1)</f>
        <v>11.8</v>
      </c>
      <c r="I26" s="2">
        <f>_xll.xlqAAII($C$3, $A26&amp;I$2,I$1,$B$1)</f>
        <v>13.3</v>
      </c>
      <c r="J26" s="2">
        <f>_xll.xlqAAII($C$3, $A26&amp;J$2,J$1,$B$1)</f>
        <v>14</v>
      </c>
    </row>
    <row r="27" spans="1:10" x14ac:dyDescent="0.25">
      <c r="A27" s="14" t="s">
        <v>1070</v>
      </c>
      <c r="B27" s="44" t="str">
        <f>_xll.xlqAAIIDescrip($A27&amp;B$2)</f>
        <v>Asset Turnover</v>
      </c>
      <c r="C27" s="2">
        <f>_xll.xlqAAII($C$3, $A27&amp;C$2,,$B$1)</f>
        <v>0.5</v>
      </c>
      <c r="D27" s="2">
        <f>_xll.xlqAAII($C$3, $A27&amp;D$2,D$1,$B$1)</f>
        <v>0.4</v>
      </c>
      <c r="E27" s="2">
        <f>_xll.xlqAAII($C$3, $A27&amp;E$2,E$1,$B$1)</f>
        <v>0.4</v>
      </c>
      <c r="F27" s="2">
        <f>_xll.xlqAAII($C$3, $A27&amp;F$2,F$1,$B$1)</f>
        <v>0.5</v>
      </c>
      <c r="G27" s="2">
        <f>_xll.xlqAAII($C$3, $A27&amp;G$2,G$1,$B$1)</f>
        <v>0.5</v>
      </c>
      <c r="H27" s="2">
        <f>_xll.xlqAAII($C$3, $A27&amp;H$2,H$1,$B$1)</f>
        <v>0.6</v>
      </c>
      <c r="I27" s="2">
        <f>_xll.xlqAAII($C$3, $A27&amp;I$2,I$1,$B$1)</f>
        <v>0.6</v>
      </c>
      <c r="J27" s="2">
        <f>_xll.xlqAAII($C$3, $A27&amp;J$2,J$1,$B$1)</f>
        <v>0.6</v>
      </c>
    </row>
    <row r="28" spans="1:10" x14ac:dyDescent="0.25">
      <c r="A28" s="14"/>
      <c r="B28" s="44"/>
    </row>
    <row r="29" spans="1:10" x14ac:dyDescent="0.25">
      <c r="A29" s="14"/>
      <c r="B29" s="44"/>
    </row>
    <row r="30" spans="1:10" s="1" customFormat="1" x14ac:dyDescent="0.25">
      <c r="A30" s="44" t="s">
        <v>549</v>
      </c>
      <c r="B30" s="44" t="s">
        <v>549</v>
      </c>
      <c r="C30" s="1" t="str">
        <f>_xll.xlqAAII($C$3,$A30,,$B$1)</f>
        <v>Software</v>
      </c>
    </row>
    <row r="31" spans="1:10" x14ac:dyDescent="0.25">
      <c r="B31" s="44" t="s">
        <v>1050</v>
      </c>
    </row>
    <row r="32" spans="1:10" x14ac:dyDescent="0.25">
      <c r="A32" s="14" t="s">
        <v>1232</v>
      </c>
      <c r="B32" s="44" t="str">
        <f>_xll.xlqAAIIDescrip($A32&amp;B$2)</f>
        <v>Industry Sales</v>
      </c>
      <c r="C32" s="2">
        <f>_xll.xlqAAII($C$3, $A32&amp;C$2,,$B$1)</f>
        <v>241.6</v>
      </c>
      <c r="D32" s="2">
        <f>_xll.xlqAAII($C$3, $A32&amp;D$2,D$1,$B$1)</f>
        <v>227.8</v>
      </c>
      <c r="E32" s="2">
        <f>_xll.xlqAAII($C$3, $A32&amp;E$2,E$1,$B$1)</f>
        <v>124.4</v>
      </c>
      <c r="F32" s="2">
        <f>_xll.xlqAAII($C$3, $A32&amp;F$2,F$1,$B$1)</f>
        <v>101.3</v>
      </c>
      <c r="G32" s="2">
        <f>_xll.xlqAAII($C$3, $A32&amp;G$2,G$1,$B$1)</f>
        <v>83.6</v>
      </c>
      <c r="H32" s="2">
        <f>_xll.xlqAAII($C$3, $A32&amp;H$2,H$1,$B$1)</f>
        <v>62.6</v>
      </c>
      <c r="I32" s="2">
        <f>_xll.xlqAAII($C$3, $A32&amp;I$2,I$1,$B$1)</f>
        <v>58.9</v>
      </c>
      <c r="J32" s="2">
        <f>_xll.xlqAAII($C$3, $A32&amp;J$2,J$1,$B$1)</f>
        <v>53.4</v>
      </c>
    </row>
    <row r="33" spans="1:11" x14ac:dyDescent="0.25">
      <c r="A33" s="14" t="str">
        <f>"Industry"&amp;A7</f>
        <v>IndustryGrossMargin</v>
      </c>
      <c r="B33" s="44" t="str">
        <f>_xll.xlqAAIIDescrip($A33&amp;B$2)</f>
        <v>Industry Gross margin</v>
      </c>
      <c r="C33" s="2">
        <f>_xll.xlqAAII($C$3, $A33&amp;C$2,,$B$1)</f>
        <v>66.2</v>
      </c>
      <c r="D33" s="2">
        <f>_xll.xlqAAII($C$3, $A33&amp;D$2,D$1,$B$1)</f>
        <v>66.5</v>
      </c>
      <c r="E33" s="2">
        <f>_xll.xlqAAII($C$3, $A33&amp;E$2,E$1,$B$1)</f>
        <v>67.2</v>
      </c>
      <c r="F33" s="2">
        <f>_xll.xlqAAII($C$3, $A33&amp;F$2,F$1,$B$1)</f>
        <v>65.2</v>
      </c>
      <c r="G33" s="2">
        <f>_xll.xlqAAII($C$3, $A33&amp;G$2,G$1,$B$1)</f>
        <v>65.400000000000006</v>
      </c>
      <c r="H33" s="2">
        <f>_xll.xlqAAII($C$3, $A33&amp;H$2,H$1,$B$1)</f>
        <v>64.2</v>
      </c>
      <c r="I33" s="2">
        <f>_xll.xlqAAII($C$3, $A33&amp;I$2,I$1,$B$1)</f>
        <v>63.4</v>
      </c>
      <c r="J33" s="2">
        <f>_xll.xlqAAII($C$3, $A33&amp;J$2,J$1,$B$1)</f>
        <v>63.9</v>
      </c>
      <c r="K33" s="2">
        <f>_xll.xlqAAII($C$3, $A33&amp;K$2,K$1,$B$1)</f>
        <v>66</v>
      </c>
    </row>
    <row r="34" spans="1:11" x14ac:dyDescent="0.25">
      <c r="A34" s="14" t="str">
        <f>"Industry"&amp;A8</f>
        <v>IndustryOperatingMargin</v>
      </c>
      <c r="B34" s="44" t="str">
        <f>_xll.xlqAAIIDescrip($A34&amp;B$2)</f>
        <v>Industry Operating margin</v>
      </c>
      <c r="C34" s="2">
        <f>_xll.xlqAAII($C$3, $A34&amp;C$2,,$B$1)</f>
        <v>-4.7</v>
      </c>
      <c r="D34" s="2">
        <f>_xll.xlqAAII($C$3, $A34&amp;D$2,D$1,$B$1)</f>
        <v>-6.1</v>
      </c>
      <c r="E34" s="2">
        <f>_xll.xlqAAII($C$3, $A34&amp;E$2,E$1,$B$1)</f>
        <v>-9.1</v>
      </c>
      <c r="F34" s="2">
        <f>_xll.xlqAAII($C$3, $A34&amp;F$2,F$1,$B$1)</f>
        <v>-13</v>
      </c>
      <c r="G34" s="2">
        <f>_xll.xlqAAII($C$3, $A34&amp;G$2,G$1,$B$1)</f>
        <v>-14.7</v>
      </c>
      <c r="H34" s="2">
        <f>_xll.xlqAAII($C$3, $A34&amp;H$2,H$1,$B$1)</f>
        <v>-12.4</v>
      </c>
      <c r="I34" s="2">
        <f>_xll.xlqAAII($C$3, $A34&amp;I$2,I$1,$B$1)</f>
        <v>-1.1000000000000001</v>
      </c>
      <c r="J34" s="2">
        <f>_xll.xlqAAII($C$3, $A34&amp;J$2,J$1,$B$1)</f>
        <v>0.8</v>
      </c>
    </row>
    <row r="35" spans="1:11" x14ac:dyDescent="0.25">
      <c r="A35" s="14" t="str">
        <f>"Industry"&amp;A9</f>
        <v>IndustryNetMargin</v>
      </c>
      <c r="B35" s="44" t="str">
        <f>_xll.xlqAAIIDescrip($A35&amp;B$2)</f>
        <v>Industry Net margin</v>
      </c>
      <c r="C35" s="2">
        <f>_xll.xlqAAII($C$3, $A35&amp;C$2,,$B$1)</f>
        <v>-8.5</v>
      </c>
      <c r="D35" s="2">
        <f>_xll.xlqAAII($C$3, $A35&amp;D$2,D$1,$B$1)</f>
        <v>-9.3000000000000007</v>
      </c>
      <c r="E35" s="2">
        <f>_xll.xlqAAII($C$3, $A35&amp;E$2,E$1,$B$1)</f>
        <v>-11.4</v>
      </c>
      <c r="F35" s="2">
        <f>_xll.xlqAAII($C$3, $A35&amp;F$2,F$1,$B$1)</f>
        <v>-16</v>
      </c>
      <c r="G35" s="2">
        <f>_xll.xlqAAII($C$3, $A35&amp;G$2,G$1,$B$1)</f>
        <v>-16.600000000000001</v>
      </c>
      <c r="H35" s="2">
        <f>_xll.xlqAAII($C$3, $A35&amp;H$2,H$1,$B$1)</f>
        <v>-14.7</v>
      </c>
      <c r="I35" s="2">
        <f>_xll.xlqAAII($C$3, $A35&amp;I$2,I$1,$B$1)</f>
        <v>-5.4</v>
      </c>
      <c r="J35" s="2">
        <f>_xll.xlqAAII($C$3, $A35&amp;J$2,J$1,$B$1)</f>
        <v>-4.5999999999999996</v>
      </c>
    </row>
    <row r="36" spans="1:11" x14ac:dyDescent="0.25">
      <c r="A36" s="14" t="str">
        <f>"IndustryTotalAssets"</f>
        <v>IndustryTotalAssets</v>
      </c>
      <c r="B36" s="44" t="str">
        <f>_xll.xlqAAIIDescrip($A36&amp;B$2)</f>
        <v>Industry Total assets</v>
      </c>
      <c r="C36" s="2">
        <f>_xll.xlqAAII($C$3, $A36&amp;C$1,,$B$1)</f>
        <v>205.6</v>
      </c>
      <c r="D36" s="2">
        <f>_xll.xlqAAII($C$3, $A36&amp;D$2,D$1,$B$1)</f>
        <v>181.5</v>
      </c>
      <c r="E36" s="2">
        <f>_xll.xlqAAII($C$3, $A36&amp;E$2,E$1,$B$1)</f>
        <v>152.9</v>
      </c>
      <c r="F36" s="2">
        <f>_xll.xlqAAII($C$3, $A36&amp;F$2,F$1,$B$1)</f>
        <v>112.1</v>
      </c>
      <c r="G36" s="2">
        <f>_xll.xlqAAII($C$3, $A36&amp;G$2,G$1,$B$1)</f>
        <v>110.9</v>
      </c>
      <c r="H36" s="2">
        <f>_xll.xlqAAII($C$3, $A36&amp;H$2,H$1,$B$1)</f>
        <v>78.3</v>
      </c>
      <c r="I36" s="2">
        <f>_xll.xlqAAII($C$3, $A36&amp;I$2,I$1,$B$1)</f>
        <v>60.5</v>
      </c>
      <c r="J36" s="2">
        <f>_xll.xlqAAII($C$3, $A36&amp;J$2,J$1,$B$1)</f>
        <v>63</v>
      </c>
    </row>
    <row r="37" spans="1:11" x14ac:dyDescent="0.25">
      <c r="A37" s="14" t="str">
        <f>"Industry"&amp;A10</f>
        <v>IndustryReturnOnAssets</v>
      </c>
      <c r="B37" s="44" t="str">
        <f>_xll.xlqAAIIDescrip($A37&amp;B$2)</f>
        <v>Industry Return on assets</v>
      </c>
      <c r="C37" s="2">
        <f>_xll.xlqAAII($C$3, $A37&amp;C$2,,$B$1)</f>
        <v>-7.4</v>
      </c>
      <c r="D37" s="2">
        <f>_xll.xlqAAII($C$3, $A37&amp;D$2,D$1,$B$1)</f>
        <v>-8.3000000000000007</v>
      </c>
      <c r="E37" s="2">
        <f>_xll.xlqAAII($C$3, $A37&amp;E$2,E$1,$B$1)</f>
        <v>-9.4</v>
      </c>
      <c r="F37" s="2">
        <f>_xll.xlqAAII($C$3, $A37&amp;F$2,F$1,$B$1)</f>
        <v>-12.5</v>
      </c>
      <c r="G37" s="2">
        <f>_xll.xlqAAII($C$3, $A37&amp;G$2,G$1,$B$1)</f>
        <v>-10.8</v>
      </c>
      <c r="H37" s="2">
        <f>_xll.xlqAAII($C$3, $A37&amp;H$2,H$1,$B$1)</f>
        <v>-12.7</v>
      </c>
      <c r="I37" s="2">
        <f>_xll.xlqAAII($C$3, $A37&amp;I$2,I$1,$B$1)</f>
        <v>-4.5999999999999996</v>
      </c>
      <c r="J37" s="2">
        <f>_xll.xlqAAII($C$3, $A37&amp;J$2,J$1,$B$1)</f>
        <v>-6.8</v>
      </c>
    </row>
    <row r="38" spans="1:11" x14ac:dyDescent="0.25">
      <c r="A38" s="14" t="str">
        <f>"Industry"&amp;A11</f>
        <v>IndustryReturnOnEquity</v>
      </c>
      <c r="B38" s="44" t="str">
        <f>_xll.xlqAAIIDescrip($A38&amp;B$2)</f>
        <v>Industry Return on equity</v>
      </c>
      <c r="C38" s="2">
        <f>_xll.xlqAAII($C$3, $A38&amp;C$2,,$B$1)</f>
        <v>2.5</v>
      </c>
      <c r="D38" s="2">
        <f>_xll.xlqAAII($C$3, $A38&amp;D$2,D$1,$B$1)</f>
        <v>3.5</v>
      </c>
      <c r="E38" s="2">
        <f>_xll.xlqAAII($C$3, $A38&amp;E$2,E$1,$B$1)</f>
        <v>3.8</v>
      </c>
      <c r="F38" s="2">
        <f>_xll.xlqAAII($C$3, $A38&amp;F$2,F$1,$B$1)</f>
        <v>2</v>
      </c>
      <c r="G38" s="2">
        <f>_xll.xlqAAII($C$3, $A38&amp;G$2,G$1,$B$1)</f>
        <v>5</v>
      </c>
      <c r="H38" s="2">
        <f>_xll.xlqAAII($C$3, $A38&amp;H$2,H$1,$B$1)</f>
        <v>6.6</v>
      </c>
      <c r="I38" s="2">
        <f>_xll.xlqAAII($C$3, $A38&amp;I$2,I$1,$B$1)</f>
        <v>9.5</v>
      </c>
      <c r="J38" s="2">
        <f>_xll.xlqAAII($C$3, $A38&amp;J$2,J$1,$B$1)</f>
        <v>7.9</v>
      </c>
      <c r="K38" s="2">
        <f>_xll.xlqAAII($C$3, $A38&amp;K$2,K$1,$B$1)</f>
        <v>1</v>
      </c>
    </row>
    <row r="39" spans="1:11" x14ac:dyDescent="0.25">
      <c r="A39" s="14"/>
      <c r="B39" s="44"/>
    </row>
    <row r="40" spans="1:11" x14ac:dyDescent="0.25">
      <c r="B40" s="44" t="s">
        <v>1061</v>
      </c>
    </row>
    <row r="41" spans="1:11" x14ac:dyDescent="0.25">
      <c r="A41" s="14" t="str">
        <f>"Industry"&amp;A14</f>
        <v>IndustryQuickRatio</v>
      </c>
      <c r="B41" s="44" t="str">
        <f>_xll.xlqAAIIDescrip($A41&amp;B$2)</f>
        <v>Industry Quick ratio</v>
      </c>
      <c r="C41" s="2">
        <f>_xll.xlqAAII($C$3, $A41&amp;C$1,,$B$1)</f>
        <v>1.3</v>
      </c>
      <c r="D41" s="2">
        <f>_xll.xlqAAII($C$3, $A41&amp;D$2,D$1,$B$1)</f>
        <v>1.4</v>
      </c>
      <c r="E41" s="2">
        <f>_xll.xlqAAII($C$3, $A41&amp;E$2,E$1,$B$1)</f>
        <v>1.3</v>
      </c>
      <c r="F41" s="2">
        <f>_xll.xlqAAII($C$3, $A41&amp;F$2,F$1,$B$1)</f>
        <v>1.3</v>
      </c>
      <c r="G41" s="2">
        <f>_xll.xlqAAII($C$3, $A41&amp;G$2,G$1,$B$1)</f>
        <v>1.6</v>
      </c>
      <c r="H41" s="2">
        <f>_xll.xlqAAII($C$3, $A41&amp;H$2,H$1,$B$1)</f>
        <v>1.6</v>
      </c>
      <c r="I41" s="2">
        <f>_xll.xlqAAII($C$3, $A41&amp;I$2,I$1,$B$1)</f>
        <v>1.5</v>
      </c>
      <c r="J41" s="2">
        <f>_xll.xlqAAII($C$3, $A41&amp;J$2,J$1,$B$1)</f>
        <v>1.4</v>
      </c>
    </row>
    <row r="42" spans="1:11" x14ac:dyDescent="0.25">
      <c r="A42" s="14" t="str">
        <f>"Industry"&amp;A15</f>
        <v>IndustryCurrentRatio</v>
      </c>
      <c r="B42" s="44" t="str">
        <f>_xll.xlqAAIIDescrip($A42&amp;B$2)</f>
        <v>Industry Current ratio</v>
      </c>
      <c r="C42" s="2">
        <f>_xll.xlqAAII($C$3, $A42&amp;C$1,,$B$1)</f>
        <v>1.3</v>
      </c>
      <c r="D42" s="2">
        <f>_xll.xlqAAII($C$3, $A42&amp;D$2,D$1,$B$1)</f>
        <v>1.4</v>
      </c>
      <c r="E42" s="2">
        <f>_xll.xlqAAII($C$3, $A42&amp;E$2,E$1,$B$1)</f>
        <v>1.3</v>
      </c>
      <c r="F42" s="2">
        <f>_xll.xlqAAII($C$3, $A42&amp;F$2,F$1,$B$1)</f>
        <v>1.4</v>
      </c>
      <c r="G42" s="2">
        <f>_xll.xlqAAII($C$3, $A42&amp;G$2,G$1,$B$1)</f>
        <v>1.6</v>
      </c>
      <c r="H42" s="2">
        <f>_xll.xlqAAII($C$3, $A42&amp;H$2,H$1,$B$1)</f>
        <v>1.6</v>
      </c>
      <c r="I42" s="2">
        <f>_xll.xlqAAII($C$3, $A42&amp;I$2,I$1,$B$1)</f>
        <v>1.5</v>
      </c>
      <c r="J42" s="2">
        <f>_xll.xlqAAII($C$3, $A42&amp;J$2,J$1,$B$1)</f>
        <v>1.4</v>
      </c>
    </row>
    <row r="43" spans="1:11" x14ac:dyDescent="0.25">
      <c r="A43" s="14" t="str">
        <f>"Industry"&amp;A16</f>
        <v>IndustryPayoutRatio</v>
      </c>
      <c r="B43" s="44" t="str">
        <f>_xll.xlqAAIIDescrip($A43&amp;B$2)</f>
        <v>Industry Payout ratio</v>
      </c>
      <c r="C43" s="2">
        <f>_xll.xlqAAII($C$3, $A43&amp;C$2,,$B$1)</f>
        <v>0</v>
      </c>
      <c r="D43" s="2">
        <f>_xll.xlqAAII($C$3, $A43&amp;D$2,D$1,$B$1)</f>
        <v>0</v>
      </c>
      <c r="E43" s="2">
        <f>_xll.xlqAAII($C$3, $A43&amp;E$2,E$1,$B$1)</f>
        <v>0</v>
      </c>
      <c r="F43" s="2">
        <f>_xll.xlqAAII($C$3, $A43&amp;F$2,F$1,$B$1)</f>
        <v>0</v>
      </c>
      <c r="G43" s="2">
        <f>_xll.xlqAAII($C$3, $A43&amp;G$2,G$1,$B$1)</f>
        <v>0</v>
      </c>
      <c r="H43" s="2">
        <f>_xll.xlqAAII($C$3, $A43&amp;H$2,H$1,$B$1)</f>
        <v>0</v>
      </c>
      <c r="I43" s="2">
        <f>_xll.xlqAAII($C$3, $A43&amp;I$2,I$1,$B$1)</f>
        <v>0</v>
      </c>
      <c r="J43" s="2">
        <f>_xll.xlqAAII($C$3, $A43&amp;J$2,J$1,$B$1)</f>
        <v>0</v>
      </c>
    </row>
    <row r="44" spans="1:11" x14ac:dyDescent="0.25">
      <c r="A44" s="14" t="str">
        <f>"Industry"&amp;A17</f>
        <v>IndustryTimesInterestEarned</v>
      </c>
      <c r="B44" s="44" t="str">
        <f>_xll.xlqAAIIDescrip($A44&amp;B$2)</f>
        <v>Industry Times interest earned</v>
      </c>
      <c r="C44" s="2">
        <f>_xll.xlqAAII($C$3, $A44&amp;C$2,,$B$1)</f>
        <v>-0.7</v>
      </c>
      <c r="D44" s="2">
        <f>_xll.xlqAAII($C$3, $A44&amp;D$2,D$1,$B$1)</f>
        <v>-2.4</v>
      </c>
      <c r="E44" s="2">
        <f>_xll.xlqAAII($C$3, $A44&amp;E$2,E$1,$B$1)</f>
        <v>-3.8</v>
      </c>
      <c r="F44" s="2">
        <f>_xll.xlqAAII($C$3, $A44&amp;F$2,F$1,$B$1)</f>
        <v>-4.0999999999999996</v>
      </c>
      <c r="G44" s="2">
        <f>_xll.xlqAAII($C$3, $A44&amp;G$2,G$1,$B$1)</f>
        <v>-1.8</v>
      </c>
      <c r="H44" s="2">
        <f>_xll.xlqAAII($C$3, $A44&amp;H$2,H$1,$B$1)</f>
        <v>-2.8</v>
      </c>
      <c r="I44" s="2">
        <f>_xll.xlqAAII($C$3, $A44&amp;I$2,I$1,$B$1)</f>
        <v>-2.4</v>
      </c>
      <c r="J44" s="2">
        <f>_xll.xlqAAII($C$3, $A44&amp;J$2,J$1,$B$1)</f>
        <v>-2.2000000000000002</v>
      </c>
    </row>
    <row r="45" spans="1:11" x14ac:dyDescent="0.25">
      <c r="A45" s="14"/>
      <c r="B45" s="44"/>
    </row>
    <row r="46" spans="1:11" x14ac:dyDescent="0.25">
      <c r="B46" s="44" t="s">
        <v>1067</v>
      </c>
    </row>
    <row r="47" spans="1:11" x14ac:dyDescent="0.25">
      <c r="A47" s="14" t="str">
        <f>"Industry"&amp;A20</f>
        <v>IndustryTotalLiabilitiesAssets</v>
      </c>
      <c r="B47" s="44" t="str">
        <f>_xll.xlqAAIIDescrip($A47&amp;B$2)</f>
        <v>Industry Total liabilities/assets</v>
      </c>
      <c r="C47" s="2">
        <f>_xll.xlqAAII($C$3, $A47&amp;C$1,,$B$1)</f>
        <v>58.3</v>
      </c>
      <c r="D47" s="2">
        <f>_xll.xlqAAII($C$3, $A47&amp;D$2,D$1,$B$1)</f>
        <v>57.1</v>
      </c>
      <c r="E47" s="2">
        <f>_xll.xlqAAII($C$3, $A47&amp;E$2,E$1,$B$1)</f>
        <v>56.2</v>
      </c>
      <c r="F47" s="2">
        <f>_xll.xlqAAII($C$3, $A47&amp;F$2,F$1,$B$1)</f>
        <v>53.2</v>
      </c>
      <c r="G47" s="2">
        <f>_xll.xlqAAII($C$3, $A47&amp;G$2,G$1,$B$1)</f>
        <v>49.4</v>
      </c>
      <c r="H47" s="2">
        <f>_xll.xlqAAII($C$3, $A47&amp;H$2,H$1,$B$1)</f>
        <v>42.9</v>
      </c>
      <c r="I47" s="2">
        <f>_xll.xlqAAII($C$3, $A47&amp;I$2,I$1,$B$1)</f>
        <v>44.4</v>
      </c>
      <c r="J47" s="2">
        <f>_xll.xlqAAII($C$3, $A47&amp;J$2,J$1,$B$1)</f>
        <v>46.2</v>
      </c>
    </row>
    <row r="48" spans="1:11" x14ac:dyDescent="0.25">
      <c r="A48" s="14" t="str">
        <f>"Industry"&amp;A21</f>
        <v>IndustryLTDebtTotalCapital</v>
      </c>
      <c r="B48" s="44" t="str">
        <f>_xll.xlqAAIIDescrip($A48&amp;B$2)</f>
        <v>Industry LT debt/total capital</v>
      </c>
      <c r="C48" s="2">
        <f>_xll.xlqAAII($C$3, $A48&amp;C$1,,$B$1)</f>
        <v>6.7</v>
      </c>
      <c r="D48" s="2">
        <f>_xll.xlqAAII($C$3, $A48&amp;D$2,D$1,$B$1)</f>
        <v>6</v>
      </c>
      <c r="E48" s="2">
        <f>_xll.xlqAAII($C$3, $A48&amp;E$2,E$1,$B$1)</f>
        <v>1.1000000000000001</v>
      </c>
      <c r="F48" s="2">
        <f>_xll.xlqAAII($C$3, $A48&amp;F$2,F$1,$B$1)</f>
        <v>1.3</v>
      </c>
      <c r="G48" s="2">
        <f>_xll.xlqAAII($C$3, $A48&amp;G$2,G$1,$B$1)</f>
        <v>0</v>
      </c>
      <c r="H48" s="2">
        <f>_xll.xlqAAII($C$3, $A48&amp;H$2,H$1,$B$1)</f>
        <v>0</v>
      </c>
      <c r="I48" s="2">
        <f>_xll.xlqAAII($C$3, $A48&amp;I$2,I$1,$B$1)</f>
        <v>0</v>
      </c>
      <c r="J48" s="2">
        <f>_xll.xlqAAII($C$3, $A48&amp;J$2,J$1,$B$1)</f>
        <v>0</v>
      </c>
    </row>
    <row r="49" spans="1:11" x14ac:dyDescent="0.25">
      <c r="A49" s="14" t="str">
        <f>"Industry"&amp;A22</f>
        <v>IndustryLTDebtEquity</v>
      </c>
      <c r="B49" s="44" t="str">
        <f>_xll.xlqAAIIDescrip($A49&amp;B$2)</f>
        <v>Industry LT Debt/equity</v>
      </c>
      <c r="C49" s="2">
        <f>_xll.xlqAAII($C$3, $A49&amp;C$1,,$B$1)</f>
        <v>5.4</v>
      </c>
      <c r="D49" s="2">
        <f>_xll.xlqAAII($C$3, $A49&amp;D$2,D$1,$B$1)</f>
        <v>4.4000000000000004</v>
      </c>
      <c r="E49" s="2">
        <f>_xll.xlqAAII($C$3, $A49&amp;E$2,E$1,$B$1)</f>
        <v>0.7</v>
      </c>
      <c r="F49" s="2">
        <f>_xll.xlqAAII($C$3, $A49&amp;F$2,F$1,$B$1)</f>
        <v>0.3</v>
      </c>
      <c r="G49" s="2">
        <f>_xll.xlqAAII($C$3, $A49&amp;G$2,G$1,$B$1)</f>
        <v>0</v>
      </c>
      <c r="H49" s="2">
        <f>_xll.xlqAAII($C$3, $A49&amp;H$2,H$1,$B$1)</f>
        <v>0</v>
      </c>
      <c r="I49" s="2">
        <f>_xll.xlqAAII($C$3, $A49&amp;I$2,I$1,$B$1)</f>
        <v>0</v>
      </c>
      <c r="J49" s="2">
        <f>_xll.xlqAAII($C$3, $A49&amp;J$2,J$1,$B$1)</f>
        <v>0</v>
      </c>
    </row>
    <row r="50" spans="1:11" x14ac:dyDescent="0.25">
      <c r="A50" s="14"/>
      <c r="B50" s="44"/>
    </row>
    <row r="51" spans="1:11" x14ac:dyDescent="0.25">
      <c r="B51" s="44" t="s">
        <v>1068</v>
      </c>
    </row>
    <row r="52" spans="1:11" x14ac:dyDescent="0.25">
      <c r="A52" s="14" t="str">
        <f>"Industry"&amp;A25</f>
        <v>IndustryReceivablesTurnover</v>
      </c>
      <c r="B52" s="44" t="str">
        <f>_xll.xlqAAIIDescrip($A52&amp;B$2)</f>
        <v>Industry Receivables turnover</v>
      </c>
      <c r="C52" s="2">
        <f>_xll.xlqAAII($C$3, $A52&amp;C$2,,$B$1)</f>
        <v>5.8</v>
      </c>
      <c r="D52" s="2">
        <f>_xll.xlqAAII($C$3, $A52&amp;D$2,D$1,$B$1)</f>
        <v>5.5</v>
      </c>
      <c r="E52" s="2">
        <f>_xll.xlqAAII($C$3, $A52&amp;E$2,E$1,$B$1)</f>
        <v>5.4</v>
      </c>
      <c r="F52" s="2">
        <f>_xll.xlqAAII($C$3, $A52&amp;F$2,F$1,$B$1)</f>
        <v>5.7</v>
      </c>
      <c r="G52" s="2">
        <f>_xll.xlqAAII($C$3, $A52&amp;G$2,G$1,$B$1)</f>
        <v>5.6</v>
      </c>
      <c r="H52" s="2">
        <f>_xll.xlqAAII($C$3, $A52&amp;H$2,H$1,$B$1)</f>
        <v>5.7</v>
      </c>
      <c r="I52" s="2">
        <f>_xll.xlqAAII($C$3, $A52&amp;I$2,I$1,$B$1)</f>
        <v>5.8</v>
      </c>
      <c r="J52" s="2">
        <f>_xll.xlqAAII($C$3, $A52&amp;J$2,J$1,$B$1)</f>
        <v>5.4</v>
      </c>
    </row>
    <row r="53" spans="1:11" x14ac:dyDescent="0.25">
      <c r="A53" s="14" t="str">
        <f>"Industry"&amp;A26</f>
        <v>IndustryInventoryTurnover</v>
      </c>
      <c r="B53" s="44" t="str">
        <f>_xll.xlqAAIIDescrip($A53&amp;B$2)</f>
        <v>Industry Inventory turnover</v>
      </c>
      <c r="C53" s="2">
        <f>_xll.xlqAAII($C$3, $A53&amp;C$2,,$B$1)</f>
        <v>10.9</v>
      </c>
      <c r="D53" s="2">
        <f>_xll.xlqAAII($C$3, $A53&amp;D$2,D$1,$B$1)</f>
        <v>12</v>
      </c>
      <c r="E53" s="2">
        <f>_xll.xlqAAII($C$3, $A53&amp;E$2,E$1,$B$1)</f>
        <v>14</v>
      </c>
      <c r="F53" s="2">
        <f>_xll.xlqAAII($C$3, $A53&amp;F$2,F$1,$B$1)</f>
        <v>11.7</v>
      </c>
      <c r="G53" s="2">
        <f>_xll.xlqAAII($C$3, $A53&amp;G$2,G$1,$B$1)</f>
        <v>14.7</v>
      </c>
      <c r="H53" s="2">
        <f>_xll.xlqAAII($C$3, $A53&amp;H$2,H$1,$B$1)</f>
        <v>16.399999999999999</v>
      </c>
      <c r="I53" s="2">
        <f>_xll.xlqAAII($C$3, $A53&amp;I$2,I$1,$B$1)</f>
        <v>21.8</v>
      </c>
      <c r="J53" s="2">
        <f>_xll.xlqAAII($C$3, $A53&amp;J$2,J$1,$B$1)</f>
        <v>17.2</v>
      </c>
    </row>
    <row r="54" spans="1:11" x14ac:dyDescent="0.25">
      <c r="A54" s="14" t="str">
        <f>"Industry"&amp;A27</f>
        <v>IndustryAssetTurnover</v>
      </c>
      <c r="B54" s="44" t="str">
        <f>_xll.xlqAAIIDescrip($A54&amp;B$2)</f>
        <v>Industry Asset turnover</v>
      </c>
      <c r="C54" s="2">
        <f>_xll.xlqAAII($C$3, $A54&amp;C$2,,$B$1)</f>
        <v>0.7</v>
      </c>
      <c r="D54" s="2">
        <f>_xll.xlqAAII($C$3, $A54&amp;D$2,D$1,$B$1)</f>
        <v>0.7</v>
      </c>
      <c r="E54" s="2">
        <f>_xll.xlqAAII($C$3, $A54&amp;E$2,E$1,$B$1)</f>
        <v>0.7</v>
      </c>
      <c r="F54" s="2">
        <f>_xll.xlqAAII($C$3, $A54&amp;F$2,F$1,$B$1)</f>
        <v>0.7</v>
      </c>
      <c r="G54" s="2">
        <f>_xll.xlqAAII($C$3, $A54&amp;G$2,G$1,$B$1)</f>
        <v>0.6</v>
      </c>
      <c r="H54" s="2">
        <f>_xll.xlqAAII($C$3, $A54&amp;H$2,H$1,$B$1)</f>
        <v>0.7</v>
      </c>
      <c r="I54" s="2">
        <f>_xll.xlqAAII($C$3, $A54&amp;I$2,I$1,$B$1)</f>
        <v>0.7</v>
      </c>
      <c r="J54" s="2">
        <f>_xll.xlqAAII($C$3, $A54&amp;J$2,J$1,$B$1)</f>
        <v>0.7</v>
      </c>
    </row>
    <row r="57" spans="1:11" s="1" customFormat="1" x14ac:dyDescent="0.25">
      <c r="A57" s="44" t="s">
        <v>559</v>
      </c>
      <c r="B57" s="44" t="s">
        <v>559</v>
      </c>
      <c r="C57" s="1" t="str">
        <f>_xll.xlqAAII($C$3,$A57,,$B$1)</f>
        <v>Technology</v>
      </c>
    </row>
    <row r="58" spans="1:11" x14ac:dyDescent="0.25">
      <c r="B58" s="44" t="s">
        <v>1050</v>
      </c>
    </row>
    <row r="59" spans="1:11" x14ac:dyDescent="0.25">
      <c r="A59" s="14" t="s">
        <v>1233</v>
      </c>
      <c r="B59" s="44" t="str">
        <f>_xll.xlqAAIIDescrip($A59&amp;B$2)</f>
        <v>Sector Sales</v>
      </c>
      <c r="C59" s="2">
        <f>_xll.xlqAAII($C$3, $A59&amp;C$2,,$B$1)</f>
        <v>291.5</v>
      </c>
      <c r="D59" s="2">
        <f>_xll.xlqAAII($C$3, $A59&amp;D$2,D$1,$B$1)</f>
        <v>280.60000000000002</v>
      </c>
      <c r="E59" s="2">
        <f>_xll.xlqAAII($C$3, $A59&amp;E$2,E$1,$B$1)</f>
        <v>176.7</v>
      </c>
      <c r="F59" s="2">
        <f>_xll.xlqAAII($C$3, $A59&amp;F$2,F$1,$B$1)</f>
        <v>158.6</v>
      </c>
      <c r="G59" s="2">
        <f>_xll.xlqAAII($C$3, $A59&amp;G$2,G$1,$B$1)</f>
        <v>138.9</v>
      </c>
      <c r="H59" s="2">
        <f>_xll.xlqAAII($C$3, $A59&amp;H$2,H$1,$B$1)</f>
        <v>129.4</v>
      </c>
      <c r="I59" s="2">
        <f>_xll.xlqAAII($C$3, $A59&amp;I$2,I$1,$B$1)</f>
        <v>120.4</v>
      </c>
      <c r="J59" s="2">
        <f>_xll.xlqAAII($C$3, $A59&amp;J$2,J$1,$B$1)</f>
        <v>114.6</v>
      </c>
    </row>
    <row r="60" spans="1:11" x14ac:dyDescent="0.25">
      <c r="A60" s="14" t="str">
        <f>"Sector"&amp;A7</f>
        <v>SectorGrossMargin</v>
      </c>
      <c r="B60" s="44" t="str">
        <f>_xll.xlqAAIIDescrip($A60&amp;B$2)</f>
        <v>Sector Gross margin</v>
      </c>
      <c r="C60" s="2">
        <f>_xll.xlqAAII($C$3, $A60&amp;C$2,,$B$1)</f>
        <v>49</v>
      </c>
      <c r="D60" s="2">
        <f>_xll.xlqAAII($C$3, $A60&amp;D$2,D$1,$B$1)</f>
        <v>49.3</v>
      </c>
      <c r="E60" s="2">
        <f>_xll.xlqAAII($C$3, $A60&amp;E$2,E$1,$B$1)</f>
        <v>49.5</v>
      </c>
      <c r="F60" s="2">
        <f>_xll.xlqAAII($C$3, $A60&amp;F$2,F$1,$B$1)</f>
        <v>47.8</v>
      </c>
      <c r="G60" s="2">
        <f>_xll.xlqAAII($C$3, $A60&amp;G$2,G$1,$B$1)</f>
        <v>46.1</v>
      </c>
      <c r="H60" s="2">
        <f>_xll.xlqAAII($C$3, $A60&amp;H$2,H$1,$B$1)</f>
        <v>46.8</v>
      </c>
      <c r="I60" s="2">
        <f>_xll.xlqAAII($C$3, $A60&amp;I$2,I$1,$B$1)</f>
        <v>45</v>
      </c>
      <c r="J60" s="2">
        <f>_xll.xlqAAII($C$3, $A60&amp;J$2,J$1,$B$1)</f>
        <v>42.4</v>
      </c>
      <c r="K60" s="2">
        <f>_xll.xlqAAII($C$3, $A60&amp;K$2,K$1,$B$1)</f>
        <v>47.6</v>
      </c>
    </row>
    <row r="61" spans="1:11" x14ac:dyDescent="0.25">
      <c r="A61" s="14" t="str">
        <f>"Sector"&amp;A8</f>
        <v>SectorOperatingMargin</v>
      </c>
      <c r="B61" s="44" t="str">
        <f>_xll.xlqAAIIDescrip($A61&amp;B$2)</f>
        <v>Sector Operating margin</v>
      </c>
      <c r="C61" s="2">
        <f>_xll.xlqAAII($C$3, $A61&amp;C$2,,$B$1)</f>
        <v>2</v>
      </c>
      <c r="D61" s="2">
        <f>_xll.xlqAAII($C$3, $A61&amp;D$2,D$1,$B$1)</f>
        <v>1.5</v>
      </c>
      <c r="E61" s="2">
        <f>_xll.xlqAAII($C$3, $A61&amp;E$2,E$1,$B$1)</f>
        <v>0.5</v>
      </c>
      <c r="F61" s="2">
        <f>_xll.xlqAAII($C$3, $A61&amp;F$2,F$1,$B$1)</f>
        <v>0.1</v>
      </c>
      <c r="G61" s="2">
        <f>_xll.xlqAAII($C$3, $A61&amp;G$2,G$1,$B$1)</f>
        <v>1.1000000000000001</v>
      </c>
      <c r="H61" s="2">
        <f>_xll.xlqAAII($C$3, $A61&amp;H$2,H$1,$B$1)</f>
        <v>2.2999999999999998</v>
      </c>
      <c r="I61" s="2">
        <f>_xll.xlqAAII($C$3, $A61&amp;I$2,I$1,$B$1)</f>
        <v>2.4</v>
      </c>
      <c r="J61" s="2">
        <f>_xll.xlqAAII($C$3, $A61&amp;J$2,J$1,$B$1)</f>
        <v>3.3</v>
      </c>
    </row>
    <row r="62" spans="1:11" x14ac:dyDescent="0.25">
      <c r="A62" s="14" t="str">
        <f>"Sector"&amp;A9</f>
        <v>SectorNetMargin</v>
      </c>
      <c r="B62" s="44" t="str">
        <f>_xll.xlqAAIIDescrip($A62&amp;B$2)</f>
        <v>Sector Net margin</v>
      </c>
      <c r="C62" s="2">
        <f>_xll.xlqAAII($C$3, $A62&amp;C$2,,$B$1)</f>
        <v>0.6</v>
      </c>
      <c r="D62" s="2">
        <f>_xll.xlqAAII($C$3, $A62&amp;D$2,D$1,$B$1)</f>
        <v>0</v>
      </c>
      <c r="E62" s="2">
        <f>_xll.xlqAAII($C$3, $A62&amp;E$2,E$1,$B$1)</f>
        <v>-0.8</v>
      </c>
      <c r="F62" s="2">
        <f>_xll.xlqAAII($C$3, $A62&amp;F$2,F$1,$B$1)</f>
        <v>-1.2</v>
      </c>
      <c r="G62" s="2">
        <f>_xll.xlqAAII($C$3, $A62&amp;G$2,G$1,$B$1)</f>
        <v>-0.5</v>
      </c>
      <c r="H62" s="2">
        <f>_xll.xlqAAII($C$3, $A62&amp;H$2,H$1,$B$1)</f>
        <v>1.3</v>
      </c>
      <c r="I62" s="2">
        <f>_xll.xlqAAII($C$3, $A62&amp;I$2,I$1,$B$1)</f>
        <v>1.8</v>
      </c>
      <c r="J62" s="2">
        <f>_xll.xlqAAII($C$3, $A62&amp;J$2,J$1,$B$1)</f>
        <v>1.9</v>
      </c>
    </row>
    <row r="63" spans="1:11" x14ac:dyDescent="0.25">
      <c r="A63" s="14" t="s">
        <v>1235</v>
      </c>
      <c r="B63" s="44" t="str">
        <f>_xll.xlqAAIIDescrip($A63&amp;B$2)</f>
        <v>Sector Total assets</v>
      </c>
      <c r="C63" s="2">
        <f>_xll.xlqAAII($C$3, $A63&amp;C$1,,$B$1)</f>
        <v>305.8</v>
      </c>
      <c r="D63" s="2">
        <f>_xll.xlqAAII($C$3, $A63&amp;D$2,D$1,$B$1)</f>
        <v>268.2</v>
      </c>
      <c r="E63" s="2">
        <f>_xll.xlqAAII($C$3, $A63&amp;E$2,E$1,$B$1)</f>
        <v>215</v>
      </c>
      <c r="F63" s="2">
        <f>_xll.xlqAAII($C$3, $A63&amp;F$2,F$1,$B$1)</f>
        <v>174.2</v>
      </c>
      <c r="G63" s="2">
        <f>_xll.xlqAAII($C$3, $A63&amp;G$2,G$1,$B$1)</f>
        <v>168.9</v>
      </c>
      <c r="H63" s="2">
        <f>_xll.xlqAAII($C$3, $A63&amp;H$2,H$1,$B$1)</f>
        <v>164.6</v>
      </c>
      <c r="I63" s="2">
        <f>_xll.xlqAAII($C$3, $A63&amp;I$2,I$1,$B$1)</f>
        <v>147.4</v>
      </c>
      <c r="J63" s="2">
        <f>_xll.xlqAAII($C$3, $A63&amp;J$2,J$1,$B$1)</f>
        <v>150.9</v>
      </c>
    </row>
    <row r="64" spans="1:11" x14ac:dyDescent="0.25">
      <c r="A64" s="14" t="str">
        <f>"Sector"&amp;A10</f>
        <v>SectorReturnOnAssets</v>
      </c>
      <c r="B64" s="44" t="str">
        <f>_xll.xlqAAIIDescrip($A64&amp;B$2)</f>
        <v>Sector Return on assets</v>
      </c>
      <c r="C64" s="2">
        <f>_xll.xlqAAII($C$3, $A64&amp;C$2,,$B$1)</f>
        <v>-0.1</v>
      </c>
      <c r="D64" s="2">
        <f>_xll.xlqAAII($C$3, $A64&amp;D$2,D$1,$B$1)</f>
        <v>-1.1000000000000001</v>
      </c>
      <c r="E64" s="2">
        <f>_xll.xlqAAII($C$3, $A64&amp;E$2,E$1,$B$1)</f>
        <v>-1.2</v>
      </c>
      <c r="F64" s="2">
        <f>_xll.xlqAAII($C$3, $A64&amp;F$2,F$1,$B$1)</f>
        <v>-0.8</v>
      </c>
      <c r="G64" s="2">
        <f>_xll.xlqAAII($C$3, $A64&amp;G$2,G$1,$B$1)</f>
        <v>-0.7</v>
      </c>
      <c r="H64" s="2">
        <f>_xll.xlqAAII($C$3, $A64&amp;H$2,H$1,$B$1)</f>
        <v>0.9</v>
      </c>
      <c r="I64" s="2">
        <f>_xll.xlqAAII($C$3, $A64&amp;I$2,I$1,$B$1)</f>
        <v>1.8</v>
      </c>
      <c r="J64" s="2">
        <f>_xll.xlqAAII($C$3, $A64&amp;J$2,J$1,$B$1)</f>
        <v>1.9</v>
      </c>
    </row>
    <row r="65" spans="1:11" x14ac:dyDescent="0.25">
      <c r="A65" s="14" t="str">
        <f>"Sector"&amp;A11</f>
        <v>SectorReturnOnEquity</v>
      </c>
      <c r="B65" s="44" t="str">
        <f>_xll.xlqAAIIDescrip($A65&amp;B$2)</f>
        <v>Sector Return on equity</v>
      </c>
      <c r="C65" s="2">
        <f>_xll.xlqAAII($C$3, $A65&amp;C$2,,$B$1)</f>
        <v>6</v>
      </c>
      <c r="D65" s="2">
        <f>_xll.xlqAAII($C$3, $A65&amp;D$2,D$1,$B$1)</f>
        <v>6.1</v>
      </c>
      <c r="E65" s="2">
        <f>_xll.xlqAAII($C$3, $A65&amp;E$2,E$1,$B$1)</f>
        <v>5.4</v>
      </c>
      <c r="F65" s="2">
        <f>_xll.xlqAAII($C$3, $A65&amp;F$2,F$1,$B$1)</f>
        <v>5.8</v>
      </c>
      <c r="G65" s="2">
        <f>_xll.xlqAAII($C$3, $A65&amp;G$2,G$1,$B$1)</f>
        <v>6.1</v>
      </c>
      <c r="H65" s="2">
        <f>_xll.xlqAAII($C$3, $A65&amp;H$2,H$1,$B$1)</f>
        <v>6.6</v>
      </c>
      <c r="I65" s="2">
        <f>_xll.xlqAAII($C$3, $A65&amp;I$2,I$1,$B$1)</f>
        <v>7.7</v>
      </c>
      <c r="J65" s="2">
        <f>_xll.xlqAAII($C$3, $A65&amp;J$2,J$1,$B$1)</f>
        <v>7.9</v>
      </c>
      <c r="K65" s="2">
        <f>_xll.xlqAAII($C$3, $A65&amp;K$2,K$1,$B$1)</f>
        <v>5.5</v>
      </c>
    </row>
    <row r="66" spans="1:11" x14ac:dyDescent="0.25">
      <c r="A66" s="14"/>
      <c r="B66" s="44"/>
    </row>
    <row r="67" spans="1:11" x14ac:dyDescent="0.25">
      <c r="B67" s="44" t="s">
        <v>1061</v>
      </c>
    </row>
    <row r="68" spans="1:11" x14ac:dyDescent="0.25">
      <c r="A68" s="14" t="str">
        <f>"Sector"&amp;A14</f>
        <v>SectorQuickRatio</v>
      </c>
      <c r="B68" s="44" t="str">
        <f>_xll.xlqAAIIDescrip($A68&amp;B$2)</f>
        <v>Sector Quick ratio</v>
      </c>
      <c r="C68" s="2">
        <f>_xll.xlqAAII($C$3, $A68&amp;C$1,,$B$1)</f>
        <v>1.4</v>
      </c>
      <c r="D68" s="2">
        <f>_xll.xlqAAII($C$3, $A68&amp;D$2,D$1,$B$1)</f>
        <v>1.5</v>
      </c>
      <c r="E68" s="2">
        <f>_xll.xlqAAII($C$3, $A68&amp;E$2,E$1,$B$1)</f>
        <v>1.5</v>
      </c>
      <c r="F68" s="2">
        <f>_xll.xlqAAII($C$3, $A68&amp;F$2,F$1,$B$1)</f>
        <v>1.6</v>
      </c>
      <c r="G68" s="2">
        <f>_xll.xlqAAII($C$3, $A68&amp;G$2,G$1,$B$1)</f>
        <v>1.7</v>
      </c>
      <c r="H68" s="2">
        <f>_xll.xlqAAII($C$3, $A68&amp;H$2,H$1,$B$1)</f>
        <v>1.8</v>
      </c>
      <c r="I68" s="2">
        <f>_xll.xlqAAII($C$3, $A68&amp;I$2,I$1,$B$1)</f>
        <v>1.8</v>
      </c>
      <c r="J68" s="2">
        <f>_xll.xlqAAII($C$3, $A68&amp;J$2,J$1,$B$1)</f>
        <v>1.8</v>
      </c>
    </row>
    <row r="69" spans="1:11" x14ac:dyDescent="0.25">
      <c r="A69" s="14" t="str">
        <f>"Sector"&amp;A15</f>
        <v>SectorCurrentRatio</v>
      </c>
      <c r="B69" s="44" t="str">
        <f>_xll.xlqAAIIDescrip($A69&amp;B$2)</f>
        <v>Sector Current ratio</v>
      </c>
      <c r="C69" s="2">
        <f>_xll.xlqAAII($C$3, $A69&amp;C$1,,$B$1)</f>
        <v>1.6</v>
      </c>
      <c r="D69" s="2">
        <f>_xll.xlqAAII($C$3, $A69&amp;D$2,D$1,$B$1)</f>
        <v>1.8</v>
      </c>
      <c r="E69" s="2">
        <f>_xll.xlqAAII($C$3, $A69&amp;E$2,E$1,$B$1)</f>
        <v>1.8</v>
      </c>
      <c r="F69" s="2">
        <f>_xll.xlqAAII($C$3, $A69&amp;F$2,F$1,$B$1)</f>
        <v>1.8</v>
      </c>
      <c r="G69" s="2">
        <f>_xll.xlqAAII($C$3, $A69&amp;G$2,G$1,$B$1)</f>
        <v>2</v>
      </c>
      <c r="H69" s="2">
        <f>_xll.xlqAAII($C$3, $A69&amp;H$2,H$1,$B$1)</f>
        <v>2</v>
      </c>
      <c r="I69" s="2">
        <f>_xll.xlqAAII($C$3, $A69&amp;I$2,I$1,$B$1)</f>
        <v>2.1</v>
      </c>
      <c r="J69" s="2">
        <f>_xll.xlqAAII($C$3, $A69&amp;J$2,J$1,$B$1)</f>
        <v>2.1</v>
      </c>
    </row>
    <row r="70" spans="1:11" x14ac:dyDescent="0.25">
      <c r="A70" s="14" t="str">
        <f>"Sector"&amp;A16</f>
        <v>SectorPayoutRatio</v>
      </c>
      <c r="B70" s="44" t="str">
        <f>_xll.xlqAAIIDescrip($A70&amp;B$2)</f>
        <v>Sector Payout ratio</v>
      </c>
      <c r="C70" s="2">
        <f>_xll.xlqAAII($C$3, $A70&amp;C$2,,$B$1)</f>
        <v>0</v>
      </c>
      <c r="D70" s="2">
        <f>_xll.xlqAAII($C$3, $A70&amp;D$2,D$1,$B$1)</f>
        <v>0</v>
      </c>
      <c r="E70" s="2">
        <f>_xll.xlqAAII($C$3, $A70&amp;E$2,E$1,$B$1)</f>
        <v>0</v>
      </c>
      <c r="F70" s="2">
        <f>_xll.xlqAAII($C$3, $A70&amp;F$2,F$1,$B$1)</f>
        <v>0</v>
      </c>
      <c r="G70" s="2">
        <f>_xll.xlqAAII($C$3, $A70&amp;G$2,G$1,$B$1)</f>
        <v>0</v>
      </c>
      <c r="H70" s="2">
        <f>_xll.xlqAAII($C$3, $A70&amp;H$2,H$1,$B$1)</f>
        <v>0</v>
      </c>
      <c r="I70" s="2">
        <f>_xll.xlqAAII($C$3, $A70&amp;I$2,I$1,$B$1)</f>
        <v>0</v>
      </c>
      <c r="J70" s="2">
        <f>_xll.xlqAAII($C$3, $A70&amp;J$2,J$1,$B$1)</f>
        <v>0</v>
      </c>
    </row>
    <row r="71" spans="1:11" x14ac:dyDescent="0.25">
      <c r="A71" s="14" t="str">
        <f>"Sector"&amp;A17</f>
        <v>SectorTimesInterestEarned</v>
      </c>
      <c r="B71" s="44" t="str">
        <f>_xll.xlqAAIIDescrip($A71&amp;B$2)</f>
        <v>Sector Times interest earned</v>
      </c>
      <c r="C71" s="2">
        <f>_xll.xlqAAII($C$3, $A71&amp;C$2,,$B$1)</f>
        <v>0.7</v>
      </c>
      <c r="D71" s="2">
        <f>_xll.xlqAAII($C$3, $A71&amp;D$2,D$1,$B$1)</f>
        <v>0.3</v>
      </c>
      <c r="E71" s="2">
        <f>_xll.xlqAAII($C$3, $A71&amp;E$2,E$1,$B$1)</f>
        <v>-0.1</v>
      </c>
      <c r="F71" s="2">
        <f>_xll.xlqAAII($C$3, $A71&amp;F$2,F$1,$B$1)</f>
        <v>-0.2</v>
      </c>
      <c r="G71" s="2">
        <f>_xll.xlqAAII($C$3, $A71&amp;G$2,G$1,$B$1)</f>
        <v>0.2</v>
      </c>
      <c r="H71" s="2">
        <f>_xll.xlqAAII($C$3, $A71&amp;H$2,H$1,$B$1)</f>
        <v>1.4</v>
      </c>
      <c r="I71" s="2">
        <f>_xll.xlqAAII($C$3, $A71&amp;I$2,I$1,$B$1)</f>
        <v>1.8</v>
      </c>
      <c r="J71" s="2">
        <f>_xll.xlqAAII($C$3, $A71&amp;J$2,J$1,$B$1)</f>
        <v>2.8</v>
      </c>
    </row>
    <row r="72" spans="1:11" x14ac:dyDescent="0.25">
      <c r="A72" s="14"/>
      <c r="B72" s="44"/>
    </row>
    <row r="73" spans="1:11" x14ac:dyDescent="0.25">
      <c r="B73" s="44" t="s">
        <v>1067</v>
      </c>
    </row>
    <row r="74" spans="1:11" x14ac:dyDescent="0.25">
      <c r="A74" s="14" t="str">
        <f>"Sector"&amp;A20</f>
        <v>SectorTotalLiabilitiesAssets</v>
      </c>
      <c r="B74" s="44" t="str">
        <f>_xll.xlqAAIIDescrip($A74&amp;B$2)</f>
        <v>Sector Total liabilities/assets</v>
      </c>
      <c r="C74" s="2">
        <f>_xll.xlqAAII($C$3, $A74&amp;C$1,,$B$1)</f>
        <v>53.8</v>
      </c>
      <c r="D74" s="2">
        <f>_xll.xlqAAII($C$3, $A74&amp;D$2,D$1,$B$1)</f>
        <v>51.6</v>
      </c>
      <c r="E74" s="2">
        <f>_xll.xlqAAII($C$3, $A74&amp;E$2,E$1,$B$1)</f>
        <v>50.7</v>
      </c>
      <c r="F74" s="2">
        <f>_xll.xlqAAII($C$3, $A74&amp;F$2,F$1,$B$1)</f>
        <v>48.8</v>
      </c>
      <c r="G74" s="2">
        <f>_xll.xlqAAII($C$3, $A74&amp;G$2,G$1,$B$1)</f>
        <v>46.7</v>
      </c>
      <c r="H74" s="2">
        <f>_xll.xlqAAII($C$3, $A74&amp;H$2,H$1,$B$1)</f>
        <v>43</v>
      </c>
      <c r="I74" s="2">
        <f>_xll.xlqAAII($C$3, $A74&amp;I$2,I$1,$B$1)</f>
        <v>41.5</v>
      </c>
      <c r="J74" s="2">
        <f>_xll.xlqAAII($C$3, $A74&amp;J$2,J$1,$B$1)</f>
        <v>41.1</v>
      </c>
    </row>
    <row r="75" spans="1:11" x14ac:dyDescent="0.25">
      <c r="A75" s="14" t="str">
        <f>"Sector"&amp;A21</f>
        <v>SectorLTDebtTotalCapital</v>
      </c>
      <c r="B75" s="44" t="str">
        <f>_xll.xlqAAIIDescrip($A75&amp;B$2)</f>
        <v>Sector LT debt/total capital</v>
      </c>
      <c r="C75" s="2">
        <f>_xll.xlqAAII($C$3, $A75&amp;C$1,,$B$1)</f>
        <v>9.9</v>
      </c>
      <c r="D75" s="2">
        <f>_xll.xlqAAII($C$3, $A75&amp;D$2,D$1,$B$1)</f>
        <v>9</v>
      </c>
      <c r="E75" s="2">
        <f>_xll.xlqAAII($C$3, $A75&amp;E$2,E$1,$B$1)</f>
        <v>6.4</v>
      </c>
      <c r="F75" s="2">
        <f>_xll.xlqAAII($C$3, $A75&amp;F$2,F$1,$B$1)</f>
        <v>7.3</v>
      </c>
      <c r="G75" s="2">
        <f>_xll.xlqAAII($C$3, $A75&amp;G$2,G$1,$B$1)</f>
        <v>3.9</v>
      </c>
      <c r="H75" s="2">
        <f>_xll.xlqAAII($C$3, $A75&amp;H$2,H$1,$B$1)</f>
        <v>1</v>
      </c>
      <c r="I75" s="2">
        <f>_xll.xlqAAII($C$3, $A75&amp;I$2,I$1,$B$1)</f>
        <v>0.5</v>
      </c>
      <c r="J75" s="2">
        <f>_xll.xlqAAII($C$3, $A75&amp;J$2,J$1,$B$1)</f>
        <v>0.4</v>
      </c>
    </row>
    <row r="76" spans="1:11" x14ac:dyDescent="0.25">
      <c r="A76" s="14" t="str">
        <f>"Sector"&amp;A22</f>
        <v>SectorLTDebtEquity</v>
      </c>
      <c r="B76" s="44" t="str">
        <f>_xll.xlqAAIIDescrip($A76&amp;B$2)</f>
        <v>Sector LT Debt/equity</v>
      </c>
      <c r="C76" s="2">
        <f>_xll.xlqAAII($C$3, $A76&amp;C$1,,$B$1)</f>
        <v>8.1</v>
      </c>
      <c r="D76" s="2">
        <f>_xll.xlqAAII($C$3, $A76&amp;D$2,D$1,$B$1)</f>
        <v>6.7</v>
      </c>
      <c r="E76" s="2">
        <f>_xll.xlqAAII($C$3, $A76&amp;E$2,E$1,$B$1)</f>
        <v>6.5</v>
      </c>
      <c r="F76" s="2">
        <f>_xll.xlqAAII($C$3, $A76&amp;F$2,F$1,$B$1)</f>
        <v>5.6</v>
      </c>
      <c r="G76" s="2">
        <f>_xll.xlqAAII($C$3, $A76&amp;G$2,G$1,$B$1)</f>
        <v>2.2999999999999998</v>
      </c>
      <c r="H76" s="2">
        <f>_xll.xlqAAII($C$3, $A76&amp;H$2,H$1,$B$1)</f>
        <v>0.8</v>
      </c>
      <c r="I76" s="2">
        <f>_xll.xlqAAII($C$3, $A76&amp;I$2,I$1,$B$1)</f>
        <v>0.2</v>
      </c>
      <c r="J76" s="2">
        <f>_xll.xlqAAII($C$3, $A76&amp;J$2,J$1,$B$1)</f>
        <v>0.2</v>
      </c>
    </row>
    <row r="77" spans="1:11" x14ac:dyDescent="0.25">
      <c r="A77" s="14"/>
      <c r="B77" s="44"/>
    </row>
    <row r="78" spans="1:11" x14ac:dyDescent="0.25">
      <c r="B78" s="44" t="s">
        <v>1068</v>
      </c>
    </row>
    <row r="79" spans="1:11" x14ac:dyDescent="0.25">
      <c r="A79" s="14" t="str">
        <f>"Sector"&amp;A25</f>
        <v>SectorReceivablesTurnover</v>
      </c>
      <c r="B79" s="44" t="str">
        <f>_xll.xlqAAIIDescrip($A79&amp;B$2)</f>
        <v>Sector Receivables turnover</v>
      </c>
      <c r="C79" s="2">
        <f>_xll.xlqAAII($C$3, $A79&amp;C$2,,$B$1)</f>
        <v>5.8</v>
      </c>
      <c r="D79" s="2">
        <f>_xll.xlqAAII($C$3, $A79&amp;D$2,D$1,$B$1)</f>
        <v>5.7</v>
      </c>
      <c r="E79" s="2">
        <f>_xll.xlqAAII($C$3, $A79&amp;E$2,E$1,$B$1)</f>
        <v>5.8</v>
      </c>
      <c r="F79" s="2">
        <f>_xll.xlqAAII($C$3, $A79&amp;F$2,F$1,$B$1)</f>
        <v>5.9</v>
      </c>
      <c r="G79" s="2">
        <f>_xll.xlqAAII($C$3, $A79&amp;G$2,G$1,$B$1)</f>
        <v>5.8</v>
      </c>
      <c r="H79" s="2">
        <f>_xll.xlqAAII($C$3, $A79&amp;H$2,H$1,$B$1)</f>
        <v>5.8</v>
      </c>
      <c r="I79" s="2">
        <f>_xll.xlqAAII($C$3, $A79&amp;I$2,I$1,$B$1)</f>
        <v>5.7</v>
      </c>
      <c r="J79" s="2">
        <f>_xll.xlqAAII($C$3, $A79&amp;J$2,J$1,$B$1)</f>
        <v>5.6</v>
      </c>
    </row>
    <row r="80" spans="1:11" x14ac:dyDescent="0.25">
      <c r="A80" s="14" t="str">
        <f>"Sector"&amp;A26</f>
        <v>SectorInventoryTurnover</v>
      </c>
      <c r="B80" s="44" t="str">
        <f>_xll.xlqAAIIDescrip($A80&amp;B$2)</f>
        <v>Sector Inventory turnover</v>
      </c>
      <c r="C80" s="2">
        <f>_xll.xlqAAII($C$3, $A80&amp;C$2,,$B$1)</f>
        <v>4.7</v>
      </c>
      <c r="D80" s="2">
        <f>_xll.xlqAAII($C$3, $A80&amp;D$2,D$1,$B$1)</f>
        <v>4.9000000000000004</v>
      </c>
      <c r="E80" s="2">
        <f>_xll.xlqAAII($C$3, $A80&amp;E$2,E$1,$B$1)</f>
        <v>4.9000000000000004</v>
      </c>
      <c r="F80" s="2">
        <f>_xll.xlqAAII($C$3, $A80&amp;F$2,F$1,$B$1)</f>
        <v>5</v>
      </c>
      <c r="G80" s="2">
        <f>_xll.xlqAAII($C$3, $A80&amp;G$2,G$1,$B$1)</f>
        <v>5</v>
      </c>
      <c r="H80" s="2">
        <f>_xll.xlqAAII($C$3, $A80&amp;H$2,H$1,$B$1)</f>
        <v>5.0999999999999996</v>
      </c>
      <c r="I80" s="2">
        <f>_xll.xlqAAII($C$3, $A80&amp;I$2,I$1,$B$1)</f>
        <v>5.3</v>
      </c>
      <c r="J80" s="2">
        <f>_xll.xlqAAII($C$3, $A80&amp;J$2,J$1,$B$1)</f>
        <v>5.8</v>
      </c>
    </row>
    <row r="81" spans="1:10" x14ac:dyDescent="0.25">
      <c r="A81" s="14" t="str">
        <f>"Sector"&amp;A27</f>
        <v>SectorAssetTurnover</v>
      </c>
      <c r="B81" s="44" t="str">
        <f>_xll.xlqAAIIDescrip($A81&amp;B$2)</f>
        <v>Sector Asset turnover</v>
      </c>
      <c r="C81" s="2">
        <f>_xll.xlqAAII($C$3, $A81&amp;C$2,,$B$1)</f>
        <v>0.8</v>
      </c>
      <c r="D81" s="2">
        <f>_xll.xlqAAII($C$3, $A81&amp;D$2,D$1,$B$1)</f>
        <v>0.8</v>
      </c>
      <c r="E81" s="2">
        <f>_xll.xlqAAII($C$3, $A81&amp;E$2,E$1,$B$1)</f>
        <v>0.8</v>
      </c>
      <c r="F81" s="2">
        <f>_xll.xlqAAII($C$3, $A81&amp;F$2,F$1,$B$1)</f>
        <v>0.8</v>
      </c>
      <c r="G81" s="2">
        <f>_xll.xlqAAII($C$3, $A81&amp;G$2,G$1,$B$1)</f>
        <v>0.7</v>
      </c>
      <c r="H81" s="2">
        <f>_xll.xlqAAII($C$3, $A81&amp;H$2,H$1,$B$1)</f>
        <v>0.8</v>
      </c>
      <c r="I81" s="2">
        <f>_xll.xlqAAII($C$3, $A81&amp;I$2,I$1,$B$1)</f>
        <v>0.8</v>
      </c>
      <c r="J81" s="2">
        <f>_xll.xlqAAII($C$3, $A81&amp;J$2,J$1,$B$1)</f>
        <v>0.8</v>
      </c>
    </row>
    <row r="84" spans="1:10" s="1" customFormat="1" x14ac:dyDescent="0.25">
      <c r="A84" s="44"/>
      <c r="B84" s="44" t="s">
        <v>686</v>
      </c>
    </row>
    <row r="85" spans="1:10" x14ac:dyDescent="0.25">
      <c r="B85" s="44" t="s">
        <v>1050</v>
      </c>
    </row>
    <row r="86" spans="1:10" x14ac:dyDescent="0.25">
      <c r="A86" s="14" t="s">
        <v>1234</v>
      </c>
      <c r="B86" s="44" t="str">
        <f>_xll.xlqAAIIDescrip($A86&amp;B$2)</f>
        <v>% Rank-Sales</v>
      </c>
      <c r="C86" s="2">
        <f>_xll.xlqAAII($C$3, $A86&amp;C$2,,$B$1)</f>
        <v>99</v>
      </c>
      <c r="D86" s="2">
        <f>_xll.xlqAAII($C$3, $A86&amp;D$2,D$1,$B$1)</f>
        <v>99</v>
      </c>
      <c r="E86" s="2">
        <f>_xll.xlqAAII($C$3, $A86&amp;E$2,E$1,$B$1)</f>
        <v>99</v>
      </c>
      <c r="F86" s="2">
        <f>_xll.xlqAAII($C$3, $A86&amp;F$2,F$1,$B$1)</f>
        <v>99</v>
      </c>
      <c r="G86" s="2">
        <f>_xll.xlqAAII($C$3, $A86&amp;G$2,G$1,$B$1)</f>
        <v>99</v>
      </c>
      <c r="H86" s="2">
        <f>_xll.xlqAAII($C$3, $A86&amp;H$2,H$1,$B$1)</f>
        <v>99</v>
      </c>
      <c r="I86" s="2" t="str">
        <f>_xll.xlqAAII($C$3, $A86&amp;I$2,I$1,$B$1)</f>
        <v>NA</v>
      </c>
      <c r="J86" s="2" t="str">
        <f>_xll.xlqAAII($C$3, $A86&amp;J$2,J$1,$B$1)</f>
        <v>NA</v>
      </c>
    </row>
    <row r="87" spans="1:10" x14ac:dyDescent="0.25">
      <c r="A87" s="14" t="str">
        <f>"PcntRank"&amp;A7</f>
        <v>PcntRankGrossMargin</v>
      </c>
      <c r="B87" s="44" t="str">
        <f>_xll.xlqAAIIDescrip($A87&amp;B$2)</f>
        <v>% Rank-Gross Margin</v>
      </c>
      <c r="C87" s="2">
        <f>_xll.xlqAAII($C$3, $A87&amp;C$2,,$B$1)</f>
        <v>76</v>
      </c>
      <c r="D87" s="2">
        <f>_xll.xlqAAII($C$3, $A87&amp;D$2,D$1,$B$1)</f>
        <v>76</v>
      </c>
      <c r="E87" s="2">
        <f>_xll.xlqAAII($C$3, $A87&amp;E$2,E$1,$B$1)</f>
        <v>76</v>
      </c>
      <c r="F87" s="2">
        <f>_xll.xlqAAII($C$3, $A87&amp;F$2,F$1,$B$1)</f>
        <v>77</v>
      </c>
      <c r="G87" s="2">
        <f>_xll.xlqAAII($C$3, $A87&amp;G$2,G$1,$B$1)</f>
        <v>78</v>
      </c>
      <c r="H87" s="2">
        <f>_xll.xlqAAII($C$3, $A87&amp;H$2,H$1,$B$1)</f>
        <v>81</v>
      </c>
      <c r="I87" s="2" t="str">
        <f>_xll.xlqAAII($C$3, $A87&amp;I$2,I$1,$B$1)</f>
        <v>NA</v>
      </c>
      <c r="J87" s="2" t="str">
        <f>_xll.xlqAAII($C$3, $A87&amp;J$2,J$1,$B$1)</f>
        <v>NA</v>
      </c>
    </row>
    <row r="88" spans="1:10" x14ac:dyDescent="0.25">
      <c r="A88" s="14" t="str">
        <f>"PcntRank"&amp;A8</f>
        <v>PcntRankOperatingMargin</v>
      </c>
      <c r="B88" s="44" t="str">
        <f>_xll.xlqAAIIDescrip($A88&amp;B$2)</f>
        <v>% Rank-Operating Margin</v>
      </c>
      <c r="C88" s="2">
        <f>_xll.xlqAAII($C$3, $A88&amp;C$2,,$B$1)</f>
        <v>83</v>
      </c>
      <c r="D88" s="2">
        <f>_xll.xlqAAII($C$3, $A88&amp;D$2,D$1,$B$1)</f>
        <v>82</v>
      </c>
      <c r="E88" s="2">
        <f>_xll.xlqAAII($C$3, $A88&amp;E$2,E$1,$B$1)</f>
        <v>81</v>
      </c>
      <c r="F88" s="2">
        <f>_xll.xlqAAII($C$3, $A88&amp;F$2,F$1,$B$1)</f>
        <v>81</v>
      </c>
      <c r="G88" s="2">
        <f>_xll.xlqAAII($C$3, $A88&amp;G$2,G$1,$B$1)</f>
        <v>73</v>
      </c>
      <c r="H88" s="2">
        <f>_xll.xlqAAII($C$3, $A88&amp;H$2,H$1,$B$1)</f>
        <v>82</v>
      </c>
      <c r="I88" s="2" t="str">
        <f>_xll.xlqAAII($C$3, $A88&amp;I$2,I$1,$B$1)</f>
        <v>NA</v>
      </c>
      <c r="J88" s="2" t="str">
        <f>_xll.xlqAAII($C$3, $A88&amp;J$2,J$1,$B$1)</f>
        <v>NA</v>
      </c>
    </row>
    <row r="89" spans="1:10" x14ac:dyDescent="0.25">
      <c r="A89" s="14" t="str">
        <f>"PcntRank"&amp;A9</f>
        <v>PcntRankNetMargin</v>
      </c>
      <c r="B89" s="44" t="str">
        <f>_xll.xlqAAIIDescrip($A89&amp;B$2)</f>
        <v>% Rank-Net Margind</v>
      </c>
      <c r="C89" s="2">
        <f>_xll.xlqAAII($C$3, $A89&amp;C$2,,$B$1)</f>
        <v>90</v>
      </c>
      <c r="D89" s="2">
        <f>_xll.xlqAAII($C$3, $A89&amp;D$2,D$1,$B$1)</f>
        <v>76</v>
      </c>
      <c r="E89" s="2">
        <f>_xll.xlqAAII($C$3, $A89&amp;E$2,E$1,$B$1)</f>
        <v>90</v>
      </c>
      <c r="F89" s="2">
        <f>_xll.xlqAAII($C$3, $A89&amp;F$2,F$1,$B$1)</f>
        <v>87</v>
      </c>
      <c r="G89" s="2">
        <f>_xll.xlqAAII($C$3, $A89&amp;G$2,G$1,$B$1)</f>
        <v>76</v>
      </c>
      <c r="H89" s="2">
        <f>_xll.xlqAAII($C$3, $A89&amp;H$2,H$1,$B$1)</f>
        <v>89</v>
      </c>
      <c r="I89" s="2" t="str">
        <f>_xll.xlqAAII($C$3, $A89&amp;I$2,I$1,$B$1)</f>
        <v>NA</v>
      </c>
      <c r="J89" s="2" t="str">
        <f>_xll.xlqAAII($C$3, $A89&amp;J$2,J$1,$B$1)</f>
        <v>NA</v>
      </c>
    </row>
    <row r="90" spans="1:10" x14ac:dyDescent="0.25">
      <c r="A90" s="14" t="s">
        <v>1236</v>
      </c>
      <c r="B90" s="44" t="str">
        <f>_xll.xlqAAIIDescrip($A90&amp;B$2)</f>
        <v>% Rank-Total Assets</v>
      </c>
      <c r="C90" s="2">
        <f>_xll.xlqAAII($C$3, $A90&amp;C$1,,$B$1)</f>
        <v>99</v>
      </c>
      <c r="D90" s="2">
        <f>_xll.xlqAAII($C$3, $A90&amp;D$2,D$1,$B$1)</f>
        <v>99</v>
      </c>
      <c r="E90" s="2">
        <f>_xll.xlqAAII($C$3, $A90&amp;E$2,E$1,$B$1)</f>
        <v>99</v>
      </c>
      <c r="F90" s="2">
        <f>_xll.xlqAAII($C$3, $A90&amp;F$2,F$1,$B$1)</f>
        <v>99</v>
      </c>
      <c r="G90" s="2">
        <f>_xll.xlqAAII($C$3, $A90&amp;G$2,G$1,$B$1)</f>
        <v>98</v>
      </c>
      <c r="H90" s="2">
        <f>_xll.xlqAAII($C$3, $A90&amp;H$2,H$1,$B$1)</f>
        <v>98</v>
      </c>
      <c r="I90" s="2" t="str">
        <f>_xll.xlqAAII($C$3, $A90&amp;I$2,I$1,$B$1)</f>
        <v>NA</v>
      </c>
      <c r="J90" s="2" t="str">
        <f>_xll.xlqAAII($C$3, $A90&amp;J$2,J$1,$B$1)</f>
        <v>NA</v>
      </c>
    </row>
    <row r="91" spans="1:10" x14ac:dyDescent="0.25">
      <c r="A91" s="14" t="str">
        <f>"PcntRank"&amp;A10</f>
        <v>PcntRankReturnOnAssets</v>
      </c>
      <c r="B91" s="44" t="str">
        <f>_xll.xlqAAIIDescrip($A91&amp;B$2)</f>
        <v>% Rank-Return on Assets</v>
      </c>
      <c r="C91" s="2">
        <f>_xll.xlqAAII($C$3, $A91&amp;C$2,,$B$1)</f>
        <v>93</v>
      </c>
      <c r="D91" s="2">
        <f>_xll.xlqAAII($C$3, $A91&amp;D$2,D$1,$B$1)</f>
        <v>79</v>
      </c>
      <c r="E91" s="2">
        <f>_xll.xlqAAII($C$3, $A91&amp;E$2,E$1,$B$1)</f>
        <v>91</v>
      </c>
      <c r="F91" s="2">
        <f>_xll.xlqAAII($C$3, $A91&amp;F$2,F$1,$B$1)</f>
        <v>91</v>
      </c>
      <c r="G91" s="2">
        <f>_xll.xlqAAII($C$3, $A91&amp;G$2,G$1,$B$1)</f>
        <v>82</v>
      </c>
      <c r="H91" s="2">
        <f>_xll.xlqAAII($C$3, $A91&amp;H$2,H$1,$B$1)</f>
        <v>93</v>
      </c>
      <c r="I91" s="2" t="str">
        <f>_xll.xlqAAII($C$3, $A91&amp;I$2,I$1,$B$1)</f>
        <v>NA</v>
      </c>
      <c r="J91" s="2" t="str">
        <f>_xll.xlqAAII($C$3, $A91&amp;J$2,J$1,$B$1)</f>
        <v>NA</v>
      </c>
    </row>
    <row r="92" spans="1:10" x14ac:dyDescent="0.25">
      <c r="A92" s="14" t="str">
        <f>"PcntRank"&amp;A11</f>
        <v>PcntRankReturnOnEquity</v>
      </c>
      <c r="B92" s="44" t="str">
        <f>_xll.xlqAAIIDescrip($A92&amp;B$2)</f>
        <v>% Rank-Return on Equity</v>
      </c>
      <c r="C92" s="2">
        <f>_xll.xlqAAII($C$3, $A92&amp;C$2,,$B$1)</f>
        <v>88</v>
      </c>
      <c r="D92" s="2">
        <f>_xll.xlqAAII($C$3, $A92&amp;D$2,D$1,$B$1)</f>
        <v>76</v>
      </c>
      <c r="E92" s="2">
        <f>_xll.xlqAAII($C$3, $A92&amp;E$2,E$1,$B$1)</f>
        <v>83</v>
      </c>
      <c r="F92" s="2">
        <f>_xll.xlqAAII($C$3, $A92&amp;F$2,F$1,$B$1)</f>
        <v>83</v>
      </c>
      <c r="G92" s="2">
        <f>_xll.xlqAAII($C$3, $A92&amp;G$2,G$1,$B$1)</f>
        <v>70</v>
      </c>
      <c r="H92" s="2">
        <f>_xll.xlqAAII($C$3, $A92&amp;H$2,H$1,$B$1)</f>
        <v>82</v>
      </c>
      <c r="I92" s="2" t="str">
        <f>_xll.xlqAAII($C$3, $A92&amp;I$2,I$1,$B$1)</f>
        <v>NA</v>
      </c>
      <c r="J92" s="2" t="str">
        <f>_xll.xlqAAII($C$3, $A92&amp;J$2,J$1,$B$1)</f>
        <v>NA</v>
      </c>
    </row>
    <row r="93" spans="1:10" x14ac:dyDescent="0.25">
      <c r="A93" s="14"/>
      <c r="B93" s="44"/>
    </row>
    <row r="94" spans="1:10" x14ac:dyDescent="0.25">
      <c r="B94" s="44" t="s">
        <v>1061</v>
      </c>
    </row>
    <row r="95" spans="1:10" x14ac:dyDescent="0.25">
      <c r="A95" s="14" t="str">
        <f>"PcntRank"&amp;A14</f>
        <v>PcntRankQuickRatio</v>
      </c>
      <c r="B95" s="44" t="str">
        <f>_xll.xlqAAIIDescrip($A95&amp;B$2)</f>
        <v>% Rank-Quick Ratio</v>
      </c>
      <c r="C95" s="2">
        <f>_xll.xlqAAII($C$3, $A95&amp;C$1,,$B$1)</f>
        <v>79</v>
      </c>
      <c r="D95" s="2">
        <f>_xll.xlqAAII($C$3, $A95&amp;D$2,D$1,$B$1)</f>
        <v>77</v>
      </c>
      <c r="E95" s="2">
        <f>_xll.xlqAAII($C$3, $A95&amp;E$2,E$1,$B$1)</f>
        <v>78</v>
      </c>
      <c r="F95" s="2">
        <f>_xll.xlqAAII($C$3, $A95&amp;F$2,F$1,$B$1)</f>
        <v>73</v>
      </c>
      <c r="G95" s="2">
        <f>_xll.xlqAAII($C$3, $A95&amp;G$2,G$1,$B$1)</f>
        <v>74</v>
      </c>
      <c r="H95" s="2">
        <f>_xll.xlqAAII($C$3, $A95&amp;H$2,H$1,$B$1)</f>
        <v>74</v>
      </c>
      <c r="I95" s="2" t="str">
        <f>_xll.xlqAAII($C$3, $A95&amp;I$2,I$1,$B$1)</f>
        <v>NA</v>
      </c>
      <c r="J95" s="2" t="str">
        <f>_xll.xlqAAII($C$3, $A95&amp;J$2,J$1,$B$1)</f>
        <v>NA</v>
      </c>
    </row>
    <row r="96" spans="1:10" x14ac:dyDescent="0.25">
      <c r="A96" s="14" t="str">
        <f>"PcntRank"&amp;A15</f>
        <v>PcntRankCurrentRatio</v>
      </c>
      <c r="B96" s="44" t="str">
        <f>_xll.xlqAAIIDescrip($A96&amp;B$2)</f>
        <v>% Rank-Current Ratio</v>
      </c>
      <c r="C96" s="2">
        <f>_xll.xlqAAII($C$3, $A96&amp;C$1,,$B$1)</f>
        <v>75</v>
      </c>
      <c r="D96" s="2">
        <f>_xll.xlqAAII($C$3, $A96&amp;D$2,D$1,$B$1)</f>
        <v>72</v>
      </c>
      <c r="E96" s="2">
        <f>_xll.xlqAAII($C$3, $A96&amp;E$2,E$1,$B$1)</f>
        <v>73</v>
      </c>
      <c r="F96" s="2">
        <f>_xll.xlqAAII($C$3, $A96&amp;F$2,F$1,$B$1)</f>
        <v>65</v>
      </c>
      <c r="G96" s="2">
        <f>_xll.xlqAAII($C$3, $A96&amp;G$2,G$1,$B$1)</f>
        <v>65</v>
      </c>
      <c r="H96" s="2">
        <f>_xll.xlqAAII($C$3, $A96&amp;H$2,H$1,$B$1)</f>
        <v>66</v>
      </c>
      <c r="I96" s="2" t="str">
        <f>_xll.xlqAAII($C$3, $A96&amp;I$2,I$1,$B$1)</f>
        <v>NA</v>
      </c>
      <c r="J96" s="2" t="str">
        <f>_xll.xlqAAII($C$3, $A96&amp;J$2,J$1,$B$1)</f>
        <v>NA</v>
      </c>
    </row>
    <row r="97" spans="1:10" x14ac:dyDescent="0.25">
      <c r="A97" s="14" t="str">
        <f>"PcntRank"&amp;A16</f>
        <v>PcntRankPayoutRatio</v>
      </c>
      <c r="B97" s="44" t="str">
        <f>_xll.xlqAAIIDescrip($A97&amp;B$2)</f>
        <v>% Rank-Payout Ratiod</v>
      </c>
      <c r="C97" s="2">
        <f>_xll.xlqAAII($C$3, $A97&amp;C$2,,$B$1)</f>
        <v>71</v>
      </c>
      <c r="D97" s="2">
        <f>_xll.xlqAAII($C$3, $A97&amp;D$2,D$1,$B$1)</f>
        <v>87</v>
      </c>
      <c r="E97" s="2">
        <f>_xll.xlqAAII($C$3, $A97&amp;E$2,E$1,$B$1)</f>
        <v>73</v>
      </c>
      <c r="F97" s="2">
        <f>_xll.xlqAAII($C$3, $A97&amp;F$2,F$1,$B$1)</f>
        <v>77</v>
      </c>
      <c r="G97" s="2">
        <f>_xll.xlqAAII($C$3, $A97&amp;G$2,G$1,$B$1)</f>
        <v>86</v>
      </c>
      <c r="H97" s="2">
        <f>_xll.xlqAAII($C$3, $A97&amp;H$2,H$1,$B$1)</f>
        <v>70</v>
      </c>
      <c r="I97" s="2" t="str">
        <f>_xll.xlqAAII($C$3, $A97&amp;I$2,I$1,$B$1)</f>
        <v>NA</v>
      </c>
      <c r="J97" s="2" t="str">
        <f>_xll.xlqAAII($C$3, $A97&amp;J$2,J$1,$B$1)</f>
        <v>NA</v>
      </c>
    </row>
    <row r="98" spans="1:10" x14ac:dyDescent="0.25">
      <c r="A98" s="14" t="str">
        <f>"PcntRank"&amp;A17</f>
        <v>PcntRankTimesInterestEarned</v>
      </c>
      <c r="B98" s="44" t="str">
        <f>_xll.xlqAAIIDescrip($A98&amp;B$2)</f>
        <v>% Rank-Times Interest Earned</v>
      </c>
      <c r="C98" s="2">
        <f>_xll.xlqAAII($C$3, $A98&amp;C$2,,$B$1)</f>
        <v>91</v>
      </c>
      <c r="D98" s="2">
        <f>_xll.xlqAAII($C$3, $A98&amp;D$2,D$1,$B$1)</f>
        <v>87</v>
      </c>
      <c r="E98" s="2">
        <f>_xll.xlqAAII($C$3, $A98&amp;E$2,E$1,$B$1)</f>
        <v>77</v>
      </c>
      <c r="F98" s="2">
        <f>_xll.xlqAAII($C$3, $A98&amp;F$2,F$1,$B$1)</f>
        <v>83</v>
      </c>
      <c r="G98" s="2">
        <f>_xll.xlqAAII($C$3, $A98&amp;G$2,G$1,$B$1)</f>
        <v>90</v>
      </c>
      <c r="H98" s="2">
        <f>_xll.xlqAAII($C$3, $A98&amp;H$2,H$1,$B$1)</f>
        <v>93</v>
      </c>
      <c r="I98" s="2" t="str">
        <f>_xll.xlqAAII($C$3, $A98&amp;I$2,I$1,$B$1)</f>
        <v>NA</v>
      </c>
      <c r="J98" s="2" t="str">
        <f>_xll.xlqAAII($C$3, $A98&amp;J$2,J$1,$B$1)</f>
        <v>NA</v>
      </c>
    </row>
    <row r="99" spans="1:10" x14ac:dyDescent="0.25">
      <c r="A99" s="14"/>
      <c r="B99" s="44"/>
    </row>
    <row r="100" spans="1:10" x14ac:dyDescent="0.25">
      <c r="B100" s="44" t="s">
        <v>1067</v>
      </c>
    </row>
    <row r="101" spans="1:10" x14ac:dyDescent="0.25">
      <c r="A101" s="14" t="str">
        <f>"PcntRank"&amp;A20</f>
        <v>PcntRankTotalLiabilitiesAssets</v>
      </c>
      <c r="B101" s="44" t="str">
        <f>_xll.xlqAAIIDescrip($A101&amp;B$2)</f>
        <v>% Rank-Total Liab/Assets</v>
      </c>
      <c r="C101" s="2">
        <f>_xll.xlqAAII($C$3, $A101&amp;C$1,,$B$1)</f>
        <v>52</v>
      </c>
      <c r="D101" s="2">
        <f>_xll.xlqAAII($C$3, $A101&amp;D$2,D$1,$B$1)</f>
        <v>59</v>
      </c>
      <c r="E101" s="2">
        <f>_xll.xlqAAII($C$3, $A101&amp;E$2,E$1,$B$1)</f>
        <v>55</v>
      </c>
      <c r="F101" s="2">
        <f>_xll.xlqAAII($C$3, $A101&amp;F$2,F$1,$B$1)</f>
        <v>51</v>
      </c>
      <c r="G101" s="2">
        <f>_xll.xlqAAII($C$3, $A101&amp;G$2,G$1,$B$1)</f>
        <v>43</v>
      </c>
      <c r="H101" s="2">
        <f>_xll.xlqAAII($C$3, $A101&amp;H$2,H$1,$B$1)</f>
        <v>37</v>
      </c>
      <c r="I101" s="2" t="str">
        <f>_xll.xlqAAII($C$3, $A101&amp;I$2,I$1,$B$1)</f>
        <v>NA</v>
      </c>
      <c r="J101" s="2" t="str">
        <f>_xll.xlqAAII($C$3, $A101&amp;J$2,J$1,$B$1)</f>
        <v>NA</v>
      </c>
    </row>
    <row r="102" spans="1:10" x14ac:dyDescent="0.25">
      <c r="A102" s="14" t="str">
        <f>"PcntRank"&amp;A21</f>
        <v>PcntRankLTDebtTotalCapital</v>
      </c>
      <c r="B102" s="44" t="str">
        <f>_xll.xlqAAIIDescrip($A102&amp;B$2)</f>
        <v>% Rank-LT Debt/Total Cap</v>
      </c>
      <c r="C102" s="2">
        <f>_xll.xlqAAII($C$3, $A102&amp;C$1,,$B$1)</f>
        <v>69</v>
      </c>
      <c r="D102" s="2">
        <f>_xll.xlqAAII($C$3, $A102&amp;D$2,D$1,$B$1)</f>
        <v>74</v>
      </c>
      <c r="E102" s="2">
        <f>_xll.xlqAAII($C$3, $A102&amp;E$2,E$1,$B$1)</f>
        <v>74</v>
      </c>
      <c r="F102" s="2">
        <f>_xll.xlqAAII($C$3, $A102&amp;F$2,F$1,$B$1)</f>
        <v>63</v>
      </c>
      <c r="G102" s="2">
        <f>_xll.xlqAAII($C$3, $A102&amp;G$2,G$1,$B$1)</f>
        <v>54</v>
      </c>
      <c r="H102" s="2">
        <f>_xll.xlqAAII($C$3, $A102&amp;H$2,H$1,$B$1)</f>
        <v>49</v>
      </c>
      <c r="I102" s="2" t="str">
        <f>_xll.xlqAAII($C$3, $A102&amp;I$2,I$1,$B$1)</f>
        <v>NA</v>
      </c>
      <c r="J102" s="2" t="str">
        <f>_xll.xlqAAII($C$3, $A102&amp;J$2,J$1,$B$1)</f>
        <v>NA</v>
      </c>
    </row>
    <row r="103" spans="1:10" x14ac:dyDescent="0.25">
      <c r="A103" s="14" t="str">
        <f>"PcntRank"&amp;A22</f>
        <v>PcntRankLTDebtEquity</v>
      </c>
      <c r="B103" s="44" t="str">
        <f>_xll.xlqAAIIDescrip($A103&amp;B$2)</f>
        <v>% Rank-LT Debt/Equity</v>
      </c>
      <c r="C103" s="2">
        <f>_xll.xlqAAII($C$3, $A103&amp;C$1,,$B$1)</f>
        <v>72</v>
      </c>
      <c r="D103" s="2">
        <f>_xll.xlqAAII($C$3, $A103&amp;D$2,D$1,$B$1)</f>
        <v>78</v>
      </c>
      <c r="E103" s="2">
        <f>_xll.xlqAAII($C$3, $A103&amp;E$2,E$1,$B$1)</f>
        <v>77</v>
      </c>
      <c r="F103" s="2">
        <f>_xll.xlqAAII($C$3, $A103&amp;F$2,F$1,$B$1)</f>
        <v>66</v>
      </c>
      <c r="G103" s="2">
        <f>_xll.xlqAAII($C$3, $A103&amp;G$2,G$1,$B$1)</f>
        <v>57</v>
      </c>
      <c r="H103" s="2">
        <f>_xll.xlqAAII($C$3, $A103&amp;H$2,H$1,$B$1)</f>
        <v>51</v>
      </c>
      <c r="I103" s="2" t="str">
        <f>_xll.xlqAAII($C$3, $A103&amp;I$2,I$1,$B$1)</f>
        <v>NA</v>
      </c>
      <c r="J103" s="2" t="str">
        <f>_xll.xlqAAII($C$3, $A103&amp;J$2,J$1,$B$1)</f>
        <v>NA</v>
      </c>
    </row>
    <row r="104" spans="1:10" x14ac:dyDescent="0.25">
      <c r="A104" s="14"/>
      <c r="B104" s="44"/>
    </row>
    <row r="105" spans="1:10" x14ac:dyDescent="0.25">
      <c r="B105" s="44" t="s">
        <v>1068</v>
      </c>
    </row>
    <row r="106" spans="1:10" x14ac:dyDescent="0.25">
      <c r="A106" s="14" t="str">
        <f>"PcntRank"&amp;A25</f>
        <v>PcntRankReceivablesTurnover</v>
      </c>
      <c r="B106" s="44" t="str">
        <f>_xll.xlqAAIIDescrip($A106&amp;B$2)</f>
        <v>% Rank-Receivables Turnoverd</v>
      </c>
      <c r="C106" s="2">
        <f>_xll.xlqAAII($C$3, $A106&amp;C$2,,$B$1)</f>
        <v>42</v>
      </c>
      <c r="D106" s="2">
        <f>_xll.xlqAAII($C$3, $A106&amp;D$2,D$1,$B$1)</f>
        <v>25</v>
      </c>
      <c r="E106" s="2">
        <f>_xll.xlqAAII($C$3, $A106&amp;E$2,E$1,$B$1)</f>
        <v>30</v>
      </c>
      <c r="F106" s="2">
        <f>_xll.xlqAAII($C$3, $A106&amp;F$2,F$1,$B$1)</f>
        <v>34</v>
      </c>
      <c r="G106" s="2">
        <f>_xll.xlqAAII($C$3, $A106&amp;G$2,G$1,$B$1)</f>
        <v>34</v>
      </c>
      <c r="H106" s="2">
        <f>_xll.xlqAAII($C$3, $A106&amp;H$2,H$1,$B$1)</f>
        <v>29</v>
      </c>
      <c r="I106" s="2" t="str">
        <f>_xll.xlqAAII($C$3, $A106&amp;I$2,I$1,$B$1)</f>
        <v>NA</v>
      </c>
      <c r="J106" s="2" t="str">
        <f>_xll.xlqAAII($C$3, $A106&amp;J$2,J$1,$B$1)</f>
        <v>NA</v>
      </c>
    </row>
    <row r="107" spans="1:10" x14ac:dyDescent="0.25">
      <c r="A107" s="14" t="str">
        <f>"PcntRank"&amp;A26</f>
        <v>PcntRankInventoryTurnover</v>
      </c>
      <c r="B107" s="44" t="str">
        <f>_xll.xlqAAIIDescrip($A107&amp;B$2)</f>
        <v>% Rank-Inventory Turnover</v>
      </c>
      <c r="C107" s="2">
        <f>_xll.xlqAAII($C$3, $A107&amp;C$2,,$B$1)</f>
        <v>82</v>
      </c>
      <c r="D107" s="2">
        <f>_xll.xlqAAII($C$3, $A107&amp;D$2,D$1,$B$1)</f>
        <v>80</v>
      </c>
      <c r="E107" s="2">
        <f>_xll.xlqAAII($C$3, $A107&amp;E$2,E$1,$B$1)</f>
        <v>79</v>
      </c>
      <c r="F107" s="2">
        <f>_xll.xlqAAII($C$3, $A107&amp;F$2,F$1,$B$1)</f>
        <v>76</v>
      </c>
      <c r="G107" s="2">
        <f>_xll.xlqAAII($C$3, $A107&amp;G$2,G$1,$B$1)</f>
        <v>75</v>
      </c>
      <c r="H107" s="2">
        <f>_xll.xlqAAII($C$3, $A107&amp;H$2,H$1,$B$1)</f>
        <v>73</v>
      </c>
      <c r="I107" s="2" t="str">
        <f>_xll.xlqAAII($C$3, $A107&amp;I$2,I$1,$B$1)</f>
        <v>NA</v>
      </c>
      <c r="J107" s="2" t="str">
        <f>_xll.xlqAAII($C$3, $A107&amp;J$2,J$1,$B$1)</f>
        <v>NA</v>
      </c>
    </row>
    <row r="108" spans="1:10" x14ac:dyDescent="0.25">
      <c r="A108" s="14" t="str">
        <f>"PcntRank"&amp;A27</f>
        <v>PcntRankAssetTurnover</v>
      </c>
      <c r="B108" s="44" t="str">
        <f>_xll.xlqAAIIDescrip($A108&amp;B$2)</f>
        <v>% Rank-Asset Turnover</v>
      </c>
      <c r="C108" s="2">
        <f>_xll.xlqAAII($C$3, $A108&amp;C$2,,$B$1)</f>
        <v>44</v>
      </c>
      <c r="D108" s="2">
        <f>_xll.xlqAAII($C$3, $A108&amp;D$2,D$1,$B$1)</f>
        <v>41</v>
      </c>
      <c r="E108" s="2">
        <f>_xll.xlqAAII($C$3, $A108&amp;E$2,E$1,$B$1)</f>
        <v>47</v>
      </c>
      <c r="F108" s="2">
        <f>_xll.xlqAAII($C$3, $A108&amp;F$2,F$1,$B$1)</f>
        <v>51</v>
      </c>
      <c r="G108" s="2">
        <f>_xll.xlqAAII($C$3, $A108&amp;G$2,G$1,$B$1)</f>
        <v>52</v>
      </c>
      <c r="H108" s="2">
        <f>_xll.xlqAAII($C$3, $A108&amp;H$2,H$1,$B$1)</f>
        <v>52</v>
      </c>
      <c r="I108" s="2" t="str">
        <f>_xll.xlqAAII($C$3, $A108&amp;I$2,I$1,$B$1)</f>
        <v>NA</v>
      </c>
      <c r="J108" s="2" t="str">
        <f>_xll.xlqAAII($C$3, $A108&amp;J$2,J$1,$B$1)</f>
        <v>NA</v>
      </c>
    </row>
  </sheetData>
  <phoneticPr fontId="2" type="noConversion"/>
  <pageMargins left="0.75" right="0.75" top="1" bottom="1" header="0.5" footer="0.5"/>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workbookViewId="0">
      <pane xSplit="1" ySplit="5" topLeftCell="B6" activePane="bottomRight" state="frozen"/>
      <selection pane="topRight" activeCell="B1" sqref="B1"/>
      <selection pane="bottomLeft" activeCell="A6" sqref="A6"/>
      <selection pane="bottomRight" activeCell="A32" sqref="A32"/>
    </sheetView>
  </sheetViews>
  <sheetFormatPr defaultRowHeight="15" x14ac:dyDescent="0.25"/>
  <cols>
    <col min="1" max="1" width="27.42578125" style="2" bestFit="1" customWidth="1"/>
    <col min="2" max="2" width="30.7109375" style="1" bestFit="1" customWidth="1"/>
    <col min="3" max="12" width="12" style="2" customWidth="1"/>
    <col min="13" max="16384" width="9.140625" style="2"/>
  </cols>
  <sheetData>
    <row r="1" spans="1:12" x14ac:dyDescent="0.25">
      <c r="A1" s="2" t="s">
        <v>613</v>
      </c>
      <c r="B1" s="1">
        <v>0</v>
      </c>
      <c r="E1" s="2">
        <v>2</v>
      </c>
      <c r="F1" s="2">
        <v>3</v>
      </c>
      <c r="G1" s="2">
        <v>4</v>
      </c>
    </row>
    <row r="2" spans="1:12" s="1" customFormat="1" x14ac:dyDescent="0.25">
      <c r="B2" s="1" t="s">
        <v>1081</v>
      </c>
      <c r="C2" s="1" t="s">
        <v>1081</v>
      </c>
      <c r="D2" s="1" t="s">
        <v>1075</v>
      </c>
      <c r="E2" s="1" t="s">
        <v>1082</v>
      </c>
      <c r="F2" s="1" t="s">
        <v>1083</v>
      </c>
      <c r="G2" s="1" t="s">
        <v>1084</v>
      </c>
    </row>
    <row r="3" spans="1:12" s="1" customFormat="1" x14ac:dyDescent="0.25">
      <c r="B3" s="1" t="s">
        <v>542</v>
      </c>
      <c r="C3" s="17" t="s">
        <v>543</v>
      </c>
      <c r="E3" s="2" t="str">
        <f>_xll.xlqAAII($C$3,"name",,$B$1)</f>
        <v>Microsoft Corporation</v>
      </c>
      <c r="I3" s="1" t="s">
        <v>549</v>
      </c>
      <c r="J3" s="1" t="s">
        <v>559</v>
      </c>
      <c r="K3" s="1" t="s">
        <v>686</v>
      </c>
    </row>
    <row r="4" spans="1:12" s="1" customFormat="1" x14ac:dyDescent="0.25">
      <c r="C4" s="1" t="s">
        <v>71</v>
      </c>
      <c r="D4" s="1" t="s">
        <v>72</v>
      </c>
      <c r="E4" s="1" t="s">
        <v>64</v>
      </c>
      <c r="F4" s="1" t="s">
        <v>65</v>
      </c>
      <c r="G4" s="1" t="s">
        <v>66</v>
      </c>
      <c r="H4" s="1" t="s">
        <v>1230</v>
      </c>
      <c r="I4" s="1" t="s">
        <v>1230</v>
      </c>
      <c r="J4" s="1" t="s">
        <v>1230</v>
      </c>
      <c r="K4" s="1" t="s">
        <v>1230</v>
      </c>
    </row>
    <row r="5" spans="1:12" s="33" customFormat="1" ht="15.75" thickBot="1" x14ac:dyDescent="0.3">
      <c r="C5" s="45">
        <f>_xll.xlqAAII($C$3,"dateLatestQtrlyEPS",,$B$1)+90</f>
        <v>43645</v>
      </c>
      <c r="D5" s="45">
        <f>_xll.xlqAAII($C$3,"dateLatestQtrlyEPS",,$B$1)+180</f>
        <v>43735</v>
      </c>
      <c r="E5" s="45">
        <f>_xll.xlqAAII($C$3,"dateCurrentFiscalYear",,$B$1)</f>
        <v>43646</v>
      </c>
      <c r="F5" s="45">
        <f>_xll.xlqAAII($C$3,"dateCurrentFiscalYear",,$B$1)+360</f>
        <v>44006</v>
      </c>
      <c r="G5" s="45">
        <f>_xll.xlqAAII($C$3,"dateCurrentFiscalYear",,$B$1)+720</f>
        <v>44366</v>
      </c>
      <c r="H5" s="34" t="s">
        <v>1103</v>
      </c>
      <c r="I5" s="34" t="s">
        <v>1103</v>
      </c>
      <c r="J5" s="34" t="s">
        <v>1103</v>
      </c>
      <c r="K5" s="34" t="s">
        <v>1103</v>
      </c>
      <c r="L5" s="34"/>
    </row>
    <row r="6" spans="1:12" x14ac:dyDescent="0.25">
      <c r="A6" s="2" t="s">
        <v>1080</v>
      </c>
      <c r="B6" s="44" t="s">
        <v>1079</v>
      </c>
      <c r="C6" s="2">
        <f>_xll.xlqAAII($C$3, $A6&amp;C$2,,$B$1)</f>
        <v>1.21</v>
      </c>
      <c r="D6" s="2">
        <f>_xll.xlqAAII($C$3, $A6&amp;D$2,D$1,$B$1)</f>
        <v>1.1890000000000001</v>
      </c>
      <c r="E6" s="2">
        <f>_xll.xlqAAII($C$3, $A6&amp;E$2,E$1,$B$1)</f>
        <v>4.5890000000000004</v>
      </c>
      <c r="F6" s="2">
        <f>_xll.xlqAAII($C$3, $A6&amp;F$2,F$1,$B$1)</f>
        <v>5.1120000000000001</v>
      </c>
      <c r="G6" s="2">
        <f>_xll.xlqAAII($C$3, $A6&amp;G$2,G$1,$B$1)</f>
        <v>5.8819999999999997</v>
      </c>
      <c r="H6" s="2">
        <f>_xll.xlqAAII($C$3, "EPSGrowthEst",,$B$1)</f>
        <v>14.8</v>
      </c>
      <c r="I6" s="2">
        <f>_xll.xlqAAII($C$3, "IndustryEpsGrowthEst",,$B$1)</f>
        <v>15.1</v>
      </c>
      <c r="J6" s="2">
        <f>_xll.xlqAAII($C$3, "SectorEpsGrowthEst",,$B$1)</f>
        <v>14.2</v>
      </c>
      <c r="K6" s="2">
        <f>_xll.xlqAAII($C$3, "PcntRankEpsGrowthEst",,$B$1)</f>
        <v>69</v>
      </c>
    </row>
    <row r="7" spans="1:12" x14ac:dyDescent="0.25">
      <c r="A7" s="14" t="s">
        <v>1085</v>
      </c>
      <c r="B7" s="44" t="s">
        <v>1090</v>
      </c>
      <c r="C7" s="2">
        <f>_xll.xlqAAII($C$3, $A7&amp;C$2,,$B$1)</f>
        <v>1.29</v>
      </c>
      <c r="D7" s="2">
        <f>_xll.xlqAAII($C$3, $A7&amp;D$2,D$1,$B$1)</f>
        <v>1.3</v>
      </c>
      <c r="E7" s="2">
        <f>_xll.xlqAAII($C$3, $A7&amp;E$2,E$1,$B$1)</f>
        <v>4.66</v>
      </c>
      <c r="F7" s="2">
        <f>_xll.xlqAAII($C$3, $A7&amp;F$2,F$1,$B$1)</f>
        <v>5.62</v>
      </c>
      <c r="G7" s="2">
        <f>_xll.xlqAAII($C$3, $A7&amp;G$2,G$1,$B$1)</f>
        <v>6.97</v>
      </c>
      <c r="H7" s="2">
        <f>_xll.xlqAAII($C$3, "EPSGrowthEstHigh",,$B$1)</f>
        <v>17.100000000000001</v>
      </c>
      <c r="I7" s="2">
        <f>_xll.xlqAAII($C$3, "IndustryEpsGrowthEstHigh",,$B$1)</f>
        <v>19.2</v>
      </c>
      <c r="J7" s="2">
        <f>_xll.xlqAAII($C$3, "SectorEpsGrowthEstHigh",,$B$1)</f>
        <v>15</v>
      </c>
    </row>
    <row r="8" spans="1:12" x14ac:dyDescent="0.25">
      <c r="A8" s="14" t="s">
        <v>1086</v>
      </c>
      <c r="B8" s="44" t="s">
        <v>1091</v>
      </c>
      <c r="C8" s="2">
        <f>_xll.xlqAAII($C$3, $A8&amp;C$2,,$B$1)</f>
        <v>1.17</v>
      </c>
      <c r="D8" s="2">
        <f>_xll.xlqAAII($C$3, $A8&amp;D$2,D$1,$B$1)</f>
        <v>1.119</v>
      </c>
      <c r="E8" s="2">
        <f>_xll.xlqAAII($C$3, $A8&amp;E$2,E$1,$B$1)</f>
        <v>4.5579999999999998</v>
      </c>
      <c r="F8" s="2">
        <f>_xll.xlqAAII($C$3, $A8&amp;F$2,F$1,$B$1)</f>
        <v>4.92</v>
      </c>
      <c r="G8" s="2">
        <f>_xll.xlqAAII($C$3, $A8&amp;G$2,G$1,$B$1)</f>
        <v>5.49</v>
      </c>
      <c r="H8" s="2">
        <f>_xll.xlqAAII($C$3, "EPSGrowthEstLow",,$B$1)</f>
        <v>12.3</v>
      </c>
      <c r="I8" s="2">
        <f>_xll.xlqAAII($C$3, "IndustryEpsGrowthEstLow",,$B$1)</f>
        <v>14.7</v>
      </c>
      <c r="J8" s="2">
        <f>_xll.xlqAAII($C$3, "SectorEpsGrowthEstLow",,$B$1)</f>
        <v>12</v>
      </c>
    </row>
    <row r="9" spans="1:12" x14ac:dyDescent="0.25">
      <c r="A9" s="14" t="s">
        <v>1087</v>
      </c>
      <c r="B9" s="44" t="s">
        <v>1092</v>
      </c>
      <c r="C9" s="2">
        <f>_xll.xlqAAII($C$3, $A9&amp;C$2,,$B$1)</f>
        <v>2.4E-2</v>
      </c>
      <c r="D9" s="2">
        <f>_xll.xlqAAII($C$3, $A9&amp;D$2,D$1,$B$1)</f>
        <v>3.7999999999999999E-2</v>
      </c>
      <c r="E9" s="2">
        <f>_xll.xlqAAII($C$3, $A9&amp;E$2,E$1,$B$1)</f>
        <v>2.3E-2</v>
      </c>
      <c r="F9" s="2">
        <f>_xll.xlqAAII($C$3, $A9&amp;F$2,F$1,$B$1)</f>
        <v>0.14000000000000001</v>
      </c>
      <c r="G9" s="2">
        <f>_xll.xlqAAII($C$3, $A9&amp;G$2,G$1,$B$1)</f>
        <v>0.33300000000000002</v>
      </c>
      <c r="H9" s="2">
        <f>_xll.xlqAAII($C$3, "EPSGrowthEstStdDev",,$B$1)</f>
        <v>2.1589999999999998</v>
      </c>
    </row>
    <row r="10" spans="1:12" x14ac:dyDescent="0.25">
      <c r="A10" s="14" t="s">
        <v>1088</v>
      </c>
      <c r="B10" s="44" t="s">
        <v>1093</v>
      </c>
      <c r="C10" s="2">
        <f>_xll.xlqAAII($C$3, $A10&amp;C$2,,$B$1)</f>
        <v>29</v>
      </c>
      <c r="D10" s="2">
        <f>_xll.xlqAAII($C$3, $A10&amp;D$2,D$1,$B$1)</f>
        <v>26</v>
      </c>
      <c r="E10" s="2">
        <f>_xll.xlqAAII($C$3, $A10&amp;E$2,E$1,$B$1)</f>
        <v>26</v>
      </c>
      <c r="F10" s="2">
        <f>_xll.xlqAAII($C$3, $A10&amp;F$2,F$1,$B$1)</f>
        <v>33</v>
      </c>
      <c r="G10" s="2">
        <f>_xll.xlqAAII($C$3, $A10&amp;G$2,G$1,$B$1)</f>
        <v>23</v>
      </c>
      <c r="H10" s="2">
        <f>_xll.xlqAAII($C$3, "EPSGrowthEstNumber",,$B$1)</f>
        <v>4</v>
      </c>
    </row>
    <row r="11" spans="1:12" x14ac:dyDescent="0.25">
      <c r="A11" s="14"/>
      <c r="B11" s="44"/>
    </row>
    <row r="12" spans="1:12" x14ac:dyDescent="0.25">
      <c r="A12" s="14"/>
      <c r="B12" s="44"/>
    </row>
    <row r="13" spans="1:12" x14ac:dyDescent="0.25">
      <c r="B13" s="44"/>
    </row>
    <row r="14" spans="1:12" x14ac:dyDescent="0.25">
      <c r="A14" s="14" t="s">
        <v>1089</v>
      </c>
      <c r="B14" s="44" t="s">
        <v>1097</v>
      </c>
      <c r="C14" s="2" t="str">
        <f>_xll.xlqAAII($C$3, $A14&amp;C$2,,$B$1)</f>
        <v>NA</v>
      </c>
      <c r="D14" s="2" t="str">
        <f>_xll.xlqAAII($C$3, $A14&amp;D$2,,$B$1)</f>
        <v>NA</v>
      </c>
      <c r="E14" s="2" t="str">
        <f>_xll.xlqAAII($C$3, $A14&amp;E$2,,$B$1)</f>
        <v>NA</v>
      </c>
      <c r="F14" s="2" t="str">
        <f>_xll.xlqAAII($C$3, $A14&amp;F$2,,$B$1)</f>
        <v>NA</v>
      </c>
      <c r="G14" s="2" t="str">
        <f>_xll.xlqAAII($C$3, $A14&amp;G$2,,$B$1)</f>
        <v>NA</v>
      </c>
    </row>
    <row r="15" spans="1:12" x14ac:dyDescent="0.25">
      <c r="A15" s="14" t="s">
        <v>1094</v>
      </c>
      <c r="B15" s="44" t="s">
        <v>1098</v>
      </c>
      <c r="C15" s="2">
        <f>_xll.xlqAAII($C$3, $A15&amp;C$2,,$B$1)</f>
        <v>1.2110000000000001</v>
      </c>
      <c r="D15" s="2">
        <f>_xll.xlqAAII($C$3, $A15&amp;D$2,,$B$1)</f>
        <v>1.196</v>
      </c>
      <c r="E15" s="2">
        <f>_xll.xlqAAII($C$3, $A15&amp;E$2,,$B$1)</f>
        <v>4.5880000000000001</v>
      </c>
      <c r="F15" s="2">
        <f>_xll.xlqAAII($C$3, $A15&amp;F$2,,$B$1)</f>
        <v>5.1109999999999998</v>
      </c>
      <c r="G15" s="2">
        <f>_xll.xlqAAII($C$3, $A15&amp;G$2,,$B$1)</f>
        <v>5.8920000000000003</v>
      </c>
      <c r="H15" s="2">
        <f>_xll.xlqAAII($C$3, "EPSGrowthEstLastMonth",,$B$1)</f>
        <v>14.8</v>
      </c>
      <c r="I15" s="2">
        <f>_xll.xlqAAII($C$3, "IndustryEpsGrowthEstLastMonth",,$B$1)</f>
        <v>15.1</v>
      </c>
      <c r="J15" s="2">
        <f>_xll.xlqAAII($C$3, "SectorEpsGrowthEstLastMonth",,$B$1)</f>
        <v>14.5</v>
      </c>
    </row>
    <row r="16" spans="1:12" x14ac:dyDescent="0.25">
      <c r="A16" s="14" t="s">
        <v>1101</v>
      </c>
      <c r="B16" s="44" t="s">
        <v>1102</v>
      </c>
      <c r="C16" s="2">
        <f>_xll.xlqAAII($C$3, $A16&amp;C$2,,$B$1)</f>
        <v>-0.1</v>
      </c>
      <c r="D16" s="2">
        <f>_xll.xlqAAII($C$3, $A16&amp;D$2,,$B$1)</f>
        <v>-0.6</v>
      </c>
      <c r="E16" s="2">
        <f>_xll.xlqAAII($C$3, $A16&amp;E$2,,$B$1)</f>
        <v>0</v>
      </c>
      <c r="F16" s="2">
        <f>_xll.xlqAAII($C$3, $A16&amp;F$2,,$B$1)</f>
        <v>0</v>
      </c>
      <c r="G16" s="2">
        <f>_xll.xlqAAII($C$3, $A16&amp;G$2,,$B$1)</f>
        <v>-0.2</v>
      </c>
    </row>
    <row r="17" spans="1:8" x14ac:dyDescent="0.25">
      <c r="A17" s="14" t="s">
        <v>1095</v>
      </c>
      <c r="B17" s="44" t="s">
        <v>1099</v>
      </c>
      <c r="C17" s="2">
        <f>_xll.xlqAAII($C$3, $A17&amp;C$2,,$B$1)</f>
        <v>0</v>
      </c>
      <c r="D17" s="2">
        <f>_xll.xlqAAII($C$3, $A17&amp;D$2,,$B$1)</f>
        <v>0</v>
      </c>
      <c r="E17" s="2">
        <f>_xll.xlqAAII($C$3, $A17&amp;E$2,,$B$1)</f>
        <v>1</v>
      </c>
      <c r="F17" s="2">
        <f>_xll.xlqAAII($C$3, $A17&amp;F$2,,$B$1)</f>
        <v>2</v>
      </c>
      <c r="G17" s="2">
        <f>_xll.xlqAAII($C$3, $A17&amp;G$2,,$B$1)</f>
        <v>1</v>
      </c>
      <c r="H17" s="2">
        <f>_xll.xlqAAII($C$3, "EPSGrowthEstRevisionsUp",,$B$1)</f>
        <v>0</v>
      </c>
    </row>
    <row r="18" spans="1:8" x14ac:dyDescent="0.25">
      <c r="A18" s="14" t="s">
        <v>1096</v>
      </c>
      <c r="B18" s="44" t="s">
        <v>1100</v>
      </c>
      <c r="C18" s="2">
        <f>_xll.xlqAAII($C$3, $A18&amp;C$2,,$B$1)</f>
        <v>2</v>
      </c>
      <c r="D18" s="2">
        <f>_xll.xlqAAII($C$3, $A18&amp;D$2,,$B$1)</f>
        <v>1</v>
      </c>
      <c r="E18" s="2">
        <f>_xll.xlqAAII($C$3, $A18&amp;E$2,,$B$1)</f>
        <v>1</v>
      </c>
      <c r="F18" s="2">
        <f>_xll.xlqAAII($C$3, $A18&amp;F$2,,$B$1)</f>
        <v>1</v>
      </c>
      <c r="G18" s="2">
        <f>_xll.xlqAAII($C$3, $A18&amp;G$2,,$B$1)</f>
        <v>0</v>
      </c>
      <c r="H18" s="2">
        <f>_xll.xlqAAII($C$3, "EPSGrowthEstRevisionsDown",,$B$1)</f>
        <v>0</v>
      </c>
    </row>
    <row r="22" spans="1:8" x14ac:dyDescent="0.25">
      <c r="B22" s="1" t="s">
        <v>1104</v>
      </c>
    </row>
    <row r="23" spans="1:8" x14ac:dyDescent="0.25">
      <c r="A23" s="2" t="s">
        <v>1172</v>
      </c>
      <c r="B23" s="1" t="s">
        <v>854</v>
      </c>
      <c r="C23" s="20">
        <f>_xll.xlqAAII($C$3, $A23,,$B$1)</f>
        <v>43579</v>
      </c>
    </row>
    <row r="24" spans="1:8" x14ac:dyDescent="0.25">
      <c r="A24" s="2" t="s">
        <v>1173</v>
      </c>
      <c r="B24" s="1" t="s">
        <v>1105</v>
      </c>
      <c r="C24" s="2">
        <f>_xll.xlqAAII($C$3, $A24,,$B$1)</f>
        <v>0.999</v>
      </c>
    </row>
    <row r="25" spans="1:8" x14ac:dyDescent="0.25">
      <c r="A25" s="2" t="s">
        <v>1171</v>
      </c>
      <c r="B25" s="1" t="s">
        <v>1106</v>
      </c>
      <c r="C25" s="2">
        <f>_xll.xlqAAII($C$3, $A25,,$B$1)</f>
        <v>1.1399999999999999</v>
      </c>
    </row>
    <row r="26" spans="1:8" x14ac:dyDescent="0.25">
      <c r="A26" s="2" t="s">
        <v>1174</v>
      </c>
      <c r="B26" s="1" t="s">
        <v>1107</v>
      </c>
      <c r="C26" s="2">
        <f>_xll.xlqAAII($C$3, $A26,,$B$1)</f>
        <v>0.14099999999999999</v>
      </c>
    </row>
    <row r="27" spans="1:8" x14ac:dyDescent="0.25">
      <c r="A27" s="2" t="s">
        <v>1175</v>
      </c>
      <c r="B27" s="1" t="s">
        <v>1108</v>
      </c>
      <c r="C27" s="2">
        <f>_xll.xlqAAII($C$3, $A27,,$B$1)</f>
        <v>14.1</v>
      </c>
    </row>
    <row r="28" spans="1:8" x14ac:dyDescent="0.25">
      <c r="A28" s="2" t="s">
        <v>1176</v>
      </c>
      <c r="B28" s="1" t="s">
        <v>1109</v>
      </c>
      <c r="C28" s="2">
        <f>_xll.xlqAAII($C$3, $A28,,$B$1)</f>
        <v>1.6E-2</v>
      </c>
    </row>
    <row r="29" spans="1:8" x14ac:dyDescent="0.25">
      <c r="A29" s="2" t="s">
        <v>1177</v>
      </c>
      <c r="B29" s="1" t="s">
        <v>1110</v>
      </c>
      <c r="C29" s="2">
        <f>_xll.xlqAAII($C$3, $A29,,$B$1)</f>
        <v>8.8000000000000007</v>
      </c>
    </row>
    <row r="32" spans="1:8" x14ac:dyDescent="0.25">
      <c r="A32" s="2" t="s">
        <v>1178</v>
      </c>
      <c r="B32" s="1" t="str">
        <f>_xll.xlqAAIIDescrip(A32)</f>
        <v>EPS Growth-Hist Y1 to Est Y0</v>
      </c>
      <c r="C32" s="2">
        <f>_xll.xlqAAII($C$3, $A32,,$B$1)</f>
        <v>18.3</v>
      </c>
    </row>
    <row r="33" spans="1:3" x14ac:dyDescent="0.25">
      <c r="A33" s="2" t="s">
        <v>1179</v>
      </c>
      <c r="B33" s="1" t="str">
        <f>_xll.xlqAAIIDescrip(A33)</f>
        <v>EPS Growth-Est Y0 to Est Y1</v>
      </c>
      <c r="C33" s="2">
        <f>_xll.xlqAAII($C$3, $A33,,$B$1)</f>
        <v>11.4</v>
      </c>
    </row>
    <row r="34" spans="1:3" x14ac:dyDescent="0.25">
      <c r="A34" s="2" t="s">
        <v>1180</v>
      </c>
      <c r="B34" s="1" t="str">
        <f>_xll.xlqAAIIDescrip(A34)</f>
        <v>EPS Growth-Est Y1 to Est Y2</v>
      </c>
      <c r="C34" s="2">
        <f>_xll.xlqAAII($C$3, $A34,,$B$1)</f>
        <v>15.1</v>
      </c>
    </row>
  </sheetData>
  <phoneticPr fontId="2" type="noConversion"/>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selection activeCell="C9" sqref="C9"/>
    </sheetView>
  </sheetViews>
  <sheetFormatPr defaultRowHeight="15" x14ac:dyDescent="0.25"/>
  <cols>
    <col min="1" max="1" width="26.7109375" style="2" bestFit="1" customWidth="1"/>
    <col min="2" max="2" width="30.7109375" style="1" bestFit="1" customWidth="1"/>
    <col min="3" max="3" width="12" style="2" customWidth="1"/>
    <col min="4" max="16384" width="9.140625" style="2"/>
  </cols>
  <sheetData>
    <row r="1" spans="1:5" x14ac:dyDescent="0.25">
      <c r="A1" s="2" t="s">
        <v>613</v>
      </c>
      <c r="B1" s="1">
        <v>0</v>
      </c>
    </row>
    <row r="2" spans="1:5" x14ac:dyDescent="0.25">
      <c r="C2" s="1"/>
    </row>
    <row r="3" spans="1:5" x14ac:dyDescent="0.25">
      <c r="B3" s="1" t="s">
        <v>542</v>
      </c>
      <c r="C3" s="17" t="s">
        <v>543</v>
      </c>
      <c r="E3" s="2" t="str">
        <f>_xll.xlqAAII($C$3,"name",,$B$1)</f>
        <v>Microsoft Corporation</v>
      </c>
    </row>
    <row r="4" spans="1:5" x14ac:dyDescent="0.25">
      <c r="C4" s="1"/>
    </row>
    <row r="5" spans="1:5" s="46" customFormat="1" ht="15.75" thickBot="1" x14ac:dyDescent="0.3">
      <c r="B5" s="33"/>
      <c r="C5" s="45"/>
    </row>
    <row r="6" spans="1:5" x14ac:dyDescent="0.25">
      <c r="A6" s="2" t="s">
        <v>1197</v>
      </c>
      <c r="B6" s="44" t="str">
        <f>_xll.xlqAAIIDescrip(A6)</f>
        <v>Valuation-P/SPS</v>
      </c>
      <c r="C6" s="2">
        <f>_xll.xlqAAII($C$3, $A6,,$B$1)</f>
        <v>148.9</v>
      </c>
    </row>
    <row r="7" spans="1:5" x14ac:dyDescent="0.25">
      <c r="A7" s="2" t="s">
        <v>1181</v>
      </c>
      <c r="B7" s="44" t="str">
        <f>_xll.xlqAAIIDescrip(A7)</f>
        <v>Valuation-PE</v>
      </c>
      <c r="C7" s="2">
        <f>_xll.xlqAAII($C$3, $A7,,$B$1)</f>
        <v>135.51</v>
      </c>
    </row>
    <row r="8" spans="1:5" x14ac:dyDescent="0.25">
      <c r="A8" s="2" t="s">
        <v>1198</v>
      </c>
      <c r="B8" s="44" t="str">
        <f>_xll.xlqAAIIDescrip(A8)</f>
        <v>Valuation-P/CFPS</v>
      </c>
      <c r="C8" s="2">
        <f>_xll.xlqAAII($C$3, $A8,,$B$1)</f>
        <v>178.35</v>
      </c>
    </row>
    <row r="9" spans="1:5" x14ac:dyDescent="0.25">
      <c r="A9" s="2" t="s">
        <v>1199</v>
      </c>
      <c r="B9" s="44" t="str">
        <f>_xll.xlqAAIIDescrip(A9)</f>
        <v>Valuation-P/FCFPS</v>
      </c>
      <c r="C9" s="2">
        <f>_xll.xlqAAII($C$3, $A9,,$B$1)</f>
        <v>145.01</v>
      </c>
    </row>
    <row r="10" spans="1:5" x14ac:dyDescent="0.25">
      <c r="A10" s="2" t="s">
        <v>1182</v>
      </c>
      <c r="B10" s="44" t="str">
        <f>_xll.xlqAAIIDescrip(A10)</f>
        <v>Valuation-P/Yield</v>
      </c>
      <c r="C10" s="2">
        <f>_xll.xlqAAII($C$3, $A10,,$B$1)</f>
        <v>157.1</v>
      </c>
    </row>
    <row r="11" spans="1:5" x14ac:dyDescent="0.25">
      <c r="A11" s="2" t="s">
        <v>1200</v>
      </c>
      <c r="B11" s="44" t="str">
        <f>_xll.xlqAAIIDescrip(A11)</f>
        <v>Valuation-P/Avg SPS</v>
      </c>
      <c r="C11" s="2">
        <f>_xll.xlqAAII($C$3, $A11,,$B$1)</f>
        <v>89.18</v>
      </c>
    </row>
    <row r="12" spans="1:5" x14ac:dyDescent="0.25">
      <c r="A12" s="2" t="s">
        <v>1183</v>
      </c>
      <c r="B12" s="44" t="str">
        <f>_xll.xlqAAIIDescrip(A12)</f>
        <v>Valuation-Avg PE</v>
      </c>
      <c r="C12" s="2">
        <f>_xll.xlqAAII($C$3, $A12,,$B$1)</f>
        <v>104.46</v>
      </c>
    </row>
    <row r="13" spans="1:5" x14ac:dyDescent="0.25">
      <c r="A13" s="2" t="s">
        <v>949</v>
      </c>
      <c r="B13" s="44" t="str">
        <f>_xll.xlqAAIIDescrip(A13)</f>
        <v>Valuation-Avg P/CF</v>
      </c>
      <c r="C13" s="2" t="str">
        <f>_xll.xlqAAII($C$3, $A13,,$B$1)</f>
        <v>NA</v>
      </c>
    </row>
    <row r="14" spans="1:5" x14ac:dyDescent="0.25">
      <c r="A14" s="2" t="s">
        <v>1184</v>
      </c>
      <c r="B14" s="44" t="str">
        <f>_xll.xlqAAIIDescrip(A14)</f>
        <v>Valuation-Avg P/FCF</v>
      </c>
      <c r="C14" s="2">
        <f>_xll.xlqAAII($C$3, $A14,,$B$1)</f>
        <v>82.26</v>
      </c>
    </row>
    <row r="15" spans="1:5" x14ac:dyDescent="0.25">
      <c r="A15" s="2" t="s">
        <v>1185</v>
      </c>
      <c r="B15" s="44" t="str">
        <f>_xll.xlqAAIIDescrip(A15)</f>
        <v>Valuation-Avg Yield</v>
      </c>
      <c r="C15" s="2">
        <f>_xll.xlqAAII($C$3, $A15,,$B$1)</f>
        <v>88.79</v>
      </c>
    </row>
    <row r="16" spans="1:5" x14ac:dyDescent="0.25">
      <c r="A16" s="2" t="s">
        <v>1186</v>
      </c>
      <c r="B16" s="44" t="str">
        <f>_xll.xlqAAIIDescrip(A16)</f>
        <v>Valuation-PE &amp; Est</v>
      </c>
      <c r="C16" s="2">
        <f>_xll.xlqAAII($C$3, $A16,,$B$1)</f>
        <v>142.13999999999999</v>
      </c>
    </row>
    <row r="17" spans="1:3" x14ac:dyDescent="0.25">
      <c r="A17" s="2" t="s">
        <v>1187</v>
      </c>
      <c r="B17" s="44" t="str">
        <f>_xll.xlqAAIIDescrip(A17)</f>
        <v>Valuation-PEA &amp; Est</v>
      </c>
      <c r="C17" s="2">
        <f>_xll.xlqAAII($C$3, $A17,,$B$1)</f>
        <v>109.57</v>
      </c>
    </row>
    <row r="18" spans="1:3" x14ac:dyDescent="0.25">
      <c r="A18" s="2" t="s">
        <v>1188</v>
      </c>
      <c r="B18" s="44" t="str">
        <f>_xll.xlqAAIIDescrip(A18)</f>
        <v>Buffett Price Growth-EPS Gr.</v>
      </c>
      <c r="C18" s="2">
        <f>_xll.xlqAAII($C$3, $A18,,$B$1)</f>
        <v>2.9</v>
      </c>
    </row>
    <row r="19" spans="1:3" x14ac:dyDescent="0.25">
      <c r="A19" s="2" t="s">
        <v>1189</v>
      </c>
      <c r="B19" s="44" t="str">
        <f>_xll.xlqAAIIDescrip(A19)</f>
        <v>Buffett Price Growth-Sust. Gr.</v>
      </c>
      <c r="C19" s="2">
        <f>_xll.xlqAAII($C$3, $A19,,$B$1)</f>
        <v>5.2</v>
      </c>
    </row>
    <row r="20" spans="1:3" x14ac:dyDescent="0.25">
      <c r="A20" s="2" t="s">
        <v>1190</v>
      </c>
      <c r="B20" s="44" t="str">
        <f>_xll.xlqAAIIDescrip(A20)</f>
        <v>Inve$tWare EPS Projection</v>
      </c>
      <c r="C20" s="2">
        <f>_xll.xlqAAII($C$3, $A20,,$B$1)</f>
        <v>7.47</v>
      </c>
    </row>
    <row r="21" spans="1:3" x14ac:dyDescent="0.25">
      <c r="A21" s="2" t="s">
        <v>1191</v>
      </c>
      <c r="B21" s="44" t="str">
        <f>_xll.xlqAAIIDescrip(A21)</f>
        <v>Inve$tWare Forecast High Price</v>
      </c>
      <c r="C21" s="2">
        <f>_xll.xlqAAII($C$3, $A21,,$B$1)</f>
        <v>208.21</v>
      </c>
    </row>
    <row r="22" spans="1:3" x14ac:dyDescent="0.25">
      <c r="A22" s="2" t="s">
        <v>1192</v>
      </c>
      <c r="B22" s="44" t="str">
        <f>_xll.xlqAAIIDescrip(A22)</f>
        <v>Inve$tWare Forecast Low Price</v>
      </c>
      <c r="C22" s="2">
        <f>_xll.xlqAAII($C$3, $A22,,$B$1)</f>
        <v>78.17</v>
      </c>
    </row>
    <row r="23" spans="1:3" x14ac:dyDescent="0.25">
      <c r="A23" s="2" t="s">
        <v>1193</v>
      </c>
      <c r="B23" s="44" t="str">
        <f>_xll.xlqAAIIDescrip(A23)</f>
        <v>Inve$tWare Buy Price</v>
      </c>
      <c r="C23" s="2">
        <f>_xll.xlqAAII($C$3, $A23,,$B$1)</f>
        <v>110.68</v>
      </c>
    </row>
    <row r="24" spans="1:3" x14ac:dyDescent="0.25">
      <c r="A24" s="2" t="s">
        <v>1194</v>
      </c>
      <c r="B24" s="44" t="str">
        <f>_xll.xlqAAIIDescrip(A24)</f>
        <v>Inve$tWare % Low to High</v>
      </c>
      <c r="C24" s="2">
        <f>_xll.xlqAAII($C$3, $A24,,$B$1)</f>
        <v>46.7</v>
      </c>
    </row>
    <row r="25" spans="1:3" x14ac:dyDescent="0.25">
      <c r="A25" s="2" t="s">
        <v>1195</v>
      </c>
      <c r="B25" s="44" t="str">
        <f>_xll.xlqAAIIDescrip(A25)</f>
        <v>Inve$tWare Total Return</v>
      </c>
      <c r="C25" s="2">
        <f>_xll.xlqAAII($C$3, $A25,,$B$1)</f>
        <v>10.34</v>
      </c>
    </row>
    <row r="26" spans="1:3" x14ac:dyDescent="0.25">
      <c r="A26" s="16" t="s">
        <v>1196</v>
      </c>
      <c r="B26" s="44" t="str">
        <f>_xll.xlqAAIIDescrip(A26)</f>
        <v>Inve$tWare PAR</v>
      </c>
      <c r="C26" s="2">
        <f>_xll.xlqAAII($C$3, $A26,,$B$1)</f>
        <v>7.04</v>
      </c>
    </row>
    <row r="27" spans="1:3" x14ac:dyDescent="0.25">
      <c r="A27" s="14" t="s">
        <v>9</v>
      </c>
      <c r="B27" s="44" t="str">
        <f>_xll.xlqAAIIDescrip(A27)</f>
        <v>Inve$tWare Relative Value</v>
      </c>
      <c r="C27" s="2">
        <f>_xll.xlqAAII($C$3, $A27,,$B$1)</f>
        <v>130</v>
      </c>
    </row>
    <row r="28" spans="1:3" x14ac:dyDescent="0.25">
      <c r="A28" s="14" t="s">
        <v>10</v>
      </c>
      <c r="B28" s="44" t="str">
        <f>_xll.xlqAAIIDescrip(A28)</f>
        <v>Inve$tWare Est Yield</v>
      </c>
      <c r="C28" s="2">
        <f>_xll.xlqAAII($C$3, $A28,,$B$1)</f>
        <v>1.9</v>
      </c>
    </row>
    <row r="29" spans="1:3" x14ac:dyDescent="0.25">
      <c r="A29" s="14" t="s">
        <v>1583</v>
      </c>
      <c r="B29" s="44" t="str">
        <f>_xll.xlqAAIIDescrip(A29)</f>
        <v>Inve$tWare Sales Gr Benchmark</v>
      </c>
      <c r="C29" s="2">
        <f>_xll.xlqAAII($C$3, $A29,,$B$1)</f>
        <v>7</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C1BA-EE2C-41EE-90AD-D837DA503873}">
  <dimension ref="A1:L86"/>
  <sheetViews>
    <sheetView workbookViewId="0">
      <pane xSplit="1" ySplit="6" topLeftCell="B31" activePane="bottomRight" state="frozen"/>
      <selection pane="topRight" activeCell="B1" sqref="B1"/>
      <selection pane="bottomLeft" activeCell="A7" sqref="A7"/>
      <selection pane="bottomRight" activeCell="B82" sqref="B82"/>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1807</v>
      </c>
      <c r="E3" s="2" t="str">
        <f>_xll.xlqAAII($C$3,"name",,$B$1)</f>
        <v>Dmc Global Inc</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53">
        <f>_xll.xlqAAII($C$3,$A7&amp;C$2&amp;"_x",C$1,$B$1)</f>
        <v>100.1</v>
      </c>
      <c r="D7" s="53">
        <f>_xll.xlqAAII($C$3,$A7&amp;D$2&amp;"_x",D$1,$B$1)</f>
        <v>90.3</v>
      </c>
      <c r="E7" s="53">
        <f>_xll.xlqAAII($C$3,$A7&amp;E$2&amp;"_x",E$1,$B$1)</f>
        <v>87.9</v>
      </c>
      <c r="F7" s="53">
        <f>_xll.xlqAAII($C$3,$A7&amp;F$2&amp;"_x",F$1,$B$1)</f>
        <v>148.19999999999999</v>
      </c>
      <c r="G7" s="53">
        <f>_xll.xlqAAII($C$3,$A7&amp;G$2&amp;"_x",G$1,$B$1)</f>
        <v>67.3</v>
      </c>
      <c r="H7" s="53">
        <f>_xll.xlqAAII($C$3,$A7&amp;H$2&amp;"_x",H$1,$B$1)</f>
        <v>54.5</v>
      </c>
      <c r="I7" s="53">
        <f>_xll.xlqAAII($C$3,$A7&amp;I$2&amp;"_x",I$1,$B$1)</f>
        <v>52.2</v>
      </c>
      <c r="J7" s="53">
        <f>_xll.xlqAAII($C$3,$A7&amp;J$2&amp;"_x",J$1,$B$1)</f>
        <v>86.2</v>
      </c>
      <c r="K7" s="54"/>
      <c r="L7" s="53">
        <f>_xll.xlqAAII($C$3,$A7&amp;"12M",L$1,$B$1)</f>
        <v>359.3</v>
      </c>
    </row>
    <row r="8" spans="1:12" s="36" customFormat="1" x14ac:dyDescent="0.25">
      <c r="A8" s="36" t="s">
        <v>146</v>
      </c>
      <c r="B8" s="37" t="str">
        <f>_xll.xlqAAIIDescrip($A8&amp;B$2&amp;"_x")</f>
        <v>Cost Of Goods Sold</v>
      </c>
      <c r="C8" s="55">
        <f>_xll.xlqAAII($C$3,$A8&amp;C$2&amp;"_x",C$1,$B$1)</f>
        <v>63.7</v>
      </c>
      <c r="D8" s="55">
        <f>_xll.xlqAAII($C$3,$A8&amp;D$2&amp;"_x",D$1,$B$1)</f>
        <v>58.9</v>
      </c>
      <c r="E8" s="55">
        <f>_xll.xlqAAII($C$3,$A8&amp;E$2&amp;"_x",E$1,$B$1)</f>
        <v>58.2</v>
      </c>
      <c r="F8" s="55">
        <f>_xll.xlqAAII($C$3,$A8&amp;F$2&amp;"_x",F$1,$B$1)</f>
        <v>98.7</v>
      </c>
      <c r="G8" s="55">
        <f>_xll.xlqAAII($C$3,$A8&amp;G$2&amp;"_x",G$1,$B$1)</f>
        <v>44.6</v>
      </c>
      <c r="H8" s="55">
        <f>_xll.xlqAAII($C$3,$A8&amp;H$2&amp;"_x",H$1,$B$1)</f>
        <v>36.6</v>
      </c>
      <c r="I8" s="55">
        <f>_xll.xlqAAII($C$3,$A8&amp;I$2&amp;"_x",I$1,$B$1)</f>
        <v>35</v>
      </c>
      <c r="J8" s="55">
        <f>_xll.xlqAAII($C$3,$A8&amp;J$2&amp;"_x",J$1,$B$1)</f>
        <v>61.8</v>
      </c>
      <c r="K8" s="56"/>
      <c r="L8" s="55">
        <f>_xll.xlqAAII($C$3,$A8&amp;"12M",L$1,$B$1)</f>
        <v>234.9</v>
      </c>
    </row>
    <row r="9" spans="1:12" x14ac:dyDescent="0.25">
      <c r="A9" s="2" t="s">
        <v>147</v>
      </c>
      <c r="B9" s="1" t="str">
        <f>_xll.xlqAAIIDescrip($A9&amp;B$2&amp;"_x")</f>
        <v>Gross Income</v>
      </c>
      <c r="C9" s="53">
        <f>_xll.xlqAAII($C$3,$A9&amp;C$2&amp;"_x",C$1,$B$1)</f>
        <v>36.4</v>
      </c>
      <c r="D9" s="53">
        <f>_xll.xlqAAII($C$3,$A9&amp;D$2&amp;"_x",D$1,$B$1)</f>
        <v>31.4</v>
      </c>
      <c r="E9" s="53">
        <f>_xll.xlqAAII($C$3,$A9&amp;E$2&amp;"_x",E$1,$B$1)</f>
        <v>29.7</v>
      </c>
      <c r="F9" s="53">
        <f>_xll.xlqAAII($C$3,$A9&amp;F$2&amp;"_x",F$1,$B$1)</f>
        <v>49.5</v>
      </c>
      <c r="G9" s="53">
        <f>_xll.xlqAAII($C$3,$A9&amp;G$2&amp;"_x",G$1,$B$1)</f>
        <v>22.7</v>
      </c>
      <c r="H9" s="53">
        <f>_xll.xlqAAII($C$3,$A9&amp;H$2&amp;"_x",H$1,$B$1)</f>
        <v>17.899999999999999</v>
      </c>
      <c r="I9" s="53">
        <f>_xll.xlqAAII($C$3,$A9&amp;I$2&amp;"_x",I$1,$B$1)</f>
        <v>17.2</v>
      </c>
      <c r="J9" s="53">
        <f>_xll.xlqAAII($C$3,$A9&amp;J$2&amp;"_x",J$1,$B$1)</f>
        <v>24.4</v>
      </c>
      <c r="K9" s="54"/>
      <c r="L9" s="53">
        <f>_xll.xlqAAII($C$3,$A9&amp;"12M",L$1,$B$1)</f>
        <v>124.3</v>
      </c>
    </row>
    <row r="10" spans="1:12" x14ac:dyDescent="0.25">
      <c r="C10" s="53"/>
      <c r="D10" s="53"/>
      <c r="E10" s="53"/>
      <c r="F10" s="53"/>
      <c r="G10" s="53"/>
      <c r="H10" s="53"/>
      <c r="I10" s="53"/>
      <c r="J10" s="53"/>
      <c r="K10" s="54"/>
      <c r="L10" s="53"/>
    </row>
    <row r="11" spans="1:12" x14ac:dyDescent="0.25">
      <c r="A11" s="2" t="s">
        <v>149</v>
      </c>
      <c r="B11" s="1" t="str">
        <f>_xll.xlqAAIIDescrip($A11&amp;B$2&amp;"_x")</f>
        <v>Research And Development</v>
      </c>
      <c r="C11" s="53" t="str">
        <f>_xll.xlqAAII($C$3,$A11&amp;C$2&amp;"_x",C$1,$B$1)</f>
        <v>NA</v>
      </c>
      <c r="D11" s="53" t="str">
        <f>_xll.xlqAAII($C$3,$A11&amp;D$2&amp;"_x",D$1,$B$1)</f>
        <v>NA</v>
      </c>
      <c r="E11" s="53" t="str">
        <f>_xll.xlqAAII($C$3,$A11&amp;E$2&amp;"_x",E$1,$B$1)</f>
        <v>NA</v>
      </c>
      <c r="F11" s="53" t="str">
        <f>_xll.xlqAAII($C$3,$A11&amp;F$2&amp;"_x",F$1,$B$1)</f>
        <v>NA</v>
      </c>
      <c r="G11" s="53" t="str">
        <f>_xll.xlqAAII($C$3,$A11&amp;G$2&amp;"_x",G$1,$B$1)</f>
        <v>NA</v>
      </c>
      <c r="H11" s="53" t="str">
        <f>_xll.xlqAAII($C$3,$A11&amp;H$2&amp;"_x",H$1,$B$1)</f>
        <v>NA</v>
      </c>
      <c r="I11" s="53" t="str">
        <f>_xll.xlqAAII($C$3,$A11&amp;I$2&amp;"_x",I$1,$B$1)</f>
        <v>NA</v>
      </c>
      <c r="J11" s="53" t="str">
        <f>_xll.xlqAAII($C$3,$A11&amp;J$2&amp;"_x",J$1,$B$1)</f>
        <v>NA</v>
      </c>
      <c r="K11" s="54"/>
      <c r="L11" s="53" t="str">
        <f>_xll.xlqAAII($C$3,$A11&amp;"12M",L$1,$B$1)</f>
        <v>NA</v>
      </c>
    </row>
    <row r="12" spans="1:12" x14ac:dyDescent="0.25">
      <c r="A12" s="2" t="s">
        <v>151</v>
      </c>
      <c r="B12" s="1" t="str">
        <f>_xll.xlqAAIIDescrip($A12&amp;B$2&amp;"_x")</f>
        <v>Unusual Expense/(Income)</v>
      </c>
      <c r="C12" s="53">
        <f>_xll.xlqAAII($C$3,$A12&amp;C$2&amp;"_x",C$1,$B$1)</f>
        <v>0.1</v>
      </c>
      <c r="D12" s="53">
        <f>_xll.xlqAAII($C$3,$A12&amp;D$2&amp;"_x",D$1,$B$1)</f>
        <v>0.6</v>
      </c>
      <c r="E12" s="53">
        <f>_xll.xlqAAII($C$3,$A12&amp;E$2&amp;"_x",E$1,$B$1)</f>
        <v>5.0999999999999996</v>
      </c>
      <c r="F12" s="53">
        <f>_xll.xlqAAII($C$3,$A12&amp;F$2&amp;"_x",F$1,$B$1)</f>
        <v>3.5</v>
      </c>
      <c r="G12" s="53">
        <f>_xll.xlqAAII($C$3,$A12&amp;G$2&amp;"_x",G$1,$B$1)</f>
        <v>3.2</v>
      </c>
      <c r="H12" s="53">
        <f>_xll.xlqAAII($C$3,$A12&amp;H$2&amp;"_x",H$1,$B$1)</f>
        <v>3.8</v>
      </c>
      <c r="I12" s="53">
        <f>_xll.xlqAAII($C$3,$A12&amp;I$2&amp;"_x",I$1,$B$1)</f>
        <v>17.600000000000001</v>
      </c>
      <c r="J12" s="53">
        <f>_xll.xlqAAII($C$3,$A12&amp;J$2&amp;"_x",J$1,$B$1)</f>
        <v>0.5</v>
      </c>
      <c r="K12" s="54"/>
      <c r="L12" s="53" t="str">
        <f>_xll.xlqAAII($C$3,$A12&amp;"12M",L$1,$B$1)</f>
        <v>NA</v>
      </c>
    </row>
    <row r="13" spans="1:12" x14ac:dyDescent="0.25">
      <c r="A13" s="2" t="s">
        <v>152</v>
      </c>
      <c r="B13" s="1" t="str">
        <f>_xll.xlqAAIIDescrip($A13&amp;B$2&amp;"_x")</f>
        <v>Total Operating Expenses</v>
      </c>
      <c r="C13" s="53">
        <f>_xll.xlqAAII($C$3,$A13&amp;C$2&amp;"_x",C$1,$B$1)</f>
        <v>79.7</v>
      </c>
      <c r="D13" s="53">
        <f>_xll.xlqAAII($C$3,$A13&amp;D$2&amp;"_x",D$1,$B$1)</f>
        <v>77.3</v>
      </c>
      <c r="E13" s="53">
        <f>_xll.xlqAAII($C$3,$A13&amp;E$2&amp;"_x",E$1,$B$1)</f>
        <v>79.099999999999994</v>
      </c>
      <c r="F13" s="53">
        <f>_xll.xlqAAII($C$3,$A13&amp;F$2&amp;"_x",F$1,$B$1)</f>
        <v>132.69999999999999</v>
      </c>
      <c r="G13" s="53">
        <f>_xll.xlqAAII($C$3,$A13&amp;G$2&amp;"_x",G$1,$B$1)</f>
        <v>62</v>
      </c>
      <c r="H13" s="53">
        <f>_xll.xlqAAII($C$3,$A13&amp;H$2&amp;"_x",H$1,$B$1)</f>
        <v>54</v>
      </c>
      <c r="I13" s="53">
        <f>_xll.xlqAAII($C$3,$A13&amp;I$2&amp;"_x",I$1,$B$1)</f>
        <v>64.599999999999994</v>
      </c>
      <c r="J13" s="53">
        <f>_xll.xlqAAII($C$3,$A13&amp;J$2&amp;"_x",J$1,$B$1)</f>
        <v>86.5</v>
      </c>
      <c r="K13" s="54"/>
      <c r="L13" s="53" t="str">
        <f>_xll.xlqAAII($C$3,$A13&amp;"12M",L$1,$B$1)</f>
        <v>NA</v>
      </c>
    </row>
    <row r="14" spans="1:12" x14ac:dyDescent="0.25">
      <c r="C14" s="53"/>
      <c r="D14" s="53"/>
      <c r="E14" s="53"/>
      <c r="F14" s="53"/>
      <c r="G14" s="53"/>
      <c r="H14" s="53"/>
      <c r="I14" s="53"/>
      <c r="J14" s="53"/>
      <c r="K14" s="54"/>
      <c r="L14" s="53"/>
    </row>
    <row r="15" spans="1:12" x14ac:dyDescent="0.25">
      <c r="A15" s="2" t="s">
        <v>153</v>
      </c>
      <c r="B15" s="1" t="str">
        <f>_xll.xlqAAIIDescrip($A15&amp;B$2&amp;"_x")</f>
        <v>Gross Operating Income</v>
      </c>
      <c r="C15" s="53">
        <f>_xll.xlqAAII($C$3,$A15&amp;C$2&amp;"_x",C$1,$B$1)</f>
        <v>20.399999999999999</v>
      </c>
      <c r="D15" s="53">
        <f>_xll.xlqAAII($C$3,$A15&amp;D$2&amp;"_x",D$1,$B$1)</f>
        <v>13</v>
      </c>
      <c r="E15" s="53">
        <f>_xll.xlqAAII($C$3,$A15&amp;E$2&amp;"_x",E$1,$B$1)</f>
        <v>8.8000000000000007</v>
      </c>
      <c r="F15" s="53">
        <f>_xll.xlqAAII($C$3,$A15&amp;F$2&amp;"_x",F$1,$B$1)</f>
        <v>15.5</v>
      </c>
      <c r="G15" s="53">
        <f>_xll.xlqAAII($C$3,$A15&amp;G$2&amp;"_x",G$1,$B$1)</f>
        <v>5.3</v>
      </c>
      <c r="H15" s="53">
        <f>_xll.xlqAAII($C$3,$A15&amp;H$2&amp;"_x",H$1,$B$1)</f>
        <v>0.5</v>
      </c>
      <c r="I15" s="53">
        <f>_xll.xlqAAII($C$3,$A15&amp;I$2&amp;"_x",I$1,$B$1)</f>
        <v>-12.4</v>
      </c>
      <c r="J15" s="53">
        <f>_xll.xlqAAII($C$3,$A15&amp;J$2&amp;"_x",J$1,$B$1)</f>
        <v>-0.3</v>
      </c>
      <c r="K15" s="54"/>
      <c r="L15" s="53" t="str">
        <f>_xll.xlqAAII($C$3,$A15&amp;"12M",L$1,$B$1)</f>
        <v>NA</v>
      </c>
    </row>
    <row r="16" spans="1:12" x14ac:dyDescent="0.25">
      <c r="C16" s="53"/>
      <c r="D16" s="53"/>
      <c r="E16" s="53"/>
      <c r="F16" s="53"/>
      <c r="G16" s="53"/>
      <c r="H16" s="53"/>
      <c r="I16" s="53"/>
      <c r="J16" s="53"/>
      <c r="K16" s="54"/>
      <c r="L16" s="53"/>
    </row>
    <row r="17" spans="1:12" x14ac:dyDescent="0.25">
      <c r="A17" s="2" t="s">
        <v>154</v>
      </c>
      <c r="B17" s="1" t="str">
        <f>_xll.xlqAAIIDescrip($A17&amp;B$2&amp;"_x")</f>
        <v>Interest Expense-Non-Op.</v>
      </c>
      <c r="C17" s="53">
        <f>_xll.xlqAAII($C$3,$A17&amp;C$2&amp;"_x",C$1,$B$1)</f>
        <v>0.4</v>
      </c>
      <c r="D17" s="53">
        <f>_xll.xlqAAII($C$3,$A17&amp;D$2&amp;"_x",D$1,$B$1)</f>
        <v>0.5</v>
      </c>
      <c r="E17" s="53">
        <f>_xll.xlqAAII($C$3,$A17&amp;E$2&amp;"_x",E$1,$B$1)</f>
        <v>0.5</v>
      </c>
      <c r="F17" s="53">
        <f>_xll.xlqAAII($C$3,$A17&amp;F$2&amp;"_x",F$1,$B$1)</f>
        <v>0.6</v>
      </c>
      <c r="G17" s="53">
        <f>_xll.xlqAAII($C$3,$A17&amp;G$2&amp;"_x",G$1,$B$1)</f>
        <v>0.5</v>
      </c>
      <c r="H17" s="53">
        <f>_xll.xlqAAII($C$3,$A17&amp;H$2&amp;"_x",H$1,$B$1)</f>
        <v>0.4</v>
      </c>
      <c r="I17" s="53">
        <f>_xll.xlqAAII($C$3,$A17&amp;I$2&amp;"_x",I$1,$B$1)</f>
        <v>0.4</v>
      </c>
      <c r="J17" s="53">
        <f>_xll.xlqAAII($C$3,$A17&amp;J$2&amp;"_x",J$1,$B$1)</f>
        <v>0.8</v>
      </c>
      <c r="K17" s="54"/>
      <c r="L17" s="53" t="str">
        <f>_xll.xlqAAII($C$3,$A17&amp;"12M",L$1,$B$1)</f>
        <v>NA</v>
      </c>
    </row>
    <row r="18" spans="1:12" s="36" customFormat="1" x14ac:dyDescent="0.25">
      <c r="A18" s="36" t="s">
        <v>155</v>
      </c>
      <c r="B18" s="37" t="str">
        <f>_xll.xlqAAIIDescrip($A18&amp;B$2&amp;"_x")</f>
        <v>Other Expense/(Income)</v>
      </c>
      <c r="C18" s="55">
        <f>_xll.xlqAAII($C$3,$A18&amp;C$2&amp;"_x",C$1,$B$1)</f>
        <v>0</v>
      </c>
      <c r="D18" s="55">
        <f>_xll.xlqAAII($C$3,$A18&amp;D$2&amp;"_x",D$1,$B$1)</f>
        <v>0.1</v>
      </c>
      <c r="E18" s="55">
        <f>_xll.xlqAAII($C$3,$A18&amp;E$2&amp;"_x",E$1,$B$1)</f>
        <v>0.4</v>
      </c>
      <c r="F18" s="55">
        <f>_xll.xlqAAII($C$3,$A18&amp;F$2&amp;"_x",F$1,$B$1)</f>
        <v>0.7</v>
      </c>
      <c r="G18" s="55">
        <f>_xll.xlqAAII($C$3,$A18&amp;G$2&amp;"_x",G$1,$B$1)</f>
        <v>0.4</v>
      </c>
      <c r="H18" s="55">
        <f>_xll.xlqAAII($C$3,$A18&amp;H$2&amp;"_x",H$1,$B$1)</f>
        <v>0.4</v>
      </c>
      <c r="I18" s="55">
        <f>_xll.xlqAAII($C$3,$A18&amp;I$2&amp;"_x",I$1,$B$1)</f>
        <v>0.5</v>
      </c>
      <c r="J18" s="55">
        <f>_xll.xlqAAII($C$3,$A18&amp;J$2&amp;"_x",J$1,$B$1)</f>
        <v>0.6</v>
      </c>
      <c r="K18" s="56"/>
      <c r="L18" s="55" t="str">
        <f>_xll.xlqAAII($C$3,$A18&amp;"12M",L$1,$B$1)</f>
        <v>NA</v>
      </c>
    </row>
    <row r="19" spans="1:12" x14ac:dyDescent="0.25">
      <c r="A19" s="2" t="s">
        <v>156</v>
      </c>
      <c r="B19" s="1" t="str">
        <f>_xll.xlqAAIIDescrip($A19&amp;B$2&amp;"_x")</f>
        <v>Pre-Tax Income</v>
      </c>
      <c r="C19" s="53">
        <f>_xll.xlqAAII($C$3,$A19&amp;C$2&amp;"_x",C$1,$B$1)</f>
        <v>20.100000000000001</v>
      </c>
      <c r="D19" s="53">
        <f>_xll.xlqAAII($C$3,$A19&amp;D$2&amp;"_x",D$1,$B$1)</f>
        <v>12.4</v>
      </c>
      <c r="E19" s="53">
        <f>_xll.xlqAAII($C$3,$A19&amp;E$2&amp;"_x",E$1,$B$1)</f>
        <v>8</v>
      </c>
      <c r="F19" s="53">
        <f>_xll.xlqAAII($C$3,$A19&amp;F$2&amp;"_x",F$1,$B$1)</f>
        <v>14.2</v>
      </c>
      <c r="G19" s="53">
        <f>_xll.xlqAAII($C$3,$A19&amp;G$2&amp;"_x",G$1,$B$1)</f>
        <v>4.5</v>
      </c>
      <c r="H19" s="53">
        <f>_xll.xlqAAII($C$3,$A19&amp;H$2&amp;"_x",H$1,$B$1)</f>
        <v>-0.3</v>
      </c>
      <c r="I19" s="53">
        <f>_xll.xlqAAII($C$3,$A19&amp;I$2&amp;"_x",I$1,$B$1)</f>
        <v>-13.3</v>
      </c>
      <c r="J19" s="53">
        <f>_xll.xlqAAII($C$3,$A19&amp;J$2&amp;"_x",J$1,$B$1)</f>
        <v>-1.7</v>
      </c>
      <c r="K19" s="54"/>
      <c r="L19" s="53">
        <f>_xll.xlqAAII($C$3,$A19&amp;"12M",L$1,$B$1)</f>
        <v>50.2</v>
      </c>
    </row>
    <row r="20" spans="1:12" x14ac:dyDescent="0.25">
      <c r="C20" s="53"/>
      <c r="D20" s="53"/>
      <c r="E20" s="53"/>
      <c r="F20" s="53"/>
      <c r="G20" s="53"/>
      <c r="H20" s="53"/>
      <c r="I20" s="53"/>
      <c r="J20" s="53"/>
      <c r="K20" s="54"/>
      <c r="L20" s="53"/>
    </row>
    <row r="21" spans="1:12" s="36" customFormat="1" x14ac:dyDescent="0.25">
      <c r="A21" s="36" t="s">
        <v>157</v>
      </c>
      <c r="B21" s="37" t="str">
        <f>_xll.xlqAAIIDescrip($A21&amp;B$2&amp;"_x")</f>
        <v>Income Tax</v>
      </c>
      <c r="C21" s="55">
        <f>_xll.xlqAAII($C$3,$A21&amp;C$2&amp;"_x",C$1,$B$1)</f>
        <v>4.9000000000000004</v>
      </c>
      <c r="D21" s="55">
        <f>_xll.xlqAAII($C$3,$A21&amp;D$2&amp;"_x",D$1,$B$1)</f>
        <v>-3.8</v>
      </c>
      <c r="E21" s="55">
        <f>_xll.xlqAAII($C$3,$A21&amp;E$2&amp;"_x",E$1,$B$1)</f>
        <v>3.1</v>
      </c>
      <c r="F21" s="55">
        <f>_xll.xlqAAII($C$3,$A21&amp;F$2&amp;"_x",F$1,$B$1)</f>
        <v>4.2</v>
      </c>
      <c r="G21" s="55">
        <f>_xll.xlqAAII($C$3,$A21&amp;G$2&amp;"_x",G$1,$B$1)</f>
        <v>0.8</v>
      </c>
      <c r="H21" s="55">
        <f>_xll.xlqAAII($C$3,$A21&amp;H$2&amp;"_x",H$1,$B$1)</f>
        <v>0.7</v>
      </c>
      <c r="I21" s="55">
        <f>_xll.xlqAAII($C$3,$A21&amp;I$2&amp;"_x",I$1,$B$1)</f>
        <v>0.8</v>
      </c>
      <c r="J21" s="55">
        <f>_xll.xlqAAII($C$3,$A21&amp;J$2&amp;"_x",J$1,$B$1)</f>
        <v>1.1000000000000001</v>
      </c>
      <c r="K21" s="56"/>
      <c r="L21" s="55" t="str">
        <f>_xll.xlqAAII($C$3,$A21&amp;"12M",L$1,$B$1)</f>
        <v>NA</v>
      </c>
    </row>
    <row r="22" spans="1:12" x14ac:dyDescent="0.25">
      <c r="A22" s="2" t="s">
        <v>158</v>
      </c>
      <c r="B22" s="1" t="str">
        <f>_xll.xlqAAIIDescrip($A22&amp;B$2&amp;"_x")</f>
        <v>Income After Taxes</v>
      </c>
      <c r="C22" s="53">
        <f>_xll.xlqAAII($C$3,$A22&amp;C$2&amp;"_x",C$1,$B$1)</f>
        <v>15.2</v>
      </c>
      <c r="D22" s="53">
        <f>_xll.xlqAAII($C$3,$A22&amp;D$2&amp;"_x",D$1,$B$1)</f>
        <v>16.100000000000001</v>
      </c>
      <c r="E22" s="53">
        <f>_xll.xlqAAII($C$3,$A22&amp;E$2&amp;"_x",E$1,$B$1)</f>
        <v>4.9000000000000004</v>
      </c>
      <c r="F22" s="53">
        <f>_xll.xlqAAII($C$3,$A22&amp;F$2&amp;"_x",F$1,$B$1)</f>
        <v>10</v>
      </c>
      <c r="G22" s="53">
        <f>_xll.xlqAAII($C$3,$A22&amp;G$2&amp;"_x",G$1,$B$1)</f>
        <v>3.7</v>
      </c>
      <c r="H22" s="53">
        <f>_xll.xlqAAII($C$3,$A22&amp;H$2&amp;"_x",H$1,$B$1)</f>
        <v>-1</v>
      </c>
      <c r="I22" s="53">
        <f>_xll.xlqAAII($C$3,$A22&amp;I$2&amp;"_x",I$1,$B$1)</f>
        <v>-14.1</v>
      </c>
      <c r="J22" s="53">
        <f>_xll.xlqAAII($C$3,$A22&amp;J$2&amp;"_x",J$1,$B$1)</f>
        <v>-2.8</v>
      </c>
      <c r="K22" s="54"/>
      <c r="L22" s="53">
        <f>_xll.xlqAAII($C$3,$A22&amp;"12M",L$1,$B$1)</f>
        <v>42.6</v>
      </c>
    </row>
    <row r="23" spans="1:12" x14ac:dyDescent="0.25">
      <c r="C23" s="53"/>
      <c r="D23" s="53"/>
      <c r="E23" s="53"/>
      <c r="F23" s="53"/>
      <c r="G23" s="53"/>
      <c r="H23" s="53"/>
      <c r="I23" s="53"/>
      <c r="J23" s="53"/>
      <c r="K23" s="54"/>
      <c r="L23" s="53"/>
    </row>
    <row r="24" spans="1:12" x14ac:dyDescent="0.25">
      <c r="A24" s="2" t="s">
        <v>197</v>
      </c>
      <c r="B24" s="1" t="str">
        <f>_xll.xlqAAIIDescrip($A24&amp;B$2&amp;"_x")</f>
        <v>Adjustments To Income</v>
      </c>
      <c r="C24" s="53">
        <f>_xll.xlqAAII($C$3,$A24&amp;C$2&amp;"_x",C$1,$B$1)</f>
        <v>-0.3</v>
      </c>
      <c r="D24" s="53">
        <f>_xll.xlqAAII($C$3,$A24&amp;D$2&amp;"_x",D$1,$B$1)</f>
        <v>-0.4</v>
      </c>
      <c r="E24" s="53">
        <f>_xll.xlqAAII($C$3,$A24&amp;E$2&amp;"_x",E$1,$B$1)</f>
        <v>-0.1</v>
      </c>
      <c r="F24" s="53">
        <f>_xll.xlqAAII($C$3,$A24&amp;F$2&amp;"_x",F$1,$B$1)</f>
        <v>-0.2</v>
      </c>
      <c r="G24" s="53">
        <f>_xll.xlqAAII($C$3,$A24&amp;G$2&amp;"_x",G$1,$B$1)</f>
        <v>-0.1</v>
      </c>
      <c r="H24" s="53" t="str">
        <f>_xll.xlqAAII($C$3,$A24&amp;H$2&amp;"_x",H$1,$B$1)</f>
        <v>NA</v>
      </c>
      <c r="I24" s="53" t="str">
        <f>_xll.xlqAAII($C$3,$A24&amp;I$2&amp;"_x",I$1,$B$1)</f>
        <v>NA</v>
      </c>
      <c r="J24" s="53" t="str">
        <f>_xll.xlqAAII($C$3,$A24&amp;J$2&amp;"_x",J$1,$B$1)</f>
        <v>NA</v>
      </c>
      <c r="K24" s="54"/>
      <c r="L24" s="53" t="str">
        <f>_xll.xlqAAII($C$3,$A24&amp;"12M",L$1,$B$1)</f>
        <v>NA</v>
      </c>
    </row>
    <row r="25" spans="1:12" x14ac:dyDescent="0.25">
      <c r="A25" s="2" t="s">
        <v>159</v>
      </c>
      <c r="B25" s="1" t="str">
        <f>_xll.xlqAAIIDescrip($A25&amp;B$2&amp;"_x")</f>
        <v>Income For Primary EPS</v>
      </c>
      <c r="C25" s="53">
        <f>_xll.xlqAAII($C$3,$A25&amp;C$2&amp;"_x",C$1,$B$1)</f>
        <v>14.9</v>
      </c>
      <c r="D25" s="53">
        <f>_xll.xlqAAII($C$3,$A25&amp;D$2&amp;"_x",D$1,$B$1)</f>
        <v>15.8</v>
      </c>
      <c r="E25" s="53">
        <f>_xll.xlqAAII($C$3,$A25&amp;E$2&amp;"_x",E$1,$B$1)</f>
        <v>4.8</v>
      </c>
      <c r="F25" s="53">
        <f>_xll.xlqAAII($C$3,$A25&amp;F$2&amp;"_x",F$1,$B$1)</f>
        <v>9.8000000000000007</v>
      </c>
      <c r="G25" s="53">
        <f>_xll.xlqAAII($C$3,$A25&amp;G$2&amp;"_x",G$1,$B$1)</f>
        <v>3.6</v>
      </c>
      <c r="H25" s="53">
        <f>_xll.xlqAAII($C$3,$A25&amp;H$2&amp;"_x",H$1,$B$1)</f>
        <v>-1</v>
      </c>
      <c r="I25" s="53">
        <f>_xll.xlqAAII($C$3,$A25&amp;I$2&amp;"_x",I$1,$B$1)</f>
        <v>-14.1</v>
      </c>
      <c r="J25" s="53">
        <f>_xll.xlqAAII($C$3,$A25&amp;J$2&amp;"_x",J$1,$B$1)</f>
        <v>-2.8</v>
      </c>
      <c r="K25" s="54"/>
      <c r="L25" s="53">
        <f>_xll.xlqAAII($C$3,$A25&amp;"12M",L$1,$B$1)</f>
        <v>41.7</v>
      </c>
    </row>
    <row r="26" spans="1:12" s="36" customFormat="1" x14ac:dyDescent="0.25">
      <c r="A26" s="36" t="s">
        <v>160</v>
      </c>
      <c r="B26" s="37" t="str">
        <f>_xll.xlqAAIIDescrip($A26&amp;B$2&amp;"_x")</f>
        <v>Nonrecurring Items</v>
      </c>
      <c r="C26" s="55" t="str">
        <f>_xll.xlqAAII($C$3,$A26&amp;C$2&amp;"_x",C$1,$B$1)</f>
        <v>NA</v>
      </c>
      <c r="D26" s="55">
        <f>_xll.xlqAAII($C$3,$A26&amp;D$2&amp;"_x",D$1,$B$1)</f>
        <v>-0.9</v>
      </c>
      <c r="E26" s="55" t="str">
        <f>_xll.xlqAAII($C$3,$A26&amp;E$2&amp;"_x",E$1,$B$1)</f>
        <v>NA</v>
      </c>
      <c r="F26" s="55">
        <f>_xll.xlqAAII($C$3,$A26&amp;F$2&amp;"_x",F$1,$B$1)</f>
        <v>0.3</v>
      </c>
      <c r="G26" s="55">
        <f>_xll.xlqAAII($C$3,$A26&amp;G$2&amp;"_x",G$1,$B$1)</f>
        <v>0.3</v>
      </c>
      <c r="H26" s="55">
        <f>_xll.xlqAAII($C$3,$A26&amp;H$2&amp;"_x",H$1,$B$1)</f>
        <v>-0.9</v>
      </c>
      <c r="I26" s="55" t="str">
        <f>_xll.xlqAAII($C$3,$A26&amp;I$2&amp;"_x",I$1,$B$1)</f>
        <v>NA</v>
      </c>
      <c r="J26" s="55" t="str">
        <f>_xll.xlqAAII($C$3,$A26&amp;J$2&amp;"_x",J$1,$B$1)</f>
        <v>NA</v>
      </c>
      <c r="K26" s="56"/>
      <c r="L26" s="55" t="str">
        <f>_xll.xlqAAII($C$3,$A26&amp;"12M",L$1,$B$1)</f>
        <v>NA</v>
      </c>
    </row>
    <row r="27" spans="1:12" x14ac:dyDescent="0.25">
      <c r="A27" s="2" t="s">
        <v>161</v>
      </c>
      <c r="B27" s="1" t="str">
        <f>_xll.xlqAAIIDescrip($A27&amp;B$2&amp;"_x")</f>
        <v>Net Income</v>
      </c>
      <c r="C27" s="57">
        <f>_xll.xlqAAII($C$3,$A27&amp;C$2&amp;"_x",C$1,$B$1)</f>
        <v>14.9</v>
      </c>
      <c r="D27" s="57">
        <f>_xll.xlqAAII($C$3,$A27&amp;D$2&amp;"_x",D$1,$B$1)</f>
        <v>14.9</v>
      </c>
      <c r="E27" s="57">
        <f>_xll.xlqAAII($C$3,$A27&amp;E$2&amp;"_x",E$1,$B$1)</f>
        <v>4.8</v>
      </c>
      <c r="F27" s="57">
        <f>_xll.xlqAAII($C$3,$A27&amp;F$2&amp;"_x",F$1,$B$1)</f>
        <v>10.1</v>
      </c>
      <c r="G27" s="57">
        <f>_xll.xlqAAII($C$3,$A27&amp;G$2&amp;"_x",G$1,$B$1)</f>
        <v>3.8</v>
      </c>
      <c r="H27" s="57">
        <f>_xll.xlqAAII($C$3,$A27&amp;H$2&amp;"_x",H$1,$B$1)</f>
        <v>-2</v>
      </c>
      <c r="I27" s="57">
        <f>_xll.xlqAAII($C$3,$A27&amp;I$2&amp;"_x",I$1,$B$1)</f>
        <v>-14.1</v>
      </c>
      <c r="J27" s="57">
        <f>_xll.xlqAAII($C$3,$A27&amp;J$2&amp;"_x",J$1,$B$1)</f>
        <v>-2.8</v>
      </c>
      <c r="K27" s="58"/>
      <c r="L27" s="57" t="str">
        <f>_xll.xlqAAII($C$3,$A27&amp;"12M",L$1,$B$1)</f>
        <v>NA</v>
      </c>
    </row>
    <row r="28" spans="1:12" x14ac:dyDescent="0.25">
      <c r="C28" s="19"/>
      <c r="D28" s="19"/>
      <c r="E28" s="19"/>
      <c r="F28" s="19"/>
      <c r="G28" s="19"/>
      <c r="H28" s="19"/>
      <c r="I28" s="19"/>
      <c r="J28" s="19"/>
      <c r="K28" s="23"/>
      <c r="L28" s="19"/>
    </row>
    <row r="29" spans="1:12" x14ac:dyDescent="0.25">
      <c r="A29" s="2" t="s">
        <v>162</v>
      </c>
      <c r="B29" s="1" t="str">
        <f>_xll.xlqAAIIDescrip($A29&amp;B$2&amp;"_x")</f>
        <v>EPS</v>
      </c>
      <c r="C29" s="19">
        <f>_xll.xlqAAII($C$3,$A29&amp;C$2&amp;"_x",C$1,$B$1)</f>
        <v>1.0169999999999999</v>
      </c>
      <c r="D29" s="19">
        <f>_xll.xlqAAII($C$3,$A29&amp;D$2&amp;"_x",D$1,$B$1)</f>
        <v>1.0249999999999999</v>
      </c>
      <c r="E29" s="19">
        <f>_xll.xlqAAII($C$3,$A29&amp;E$2&amp;"_x",E$1,$B$1)</f>
        <v>0.32900000000000001</v>
      </c>
      <c r="F29" s="19">
        <f>_xll.xlqAAII($C$3,$A29&amp;F$2&amp;"_x",F$1,$B$1)</f>
        <v>0.69199999999999995</v>
      </c>
      <c r="G29" s="19">
        <f>_xll.xlqAAII($C$3,$A29&amp;G$2&amp;"_x",G$1,$B$1)</f>
        <v>0.26400000000000001</v>
      </c>
      <c r="H29" s="19">
        <f>_xll.xlqAAII($C$3,$A29&amp;H$2&amp;"_x",H$1,$B$1)</f>
        <v>-0.13600000000000001</v>
      </c>
      <c r="I29" s="19">
        <f>_xll.xlqAAII($C$3,$A29&amp;I$2&amp;"_x",I$1,$B$1)</f>
        <v>-0.97899999999999998</v>
      </c>
      <c r="J29" s="19">
        <f>_xll.xlqAAII($C$3,$A29&amp;J$2&amp;"_x",J$1,$B$1)</f>
        <v>-0.19700000000000001</v>
      </c>
      <c r="K29" s="23"/>
      <c r="L29" s="19" t="str">
        <f>_xll.xlqAAII($C$3,$A29&amp;"12M",L$1,$B$1)</f>
        <v>NA</v>
      </c>
    </row>
    <row r="30" spans="1:12" x14ac:dyDescent="0.25">
      <c r="A30" s="2" t="s">
        <v>163</v>
      </c>
      <c r="B30" s="1" t="str">
        <f>_xll.xlqAAIIDescrip($A30&amp;B$2&amp;"_x")</f>
        <v>EPS-Continuing</v>
      </c>
      <c r="C30" s="19">
        <f>_xll.xlqAAII($C$3,$A30&amp;C$2&amp;"_x",C$1,$B$1)</f>
        <v>1.0169999999999999</v>
      </c>
      <c r="D30" s="19">
        <f>_xll.xlqAAII($C$3,$A30&amp;D$2&amp;"_x",D$1,$B$1)</f>
        <v>1.0840000000000001</v>
      </c>
      <c r="E30" s="19">
        <f>_xll.xlqAAII($C$3,$A30&amp;E$2&amp;"_x",E$1,$B$1)</f>
        <v>0.32900000000000001</v>
      </c>
      <c r="F30" s="19">
        <f>_xll.xlqAAII($C$3,$A30&amp;F$2&amp;"_x",F$1,$B$1)</f>
        <v>0.67300000000000004</v>
      </c>
      <c r="G30" s="19">
        <f>_xll.xlqAAII($C$3,$A30&amp;G$2&amp;"_x",G$1,$B$1)</f>
        <v>0.245</v>
      </c>
      <c r="H30" s="19">
        <f>_xll.xlqAAII($C$3,$A30&amp;H$2&amp;"_x",H$1,$B$1)</f>
        <v>-7.0999999999999994E-2</v>
      </c>
      <c r="I30" s="19">
        <f>_xll.xlqAAII($C$3,$A30&amp;I$2&amp;"_x",I$1,$B$1)</f>
        <v>-0.97899999999999998</v>
      </c>
      <c r="J30" s="19">
        <f>_xll.xlqAAII($C$3,$A30&amp;J$2&amp;"_x",J$1,$B$1)</f>
        <v>-0.19700000000000001</v>
      </c>
      <c r="K30" s="23"/>
      <c r="L30" s="19">
        <f>_xll.xlqAAII($C$3,$A30&amp;"12M",L$1,$B$1)</f>
        <v>2.859</v>
      </c>
    </row>
    <row r="31" spans="1:12" x14ac:dyDescent="0.25">
      <c r="A31" s="2" t="s">
        <v>164</v>
      </c>
      <c r="B31" s="1" t="str">
        <f>_xll.xlqAAIIDescrip($A31&amp;B$2&amp;"_x")</f>
        <v>EPS-Diluted</v>
      </c>
      <c r="C31" s="19">
        <f>_xll.xlqAAII($C$3,$A31&amp;C$2&amp;"_x",C$1,$B$1)</f>
        <v>1.012</v>
      </c>
      <c r="D31" s="19">
        <f>_xll.xlqAAII($C$3,$A31&amp;D$2&amp;"_x",D$1,$B$1)</f>
        <v>1</v>
      </c>
      <c r="E31" s="19">
        <f>_xll.xlqAAII($C$3,$A31&amp;E$2&amp;"_x",E$1,$B$1)</f>
        <v>0.32900000000000001</v>
      </c>
      <c r="F31" s="19">
        <f>_xll.xlqAAII($C$3,$A31&amp;F$2&amp;"_x",F$1,$B$1)</f>
        <v>0.69199999999999995</v>
      </c>
      <c r="G31" s="19">
        <f>_xll.xlqAAII($C$3,$A31&amp;G$2&amp;"_x",G$1,$B$1)</f>
        <v>0.26400000000000001</v>
      </c>
      <c r="H31" s="19">
        <f>_xll.xlqAAII($C$3,$A31&amp;H$2&amp;"_x",H$1,$B$1)</f>
        <v>-0.13600000000000001</v>
      </c>
      <c r="I31" s="19">
        <f>_xll.xlqAAII($C$3,$A31&amp;I$2&amp;"_x",I$1,$B$1)</f>
        <v>-0.97899999999999998</v>
      </c>
      <c r="J31" s="19">
        <f>_xll.xlqAAII($C$3,$A31&amp;J$2&amp;"_x",J$1,$B$1)</f>
        <v>-0.19700000000000001</v>
      </c>
      <c r="K31" s="23"/>
      <c r="L31" s="19">
        <f>_xll.xlqAAII($C$3,$A31&amp;"12M",L$1,$B$1)</f>
        <v>2.7690000000000001</v>
      </c>
    </row>
    <row r="32" spans="1:12" x14ac:dyDescent="0.25">
      <c r="A32" s="2" t="s">
        <v>165</v>
      </c>
      <c r="B32" s="1" t="str">
        <f>_xll.xlqAAIIDescrip($A32&amp;B$2&amp;"_x")</f>
        <v>EPS-Diluted Continuing</v>
      </c>
      <c r="C32" s="19">
        <f>_xll.xlqAAII($C$3,$A32&amp;C$2&amp;"_x",C$1,$B$1)</f>
        <v>1.012</v>
      </c>
      <c r="D32" s="19">
        <f>_xll.xlqAAII($C$3,$A32&amp;D$2&amp;"_x",D$1,$B$1)</f>
        <v>1.0580000000000001</v>
      </c>
      <c r="E32" s="19">
        <f>_xll.xlqAAII($C$3,$A32&amp;E$2&amp;"_x",E$1,$B$1)</f>
        <v>0.32900000000000001</v>
      </c>
      <c r="F32" s="19">
        <f>_xll.xlqAAII($C$3,$A32&amp;F$2&amp;"_x",F$1,$B$1)</f>
        <v>0.67300000000000004</v>
      </c>
      <c r="G32" s="19">
        <f>_xll.xlqAAII($C$3,$A32&amp;G$2&amp;"_x",G$1,$B$1)</f>
        <v>0.245</v>
      </c>
      <c r="H32" s="19">
        <f>_xll.xlqAAII($C$3,$A32&amp;H$2&amp;"_x",H$1,$B$1)</f>
        <v>-7.0999999999999994E-2</v>
      </c>
      <c r="I32" s="19">
        <f>_xll.xlqAAII($C$3,$A32&amp;I$2&amp;"_x",I$1,$B$1)</f>
        <v>-0.97899999999999998</v>
      </c>
      <c r="J32" s="19">
        <f>_xll.xlqAAII($C$3,$A32&amp;J$2&amp;"_x",J$1,$B$1)</f>
        <v>-0.19700000000000001</v>
      </c>
      <c r="K32" s="23"/>
      <c r="L32" s="19">
        <f>_xll.xlqAAII($C$3,$A32&amp;"12M",L$1,$B$1)</f>
        <v>2.8279999999999998</v>
      </c>
    </row>
    <row r="33" spans="1:12" x14ac:dyDescent="0.25">
      <c r="A33" s="2" t="s">
        <v>196</v>
      </c>
      <c r="B33" s="1" t="str">
        <f>_xll.xlqAAIIDescrip($A33&amp;B$2&amp;"_x")</f>
        <v>Dividend</v>
      </c>
      <c r="C33" s="19">
        <f>_xll.xlqAAII($C$3,$A33&amp;C$2&amp;"_x",C$1,$B$1)</f>
        <v>0.02</v>
      </c>
      <c r="D33" s="19">
        <f>_xll.xlqAAII($C$3,$A33&amp;D$2&amp;"_x",D$1,$B$1)</f>
        <v>0.02</v>
      </c>
      <c r="E33" s="19">
        <f>_xll.xlqAAII($C$3,$A33&amp;E$2&amp;"_x",E$1,$B$1)</f>
        <v>0.02</v>
      </c>
      <c r="F33" s="19">
        <f>_xll.xlqAAII($C$3,$A33&amp;F$2&amp;"_x",F$1,$B$1)</f>
        <v>0.04</v>
      </c>
      <c r="G33" s="19">
        <f>_xll.xlqAAII($C$3,$A33&amp;G$2&amp;"_x",G$1,$B$1)</f>
        <v>0.02</v>
      </c>
      <c r="H33" s="19">
        <f>_xll.xlqAAII($C$3,$A33&amp;H$2&amp;"_x",H$1,$B$1)</f>
        <v>0.02</v>
      </c>
      <c r="I33" s="19">
        <f>_xll.xlqAAII($C$3,$A33&amp;I$2&amp;"_x",I$1,$B$1)</f>
        <v>0.02</v>
      </c>
      <c r="J33" s="19">
        <f>_xll.xlqAAII($C$3,$A33&amp;J$2&amp;"_x",J$1,$B$1)</f>
        <v>0.04</v>
      </c>
      <c r="K33" s="23"/>
      <c r="L33" s="19">
        <f>_xll.xlqAAII($C$3,$A33&amp;"12M",L$1,$B$1)</f>
        <v>0</v>
      </c>
    </row>
    <row r="34" spans="1:12" x14ac:dyDescent="0.25">
      <c r="C34" s="23"/>
      <c r="D34" s="23"/>
      <c r="E34" s="23"/>
      <c r="F34" s="23"/>
      <c r="G34" s="23"/>
      <c r="H34" s="23"/>
      <c r="I34" s="23"/>
      <c r="J34" s="23"/>
      <c r="K34" s="23"/>
      <c r="L34" s="23"/>
    </row>
    <row r="35" spans="1:12" x14ac:dyDescent="0.25">
      <c r="B35" s="1" t="s">
        <v>139</v>
      </c>
      <c r="C35" s="23"/>
      <c r="D35" s="23"/>
      <c r="E35" s="23"/>
      <c r="F35" s="23"/>
      <c r="G35" s="23"/>
      <c r="H35" s="23"/>
      <c r="I35" s="23"/>
      <c r="J35" s="23"/>
      <c r="K35" s="23"/>
      <c r="L35" s="23"/>
    </row>
    <row r="36" spans="1:12" x14ac:dyDescent="0.25">
      <c r="C36" s="23"/>
      <c r="D36" s="23"/>
      <c r="E36" s="23"/>
      <c r="F36" s="23"/>
      <c r="G36" s="23"/>
      <c r="H36" s="23"/>
      <c r="I36" s="23"/>
      <c r="J36" s="23"/>
      <c r="K36" s="23"/>
      <c r="L36" s="23"/>
    </row>
    <row r="37" spans="1:12" x14ac:dyDescent="0.25">
      <c r="A37" s="2" t="s">
        <v>166</v>
      </c>
      <c r="B37" s="1" t="str">
        <f>_xll.xlqAAIIDescrip($A37&amp;B$2&amp;"_x")</f>
        <v>Cash From Operations</v>
      </c>
      <c r="C37" s="53">
        <f>_xll.xlqAAII($C$3,$A37&amp;C$2&amp;"_x",C$1,$B$1)</f>
        <v>7</v>
      </c>
      <c r="D37" s="53">
        <f>_xll.xlqAAII($C$3,$A37&amp;D$2&amp;"_x",D$1,$B$1)</f>
        <v>21.1</v>
      </c>
      <c r="E37" s="53">
        <f>_xll.xlqAAII($C$3,$A37&amp;E$2&amp;"_x",E$1,$B$1)</f>
        <v>8.1</v>
      </c>
      <c r="F37" s="53">
        <f>_xll.xlqAAII($C$3,$A37&amp;F$2&amp;"_x",F$1,$B$1)</f>
        <v>-1.6</v>
      </c>
      <c r="G37" s="53">
        <f>_xll.xlqAAII($C$3,$A37&amp;G$2&amp;"_x",G$1,$B$1)</f>
        <v>-3</v>
      </c>
      <c r="H37" s="53">
        <f>_xll.xlqAAII($C$3,$A37&amp;H$2&amp;"_x",H$1,$B$1)</f>
        <v>6.2</v>
      </c>
      <c r="I37" s="53">
        <f>_xll.xlqAAII($C$3,$A37&amp;I$2&amp;"_x",I$1,$B$1)</f>
        <v>3.7</v>
      </c>
      <c r="J37" s="53">
        <f>_xll.xlqAAII($C$3,$A37&amp;J$2&amp;"_x",J$1,$B$1)</f>
        <v>-3.1</v>
      </c>
      <c r="K37" s="54"/>
      <c r="L37" s="53" t="str">
        <f>_xll.xlqAAII($C$3,$A37&amp;"12M",L$1,$B$1)</f>
        <v>NA</v>
      </c>
    </row>
    <row r="38" spans="1:12" x14ac:dyDescent="0.25">
      <c r="A38" s="2" t="s">
        <v>167</v>
      </c>
      <c r="B38" s="1" t="str">
        <f>_xll.xlqAAIIDescrip($A38&amp;B$2&amp;"_x")</f>
        <v>Cash From Investing</v>
      </c>
      <c r="C38" s="53">
        <f>_xll.xlqAAII($C$3,$A38&amp;C$2&amp;"_x",C$1,$B$1)</f>
        <v>-6.4</v>
      </c>
      <c r="D38" s="53">
        <f>_xll.xlqAAII($C$3,$A38&amp;D$2&amp;"_x",D$1,$B$1)</f>
        <v>-18.5</v>
      </c>
      <c r="E38" s="53">
        <f>_xll.xlqAAII($C$3,$A38&amp;E$2&amp;"_x",E$1,$B$1)</f>
        <v>-10.4</v>
      </c>
      <c r="F38" s="53">
        <f>_xll.xlqAAII($C$3,$A38&amp;F$2&amp;"_x",F$1,$B$1)</f>
        <v>-16.2</v>
      </c>
      <c r="G38" s="53">
        <f>_xll.xlqAAII($C$3,$A38&amp;G$2&amp;"_x",G$1,$B$1)</f>
        <v>-5.3</v>
      </c>
      <c r="H38" s="53">
        <f>_xll.xlqAAII($C$3,$A38&amp;H$2&amp;"_x",H$1,$B$1)</f>
        <v>-2.9</v>
      </c>
      <c r="I38" s="53">
        <f>_xll.xlqAAII($C$3,$A38&amp;I$2&amp;"_x",I$1,$B$1)</f>
        <v>-1.1000000000000001</v>
      </c>
      <c r="J38" s="53">
        <f>_xll.xlqAAII($C$3,$A38&amp;J$2&amp;"_x",J$1,$B$1)</f>
        <v>-2.2000000000000002</v>
      </c>
      <c r="K38" s="54"/>
      <c r="L38" s="53" t="str">
        <f>_xll.xlqAAII($C$3,$A38&amp;"12M",L$1,$B$1)</f>
        <v>NA</v>
      </c>
    </row>
    <row r="39" spans="1:12" x14ac:dyDescent="0.25">
      <c r="A39" s="2" t="s">
        <v>168</v>
      </c>
      <c r="B39" s="1" t="str">
        <f>_xll.xlqAAIIDescrip($A39&amp;B$2&amp;"_x")</f>
        <v>Cash From Financing</v>
      </c>
      <c r="C39" s="53">
        <f>_xll.xlqAAII($C$3,$A39&amp;C$2&amp;"_x",C$1,$B$1)</f>
        <v>0.8</v>
      </c>
      <c r="D39" s="53">
        <f>_xll.xlqAAII($C$3,$A39&amp;D$2&amp;"_x",D$1,$B$1)</f>
        <v>-0.2</v>
      </c>
      <c r="E39" s="53">
        <f>_xll.xlqAAII($C$3,$A39&amp;E$2&amp;"_x",E$1,$B$1)</f>
        <v>6.3</v>
      </c>
      <c r="F39" s="53">
        <f>_xll.xlqAAII($C$3,$A39&amp;F$2&amp;"_x",F$1,$B$1)</f>
        <v>15.7</v>
      </c>
      <c r="G39" s="53">
        <f>_xll.xlqAAII($C$3,$A39&amp;G$2&amp;"_x",G$1,$B$1)</f>
        <v>10.5</v>
      </c>
      <c r="H39" s="53">
        <f>_xll.xlqAAII($C$3,$A39&amp;H$2&amp;"_x",H$1,$B$1)</f>
        <v>-4.2</v>
      </c>
      <c r="I39" s="53">
        <f>_xll.xlqAAII($C$3,$A39&amp;I$2&amp;"_x",I$1,$B$1)</f>
        <v>-2.4</v>
      </c>
      <c r="J39" s="53">
        <f>_xll.xlqAAII($C$3,$A39&amp;J$2&amp;"_x",J$1,$B$1)</f>
        <v>7.2</v>
      </c>
      <c r="K39" s="54"/>
      <c r="L39" s="53" t="str">
        <f>_xll.xlqAAII($C$3,$A39&amp;"12M",L$1,$B$1)</f>
        <v>NA</v>
      </c>
    </row>
    <row r="40" spans="1:12" s="36" customFormat="1" x14ac:dyDescent="0.25">
      <c r="A40" s="36" t="s">
        <v>169</v>
      </c>
      <c r="B40" s="37" t="str">
        <f>_xll.xlqAAIIDescrip($A40&amp;B$2&amp;"_x")</f>
        <v>Exchange Rate Effects</v>
      </c>
      <c r="C40" s="55">
        <f>_xll.xlqAAII($C$3,$A40&amp;C$2&amp;"_x",C$1,$B$1)</f>
        <v>0.1</v>
      </c>
      <c r="D40" s="55">
        <f>_xll.xlqAAII($C$3,$A40&amp;D$2&amp;"_x",D$1,$B$1)</f>
        <v>-0.1</v>
      </c>
      <c r="E40" s="55">
        <f>_xll.xlqAAII($C$3,$A40&amp;E$2&amp;"_x",E$1,$B$1)</f>
        <v>0.4</v>
      </c>
      <c r="F40" s="55">
        <f>_xll.xlqAAII($C$3,$A40&amp;F$2&amp;"_x",F$1,$B$1)</f>
        <v>-0.3</v>
      </c>
      <c r="G40" s="55">
        <f>_xll.xlqAAII($C$3,$A40&amp;G$2&amp;"_x",G$1,$B$1)</f>
        <v>-0.5</v>
      </c>
      <c r="H40" s="55">
        <f>_xll.xlqAAII($C$3,$A40&amp;H$2&amp;"_x",H$1,$B$1)</f>
        <v>0.9</v>
      </c>
      <c r="I40" s="55">
        <f>_xll.xlqAAII($C$3,$A40&amp;I$2&amp;"_x",I$1,$B$1)</f>
        <v>0.1</v>
      </c>
      <c r="J40" s="55">
        <f>_xll.xlqAAII($C$3,$A40&amp;J$2&amp;"_x",J$1,$B$1)</f>
        <v>0.3</v>
      </c>
      <c r="K40" s="56"/>
      <c r="L40" s="55" t="str">
        <f>_xll.xlqAAII($C$3,$A40&amp;"12M",L$1,$B$1)</f>
        <v>NA</v>
      </c>
    </row>
    <row r="41" spans="1:12" s="1" customFormat="1" x14ac:dyDescent="0.25">
      <c r="A41" s="1" t="s">
        <v>170</v>
      </c>
      <c r="B41" s="1" t="str">
        <f>_xll.xlqAAIIDescrip($A41&amp;B$2&amp;"_x")</f>
        <v>Cash Flow</v>
      </c>
      <c r="C41" s="59">
        <f>_xll.xlqAAII($C$3,$A41&amp;C$2&amp;"_x",C$1,$B$1)</f>
        <v>1.5</v>
      </c>
      <c r="D41" s="59">
        <f>_xll.xlqAAII($C$3,$A41&amp;D$2&amp;"_x",D$1,$B$1)</f>
        <v>2.2999999999999998</v>
      </c>
      <c r="E41" s="59">
        <f>_xll.xlqAAII($C$3,$A41&amp;E$2&amp;"_x",E$1,$B$1)</f>
        <v>4.5</v>
      </c>
      <c r="F41" s="59">
        <f>_xll.xlqAAII($C$3,$A41&amp;F$2&amp;"_x",F$1,$B$1)</f>
        <v>-2.4</v>
      </c>
      <c r="G41" s="59">
        <f>_xll.xlqAAII($C$3,$A41&amp;G$2&amp;"_x",G$1,$B$1)</f>
        <v>1.8</v>
      </c>
      <c r="H41" s="59">
        <f>_xll.xlqAAII($C$3,$A41&amp;H$2&amp;"_x",H$1,$B$1)</f>
        <v>0.1</v>
      </c>
      <c r="I41" s="59">
        <f>_xll.xlqAAII($C$3,$A41&amp;I$2&amp;"_x",I$1,$B$1)</f>
        <v>0.2</v>
      </c>
      <c r="J41" s="59">
        <f>_xll.xlqAAII($C$3,$A41&amp;J$2&amp;"_x",J$1,$B$1)</f>
        <v>2.2000000000000002</v>
      </c>
      <c r="K41" s="60"/>
      <c r="L41" s="59" t="str">
        <f>_xll.xlqAAII($C$3,$A41&amp;"12M",L$1,$B$1)</f>
        <v>NA</v>
      </c>
    </row>
    <row r="42" spans="1:12" x14ac:dyDescent="0.25">
      <c r="C42" s="53"/>
      <c r="D42" s="53"/>
      <c r="E42" s="53"/>
      <c r="F42" s="53"/>
      <c r="G42" s="53"/>
      <c r="H42" s="53"/>
      <c r="I42" s="53"/>
      <c r="J42" s="53"/>
      <c r="K42" s="54"/>
      <c r="L42" s="53"/>
    </row>
    <row r="43" spans="1:12" x14ac:dyDescent="0.25">
      <c r="A43" s="2" t="s">
        <v>1713</v>
      </c>
      <c r="B43" s="1" t="str">
        <f>_xll.xlqAAIIDescrip($A43&amp;B$2&amp;"_x")</f>
        <v>Depreciation &amp; Amortization (CF)</v>
      </c>
      <c r="C43" s="53">
        <f>_xll.xlqAAII($C$3,$A43&amp;C$2&amp;"_x",C$1,$B$1)</f>
        <v>2.2000000000000002</v>
      </c>
      <c r="D43" s="53">
        <f>_xll.xlqAAII($C$3,$A43&amp;D$2&amp;"_x",D$1,$B$1)</f>
        <v>2.4</v>
      </c>
      <c r="E43" s="53">
        <f>_xll.xlqAAII($C$3,$A43&amp;E$2&amp;"_x",E$1,$B$1)</f>
        <v>2.4</v>
      </c>
      <c r="F43" s="53">
        <f>_xll.xlqAAII($C$3,$A43&amp;F$2&amp;"_x",F$1,$B$1)</f>
        <v>4.8</v>
      </c>
      <c r="G43" s="53">
        <f>_xll.xlqAAII($C$3,$A43&amp;G$2&amp;"_x",G$1,$B$1)</f>
        <v>2.4</v>
      </c>
      <c r="H43" s="53">
        <f>_xll.xlqAAII($C$3,$A43&amp;H$2&amp;"_x",H$1,$B$1)</f>
        <v>2.5</v>
      </c>
      <c r="I43" s="53">
        <f>_xll.xlqAAII($C$3,$A43&amp;I$2&amp;"_x",I$1,$B$1)</f>
        <v>2.7</v>
      </c>
      <c r="J43" s="53">
        <f>_xll.xlqAAII($C$3,$A43&amp;J$2&amp;"_x",J$1,$B$1)</f>
        <v>5.4</v>
      </c>
      <c r="K43" s="54"/>
      <c r="L43" s="53" t="str">
        <f>_xll.xlqAAII($C$3,$A43&amp;"12M",L$1,$B$1)</f>
        <v>NA</v>
      </c>
    </row>
    <row r="44" spans="1:12" x14ac:dyDescent="0.25">
      <c r="A44" s="2" t="s">
        <v>171</v>
      </c>
      <c r="B44" s="1" t="str">
        <f>_xll.xlqAAIIDescrip($A44&amp;B$2&amp;"_x")</f>
        <v>Capital Expenditures</v>
      </c>
      <c r="C44" s="53">
        <f>_xll.xlqAAII($C$3,$A44&amp;C$2&amp;"_x",C$1,$B$1)</f>
        <v>6.6</v>
      </c>
      <c r="D44" s="53">
        <f>_xll.xlqAAII($C$3,$A44&amp;D$2&amp;"_x",D$1,$B$1)</f>
        <v>18.5</v>
      </c>
      <c r="E44" s="53">
        <f>_xll.xlqAAII($C$3,$A44&amp;E$2&amp;"_x",E$1,$B$1)</f>
        <v>10.4</v>
      </c>
      <c r="F44" s="53">
        <f>_xll.xlqAAII($C$3,$A44&amp;F$2&amp;"_x",F$1,$B$1)</f>
        <v>16.2</v>
      </c>
      <c r="G44" s="53">
        <f>_xll.xlqAAII($C$3,$A44&amp;G$2&amp;"_x",G$1,$B$1)</f>
        <v>5.3</v>
      </c>
      <c r="H44" s="53">
        <f>_xll.xlqAAII($C$3,$A44&amp;H$2&amp;"_x",H$1,$B$1)</f>
        <v>2.9</v>
      </c>
      <c r="I44" s="53">
        <f>_xll.xlqAAII($C$3,$A44&amp;I$2&amp;"_x",I$1,$B$1)</f>
        <v>1.1000000000000001</v>
      </c>
      <c r="J44" s="53">
        <f>_xll.xlqAAII($C$3,$A44&amp;J$2&amp;"_x",J$1,$B$1)</f>
        <v>2.2000000000000002</v>
      </c>
      <c r="K44" s="54"/>
      <c r="L44" s="53" t="str">
        <f>_xll.xlqAAII($C$3,$A44&amp;"12M",L$1,$B$1)</f>
        <v>NA</v>
      </c>
    </row>
    <row r="45" spans="1:12" x14ac:dyDescent="0.25">
      <c r="C45" s="19"/>
      <c r="D45" s="19"/>
      <c r="E45" s="19"/>
      <c r="F45" s="19"/>
      <c r="G45" s="19"/>
      <c r="H45" s="19"/>
      <c r="I45" s="19"/>
      <c r="J45" s="19"/>
      <c r="K45" s="23"/>
      <c r="L45" s="19"/>
    </row>
    <row r="46" spans="1:12" x14ac:dyDescent="0.25">
      <c r="A46" s="2" t="s">
        <v>172</v>
      </c>
      <c r="B46" s="1" t="str">
        <f>_xll.xlqAAIIDescrip($A46&amp;B$2&amp;"_x")</f>
        <v>Cash Flow/Share</v>
      </c>
      <c r="C46" s="19">
        <f>_xll.xlqAAII($C$3,$A46&amp;C$2&amp;"_x",C$1,$B$1)</f>
        <v>0.1</v>
      </c>
      <c r="D46" s="19">
        <f>_xll.xlqAAII($C$3,$A46&amp;D$2&amp;"_x",D$1,$B$1)</f>
        <v>0.15</v>
      </c>
      <c r="E46" s="19">
        <f>_xll.xlqAAII($C$3,$A46&amp;E$2&amp;"_x",E$1,$B$1)</f>
        <v>0.31</v>
      </c>
      <c r="F46" s="19">
        <f>_xll.xlqAAII($C$3,$A46&amp;F$2&amp;"_x",F$1,$B$1)</f>
        <v>-0.16</v>
      </c>
      <c r="G46" s="19">
        <f>_xll.xlqAAII($C$3,$A46&amp;G$2&amp;"_x",G$1,$B$1)</f>
        <v>0.12</v>
      </c>
      <c r="H46" s="19">
        <f>_xll.xlqAAII($C$3,$A46&amp;H$2&amp;"_x",H$1,$B$1)</f>
        <v>0.01</v>
      </c>
      <c r="I46" s="19">
        <f>_xll.xlqAAII($C$3,$A46&amp;I$2&amp;"_x",I$1,$B$1)</f>
        <v>0.02</v>
      </c>
      <c r="J46" s="19">
        <f>_xll.xlqAAII($C$3,$A46&amp;J$2&amp;"_x",J$1,$B$1)</f>
        <v>0.15</v>
      </c>
      <c r="K46" s="23"/>
      <c r="L46" s="19" t="str">
        <f>_xll.xlqAAII($C$3,$A46&amp;"12M",L$1,$B$1)</f>
        <v>NA</v>
      </c>
    </row>
    <row r="47" spans="1:12" x14ac:dyDescent="0.25">
      <c r="A47" s="2" t="s">
        <v>173</v>
      </c>
      <c r="B47" s="1" t="str">
        <f>_xll.xlqAAIIDescrip($A47&amp;B$2&amp;"_x")</f>
        <v>Free Cash Flow/Share</v>
      </c>
      <c r="C47" s="19">
        <f>_xll.xlqAAII($C$3,$A47&amp;C$2&amp;"_x",C$1,$B$1)</f>
        <v>0.01</v>
      </c>
      <c r="D47" s="19">
        <f>_xll.xlqAAII($C$3,$A47&amp;D$2&amp;"_x",D$1,$B$1)</f>
        <v>0.15</v>
      </c>
      <c r="E47" s="19">
        <f>_xll.xlqAAII($C$3,$A47&amp;E$2&amp;"_x",E$1,$B$1)</f>
        <v>-0.17</v>
      </c>
      <c r="F47" s="19">
        <f>_xll.xlqAAII($C$3,$A47&amp;F$2&amp;"_x",F$1,$B$1)</f>
        <v>-1.26</v>
      </c>
      <c r="G47" s="19">
        <f>_xll.xlqAAII($C$3,$A47&amp;G$2&amp;"_x",G$1,$B$1)</f>
        <v>-0.59</v>
      </c>
      <c r="H47" s="19">
        <f>_xll.xlqAAII($C$3,$A47&amp;H$2&amp;"_x",H$1,$B$1)</f>
        <v>0.21</v>
      </c>
      <c r="I47" s="19">
        <f>_xll.xlqAAII($C$3,$A47&amp;I$2&amp;"_x",I$1,$B$1)</f>
        <v>0.15</v>
      </c>
      <c r="J47" s="19">
        <f>_xll.xlqAAII($C$3,$A47&amp;J$2&amp;"_x",J$1,$B$1)</f>
        <v>-0.41</v>
      </c>
      <c r="K47" s="23"/>
      <c r="L47" s="19" t="str">
        <f>_xll.xlqAAII($C$3,$A47&amp;"12M",L$1,$B$1)</f>
        <v>NA</v>
      </c>
    </row>
    <row r="48" spans="1:12" x14ac:dyDescent="0.25">
      <c r="A48" s="2" t="s">
        <v>1252</v>
      </c>
      <c r="B48" s="1" t="str">
        <f>_xll.xlqAAIIDescrip($A48&amp;B$2&amp;"_x")</f>
        <v>DCF: BSCF</v>
      </c>
      <c r="C48" s="19">
        <f>_xll.xlqAAII($C$3,$A48&amp;C$2&amp;"_x",C$1,$B$1)</f>
        <v>-2.48</v>
      </c>
      <c r="D48" s="19">
        <f>_xll.xlqAAII($C$3,$A48&amp;D$2&amp;"_x",D$1,$B$1)</f>
        <v>2.12</v>
      </c>
      <c r="E48" s="19">
        <f>_xll.xlqAAII($C$3,$A48&amp;E$2&amp;"_x",E$1,$B$1)</f>
        <v>12.26</v>
      </c>
      <c r="F48" s="19">
        <f>_xll.xlqAAII($C$3,$A48&amp;F$2&amp;"_x",F$1,$B$1)</f>
        <v>2.61</v>
      </c>
      <c r="G48" s="19"/>
      <c r="H48" s="19"/>
      <c r="I48" s="19"/>
      <c r="J48" s="19"/>
      <c r="K48" s="23"/>
      <c r="L48" s="19"/>
    </row>
    <row r="49" spans="1:12" x14ac:dyDescent="0.25">
      <c r="A49" s="2" t="s">
        <v>1253</v>
      </c>
      <c r="B49" s="1" t="str">
        <f>_xll.xlqAAIIDescrip($A49&amp;B$2&amp;"_x")</f>
        <v>DCF: OCF</v>
      </c>
      <c r="C49" s="19">
        <f>_xll.xlqAAII($C$3,$A49&amp;C$2&amp;"_x",C$1,$B$1)</f>
        <v>2.93</v>
      </c>
      <c r="D49" s="19">
        <f>_xll.xlqAAII($C$3,$A49&amp;D$2&amp;"_x",D$1,$B$1)</f>
        <v>1.95</v>
      </c>
      <c r="E49" s="19">
        <f>_xll.xlqAAII($C$3,$A49&amp;E$2&amp;"_x",E$1,$B$1)</f>
        <v>-6.89</v>
      </c>
      <c r="F49" s="19">
        <f>_xll.xlqAAII($C$3,$A49&amp;F$2&amp;"_x",F$1,$B$1)</f>
        <v>-8.34</v>
      </c>
      <c r="G49" s="19"/>
      <c r="H49" s="19"/>
      <c r="I49" s="19"/>
      <c r="J49" s="19"/>
      <c r="K49" s="23"/>
      <c r="L49" s="19"/>
    </row>
    <row r="50" spans="1:12" x14ac:dyDescent="0.25">
      <c r="A50" s="2" t="s">
        <v>1254</v>
      </c>
      <c r="B50" s="1" t="str">
        <f>_xll.xlqAAIIDescrip($A50&amp;B$2&amp;"_x")</f>
        <v>DCF</v>
      </c>
      <c r="C50" s="19">
        <f>_xll.xlqAAII($C$3,$A50&amp;C$2&amp;"_x",C$1,$B$1)</f>
        <v>5.41</v>
      </c>
      <c r="D50" s="19">
        <f>_xll.xlqAAII($C$3,$A50&amp;D$2&amp;"_x",D$1,$B$1)</f>
        <v>-0.17</v>
      </c>
      <c r="E50" s="19">
        <f>_xll.xlqAAII($C$3,$A50&amp;E$2&amp;"_x",E$1,$B$1)</f>
        <v>-19.149999999999999</v>
      </c>
      <c r="F50" s="19">
        <f>_xll.xlqAAII($C$3,$A50&amp;F$2&amp;"_x",F$1,$B$1)</f>
        <v>-10.95</v>
      </c>
      <c r="G50" s="19"/>
      <c r="H50" s="19"/>
      <c r="I50" s="19"/>
      <c r="J50" s="19"/>
      <c r="K50" s="23"/>
      <c r="L50" s="19"/>
    </row>
    <row r="51" spans="1:12" x14ac:dyDescent="0.25">
      <c r="C51" s="23"/>
      <c r="D51" s="23"/>
      <c r="E51" s="23"/>
      <c r="F51" s="23"/>
      <c r="G51" s="23"/>
      <c r="H51" s="23"/>
      <c r="I51" s="23"/>
      <c r="J51" s="23"/>
      <c r="K51" s="23"/>
      <c r="L51" s="23"/>
    </row>
    <row r="52" spans="1:12" x14ac:dyDescent="0.25">
      <c r="B52" s="1" t="s">
        <v>140</v>
      </c>
      <c r="C52" s="23"/>
      <c r="D52" s="23"/>
      <c r="E52" s="23"/>
      <c r="F52" s="23"/>
      <c r="G52" s="23"/>
      <c r="H52" s="23"/>
      <c r="I52" s="23"/>
      <c r="J52" s="23"/>
      <c r="K52" s="23"/>
      <c r="L52" s="23"/>
    </row>
    <row r="53" spans="1:12" x14ac:dyDescent="0.25">
      <c r="C53" s="23"/>
      <c r="D53" s="23"/>
      <c r="E53" s="23"/>
      <c r="F53" s="23"/>
      <c r="G53" s="23"/>
      <c r="H53" s="23"/>
      <c r="I53" s="23"/>
      <c r="J53" s="23"/>
      <c r="K53" s="23"/>
      <c r="L53" s="23"/>
    </row>
    <row r="54" spans="1:12" x14ac:dyDescent="0.25">
      <c r="C54" s="23"/>
      <c r="D54" s="23"/>
      <c r="E54" s="23"/>
      <c r="F54" s="23"/>
      <c r="G54" s="23"/>
      <c r="H54" s="23"/>
      <c r="I54" s="23"/>
      <c r="J54" s="23"/>
      <c r="K54" s="23"/>
      <c r="L54" s="23"/>
    </row>
    <row r="55" spans="1:12" x14ac:dyDescent="0.25">
      <c r="A55" s="2" t="s">
        <v>174</v>
      </c>
      <c r="B55" s="1" t="str">
        <f>_xll.xlqAAIIDescrip($A55&amp;B$2&amp;"_x")</f>
        <v>Cash</v>
      </c>
      <c r="C55" s="53">
        <f>_xll.xlqAAII($C$3,$A55&amp;C$2&amp;"_x",C$1,$B$1)</f>
        <v>14.9</v>
      </c>
      <c r="D55" s="53">
        <f>_xll.xlqAAII($C$3,$A55&amp;D$2&amp;"_x",D$1,$B$1)</f>
        <v>13.4</v>
      </c>
      <c r="E55" s="53">
        <f>_xll.xlqAAII($C$3,$A55&amp;E$2&amp;"_x",E$1,$B$1)</f>
        <v>11.1</v>
      </c>
      <c r="F55" s="53">
        <f>_xll.xlqAAII($C$3,$A55&amp;F$2&amp;"_x",F$1,$B$1)</f>
        <v>6.6</v>
      </c>
      <c r="G55" s="53">
        <f>_xll.xlqAAII($C$3,$A55&amp;G$2&amp;"_x",G$1,$B$1)</f>
        <v>10.8</v>
      </c>
      <c r="H55" s="53">
        <f>_xll.xlqAAII($C$3,$A55&amp;H$2&amp;"_x",H$1,$B$1)</f>
        <v>9</v>
      </c>
      <c r="I55" s="53">
        <f>_xll.xlqAAII($C$3,$A55&amp;I$2&amp;"_x",I$1,$B$1)</f>
        <v>8.9</v>
      </c>
      <c r="J55" s="53">
        <f>_xll.xlqAAII($C$3,$A55&amp;J$2&amp;"_x",J$1,$B$1)</f>
        <v>8.6</v>
      </c>
      <c r="K55" s="54"/>
      <c r="L55" s="53"/>
    </row>
    <row r="56" spans="1:12" x14ac:dyDescent="0.25">
      <c r="A56" s="2" t="s">
        <v>175</v>
      </c>
      <c r="B56" s="1" t="str">
        <f>_xll.xlqAAIIDescrip($A56&amp;B$2&amp;"_x")</f>
        <v>Short-Term Investments</v>
      </c>
      <c r="C56" s="53">
        <f>_xll.xlqAAII($C$3,$A56&amp;C$2&amp;"_x",C$1,$B$1)</f>
        <v>0</v>
      </c>
      <c r="D56" s="53">
        <f>_xll.xlqAAII($C$3,$A56&amp;D$2&amp;"_x",D$1,$B$1)</f>
        <v>0</v>
      </c>
      <c r="E56" s="53">
        <f>_xll.xlqAAII($C$3,$A56&amp;E$2&amp;"_x",E$1,$B$1)</f>
        <v>0</v>
      </c>
      <c r="F56" s="53">
        <f>_xll.xlqAAII($C$3,$A56&amp;F$2&amp;"_x",F$1,$B$1)</f>
        <v>0</v>
      </c>
      <c r="G56" s="53">
        <f>_xll.xlqAAII($C$3,$A56&amp;G$2&amp;"_x",G$1,$B$1)</f>
        <v>0</v>
      </c>
      <c r="H56" s="53">
        <f>_xll.xlqAAII($C$3,$A56&amp;H$2&amp;"_x",H$1,$B$1)</f>
        <v>0</v>
      </c>
      <c r="I56" s="53">
        <f>_xll.xlqAAII($C$3,$A56&amp;I$2&amp;"_x",I$1,$B$1)</f>
        <v>0</v>
      </c>
      <c r="J56" s="53">
        <f>_xll.xlqAAII($C$3,$A56&amp;J$2&amp;"_x",J$1,$B$1)</f>
        <v>0</v>
      </c>
      <c r="K56" s="54"/>
      <c r="L56" s="53"/>
    </row>
    <row r="57" spans="1:12" x14ac:dyDescent="0.25">
      <c r="A57" s="2" t="s">
        <v>176</v>
      </c>
      <c r="B57" s="1" t="str">
        <f>_xll.xlqAAIIDescrip($A57&amp;B$2&amp;"_x")</f>
        <v>Accounts Receivable</v>
      </c>
      <c r="C57" s="53">
        <f>_xll.xlqAAII($C$3,$A57&amp;C$2&amp;"_x",C$1,$B$1)</f>
        <v>73.3</v>
      </c>
      <c r="D57" s="53">
        <f>_xll.xlqAAII($C$3,$A57&amp;D$2&amp;"_x",D$1,$B$1)</f>
        <v>59.7</v>
      </c>
      <c r="E57" s="53">
        <f>_xll.xlqAAII($C$3,$A57&amp;E$2&amp;"_x",E$1,$B$1)</f>
        <v>65.599999999999994</v>
      </c>
      <c r="F57" s="53">
        <f>_xll.xlqAAII($C$3,$A57&amp;F$2&amp;"_x",F$1,$B$1)</f>
        <v>62.8</v>
      </c>
      <c r="G57" s="53">
        <f>_xll.xlqAAII($C$3,$A57&amp;G$2&amp;"_x",G$1,$B$1)</f>
        <v>57.2</v>
      </c>
      <c r="H57" s="53">
        <f>_xll.xlqAAII($C$3,$A57&amp;H$2&amp;"_x",H$1,$B$1)</f>
        <v>49.5</v>
      </c>
      <c r="I57" s="53">
        <f>_xll.xlqAAII($C$3,$A57&amp;I$2&amp;"_x",I$1,$B$1)</f>
        <v>45.4</v>
      </c>
      <c r="J57" s="53">
        <f>_xll.xlqAAII($C$3,$A57&amp;J$2&amp;"_x",J$1,$B$1)</f>
        <v>38.6</v>
      </c>
      <c r="K57" s="54"/>
      <c r="L57" s="53"/>
    </row>
    <row r="58" spans="1:12" x14ac:dyDescent="0.25">
      <c r="A58" s="2" t="s">
        <v>177</v>
      </c>
      <c r="B58" s="1" t="str">
        <f>_xll.xlqAAIIDescrip($A58&amp;B$2&amp;"_x")</f>
        <v>Inventory</v>
      </c>
      <c r="C58" s="53">
        <f>_xll.xlqAAII($C$3,$A58&amp;C$2&amp;"_x",C$1,$B$1)</f>
        <v>50.9</v>
      </c>
      <c r="D58" s="53">
        <f>_xll.xlqAAII($C$3,$A58&amp;D$2&amp;"_x",D$1,$B$1)</f>
        <v>51.1</v>
      </c>
      <c r="E58" s="53">
        <f>_xll.xlqAAII($C$3,$A58&amp;E$2&amp;"_x",E$1,$B$1)</f>
        <v>56.5</v>
      </c>
      <c r="F58" s="53">
        <f>_xll.xlqAAII($C$3,$A58&amp;F$2&amp;"_x",F$1,$B$1)</f>
        <v>53.7</v>
      </c>
      <c r="G58" s="53">
        <f>_xll.xlqAAII($C$3,$A58&amp;G$2&amp;"_x",G$1,$B$1)</f>
        <v>46.5</v>
      </c>
      <c r="H58" s="53">
        <f>_xll.xlqAAII($C$3,$A58&amp;H$2&amp;"_x",H$1,$B$1)</f>
        <v>35.700000000000003</v>
      </c>
      <c r="I58" s="53">
        <f>_xll.xlqAAII($C$3,$A58&amp;I$2&amp;"_x",I$1,$B$1)</f>
        <v>31.5</v>
      </c>
      <c r="J58" s="53">
        <f>_xll.xlqAAII($C$3,$A58&amp;J$2&amp;"_x",J$1,$B$1)</f>
        <v>30.9</v>
      </c>
      <c r="K58" s="54"/>
      <c r="L58" s="53"/>
    </row>
    <row r="59" spans="1:12" s="36" customFormat="1" x14ac:dyDescent="0.25">
      <c r="A59" s="36" t="s">
        <v>178</v>
      </c>
      <c r="B59" s="37" t="str">
        <f>_xll.xlqAAIIDescrip($A59&amp;B$2&amp;"_x")</f>
        <v>Other Current Assets</v>
      </c>
      <c r="C59" s="55">
        <f>_xll.xlqAAII($C$3,$A59&amp;C$2&amp;"_x",C$1,$B$1)</f>
        <v>7</v>
      </c>
      <c r="D59" s="55">
        <f>_xll.xlqAAII($C$3,$A59&amp;D$2&amp;"_x",D$1,$B$1)</f>
        <v>8.1</v>
      </c>
      <c r="E59" s="55">
        <f>_xll.xlqAAII($C$3,$A59&amp;E$2&amp;"_x",E$1,$B$1)</f>
        <v>6.7</v>
      </c>
      <c r="F59" s="55">
        <f>_xll.xlqAAII($C$3,$A59&amp;F$2&amp;"_x",F$1,$B$1)</f>
        <v>6.4</v>
      </c>
      <c r="G59" s="55">
        <f>_xll.xlqAAII($C$3,$A59&amp;G$2&amp;"_x",G$1,$B$1)</f>
        <v>10.8</v>
      </c>
      <c r="H59" s="55">
        <f>_xll.xlqAAII($C$3,$A59&amp;H$2&amp;"_x",H$1,$B$1)</f>
        <v>5.8</v>
      </c>
      <c r="I59" s="55">
        <f>_xll.xlqAAII($C$3,$A59&amp;I$2&amp;"_x",I$1,$B$1)</f>
        <v>5.3</v>
      </c>
      <c r="J59" s="55">
        <f>_xll.xlqAAII($C$3,$A59&amp;J$2&amp;"_x",J$1,$B$1)</f>
        <v>5.6</v>
      </c>
      <c r="K59" s="56"/>
      <c r="L59" s="55"/>
    </row>
    <row r="60" spans="1:12" s="1" customFormat="1" x14ac:dyDescent="0.25">
      <c r="A60" s="1" t="s">
        <v>179</v>
      </c>
      <c r="B60" s="1" t="str">
        <f>_xll.xlqAAIIDescrip($A60&amp;B$2&amp;"_x")</f>
        <v>Current Assets</v>
      </c>
      <c r="C60" s="59">
        <f>_xll.xlqAAII($C$3,$A60&amp;C$2&amp;"_x",C$1,$B$1)</f>
        <v>146</v>
      </c>
      <c r="D60" s="59">
        <f>_xll.xlqAAII($C$3,$A60&amp;D$2&amp;"_x",D$1,$B$1)</f>
        <v>132.19999999999999</v>
      </c>
      <c r="E60" s="59">
        <f>_xll.xlqAAII($C$3,$A60&amp;E$2&amp;"_x",E$1,$B$1)</f>
        <v>139.9</v>
      </c>
      <c r="F60" s="59">
        <f>_xll.xlqAAII($C$3,$A60&amp;F$2&amp;"_x",F$1,$B$1)</f>
        <v>129.6</v>
      </c>
      <c r="G60" s="59">
        <f>_xll.xlqAAII($C$3,$A60&amp;G$2&amp;"_x",G$1,$B$1)</f>
        <v>125.2</v>
      </c>
      <c r="H60" s="59">
        <f>_xll.xlqAAII($C$3,$A60&amp;H$2&amp;"_x",H$1,$B$1)</f>
        <v>100</v>
      </c>
      <c r="I60" s="59">
        <f>_xll.xlqAAII($C$3,$A60&amp;I$2&amp;"_x",I$1,$B$1)</f>
        <v>91.1</v>
      </c>
      <c r="J60" s="59">
        <f>_xll.xlqAAII($C$3,$A60&amp;J$2&amp;"_x",J$1,$B$1)</f>
        <v>83.8</v>
      </c>
      <c r="K60" s="60"/>
      <c r="L60" s="59"/>
    </row>
    <row r="61" spans="1:12" x14ac:dyDescent="0.25">
      <c r="C61" s="53"/>
      <c r="D61" s="53"/>
      <c r="E61" s="53"/>
      <c r="F61" s="53"/>
      <c r="G61" s="53"/>
      <c r="H61" s="53"/>
      <c r="I61" s="53"/>
      <c r="J61" s="53"/>
      <c r="K61" s="54"/>
      <c r="L61" s="53"/>
    </row>
    <row r="62" spans="1:12" x14ac:dyDescent="0.25">
      <c r="A62" s="2" t="s">
        <v>180</v>
      </c>
      <c r="B62" s="1" t="str">
        <f>_xll.xlqAAIIDescrip($A62&amp;B$2&amp;"_x")</f>
        <v>Net Fixed Assets (PP&amp;E)</v>
      </c>
      <c r="C62" s="53">
        <f>_xll.xlqAAII($C$3,$A62&amp;C$2&amp;"_x",C$1,$B$1)</f>
        <v>99.9</v>
      </c>
      <c r="D62" s="53">
        <f>_xll.xlqAAII($C$3,$A62&amp;D$2&amp;"_x",D$1,$B$1)</f>
        <v>95.1</v>
      </c>
      <c r="E62" s="53">
        <f>_xll.xlqAAII($C$3,$A62&amp;E$2&amp;"_x",E$1,$B$1)</f>
        <v>79.8</v>
      </c>
      <c r="F62" s="53">
        <f>_xll.xlqAAII($C$3,$A62&amp;F$2&amp;"_x",F$1,$B$1)</f>
        <v>70.5</v>
      </c>
      <c r="G62" s="53">
        <f>_xll.xlqAAII($C$3,$A62&amp;G$2&amp;"_x",G$1,$B$1)</f>
        <v>61</v>
      </c>
      <c r="H62" s="53">
        <f>_xll.xlqAAII($C$3,$A62&amp;H$2&amp;"_x",H$1,$B$1)</f>
        <v>59.9</v>
      </c>
      <c r="I62" s="53">
        <f>_xll.xlqAAII($C$3,$A62&amp;I$2&amp;"_x",I$1,$B$1)</f>
        <v>59.6</v>
      </c>
      <c r="J62" s="53">
        <f>_xll.xlqAAII($C$3,$A62&amp;J$2&amp;"_x",J$1,$B$1)</f>
        <v>58.1</v>
      </c>
      <c r="K62" s="54"/>
      <c r="L62" s="53"/>
    </row>
    <row r="63" spans="1:12" x14ac:dyDescent="0.25">
      <c r="A63" s="2" t="s">
        <v>181</v>
      </c>
      <c r="B63" s="1" t="str">
        <f>_xll.xlqAAIIDescrip($A63&amp;B$2&amp;"_x")</f>
        <v>Long-Term Investments</v>
      </c>
      <c r="C63" s="53">
        <f>_xll.xlqAAII($C$3,$A63&amp;C$2&amp;"_x",C$1,$B$1)</f>
        <v>0</v>
      </c>
      <c r="D63" s="53">
        <f>_xll.xlqAAII($C$3,$A63&amp;D$2&amp;"_x",D$1,$B$1)</f>
        <v>0</v>
      </c>
      <c r="E63" s="53">
        <f>_xll.xlqAAII($C$3,$A63&amp;E$2&amp;"_x",E$1,$B$1)</f>
        <v>0</v>
      </c>
      <c r="F63" s="53">
        <f>_xll.xlqAAII($C$3,$A63&amp;F$2&amp;"_x",F$1,$B$1)</f>
        <v>0</v>
      </c>
      <c r="G63" s="53">
        <f>_xll.xlqAAII($C$3,$A63&amp;G$2&amp;"_x",G$1,$B$1)</f>
        <v>0</v>
      </c>
      <c r="H63" s="53">
        <f>_xll.xlqAAII($C$3,$A63&amp;H$2&amp;"_x",H$1,$B$1)</f>
        <v>0</v>
      </c>
      <c r="I63" s="53">
        <f>_xll.xlqAAII($C$3,$A63&amp;I$2&amp;"_x",I$1,$B$1)</f>
        <v>0</v>
      </c>
      <c r="J63" s="53">
        <f>_xll.xlqAAII($C$3,$A63&amp;J$2&amp;"_x",J$1,$B$1)</f>
        <v>0</v>
      </c>
      <c r="K63" s="54"/>
      <c r="L63" s="53"/>
    </row>
    <row r="64" spans="1:12" x14ac:dyDescent="0.25">
      <c r="A64" s="2" t="s">
        <v>182</v>
      </c>
      <c r="B64" s="1" t="str">
        <f>_xll.xlqAAIIDescrip($A64&amp;B$2&amp;"_x")</f>
        <v>Goodwill And Intangibles</v>
      </c>
      <c r="C64" s="53">
        <f>_xll.xlqAAII($C$3,$A64&amp;C$2&amp;"_x",C$1,$B$1)</f>
        <v>7.9</v>
      </c>
      <c r="D64" s="53">
        <f>_xll.xlqAAII($C$3,$A64&amp;D$2&amp;"_x",D$1,$B$1)</f>
        <v>8.6</v>
      </c>
      <c r="E64" s="53">
        <f>_xll.xlqAAII($C$3,$A64&amp;E$2&amp;"_x",E$1,$B$1)</f>
        <v>9.5</v>
      </c>
      <c r="F64" s="53">
        <f>_xll.xlqAAII($C$3,$A64&amp;F$2&amp;"_x",F$1,$B$1)</f>
        <v>10.5</v>
      </c>
      <c r="G64" s="53">
        <f>_xll.xlqAAII($C$3,$A64&amp;G$2&amp;"_x",G$1,$B$1)</f>
        <v>12.1</v>
      </c>
      <c r="H64" s="53">
        <f>_xll.xlqAAII($C$3,$A64&amp;H$2&amp;"_x",H$1,$B$1)</f>
        <v>12.9</v>
      </c>
      <c r="I64" s="53">
        <f>_xll.xlqAAII($C$3,$A64&amp;I$2&amp;"_x",I$1,$B$1)</f>
        <v>14</v>
      </c>
      <c r="J64" s="53">
        <f>_xll.xlqAAII($C$3,$A64&amp;J$2&amp;"_x",J$1,$B$1)</f>
        <v>31.8</v>
      </c>
      <c r="K64" s="54"/>
      <c r="L64" s="53"/>
    </row>
    <row r="65" spans="1:12" s="36" customFormat="1" x14ac:dyDescent="0.25">
      <c r="A65" s="36" t="s">
        <v>183</v>
      </c>
      <c r="B65" s="37" t="str">
        <f>_xll.xlqAAIIDescrip($A65&amp;B$2&amp;"_x")</f>
        <v>Other Long-Term Assets</v>
      </c>
      <c r="C65" s="55">
        <f>_xll.xlqAAII($C$3,$A65&amp;C$2&amp;"_x",C$1,$B$1)</f>
        <v>12.3</v>
      </c>
      <c r="D65" s="55">
        <f>_xll.xlqAAII($C$3,$A65&amp;D$2&amp;"_x",D$1,$B$1)</f>
        <v>4.5</v>
      </c>
      <c r="E65" s="55">
        <f>_xll.xlqAAII($C$3,$A65&amp;E$2&amp;"_x",E$1,$B$1)</f>
        <v>0.3</v>
      </c>
      <c r="F65" s="55">
        <f>_xll.xlqAAII($C$3,$A65&amp;F$2&amp;"_x",F$1,$B$1)</f>
        <v>0.2</v>
      </c>
      <c r="G65" s="55">
        <f>_xll.xlqAAII($C$3,$A65&amp;G$2&amp;"_x",G$1,$B$1)</f>
        <v>0.2</v>
      </c>
      <c r="H65" s="55">
        <f>_xll.xlqAAII($C$3,$A65&amp;H$2&amp;"_x",H$1,$B$1)</f>
        <v>0.4</v>
      </c>
      <c r="I65" s="55">
        <f>_xll.xlqAAII($C$3,$A65&amp;I$2&amp;"_x",I$1,$B$1)</f>
        <v>0.2</v>
      </c>
      <c r="J65" s="55">
        <f>_xll.xlqAAII($C$3,$A65&amp;J$2&amp;"_x",J$1,$B$1)</f>
        <v>0.1</v>
      </c>
      <c r="K65" s="56"/>
      <c r="L65" s="55"/>
    </row>
    <row r="66" spans="1:12" s="1" customFormat="1" x14ac:dyDescent="0.25">
      <c r="A66" s="1" t="s">
        <v>184</v>
      </c>
      <c r="B66" s="1" t="str">
        <f>_xll.xlqAAIIDescrip($A66&amp;B$2&amp;"_x")</f>
        <v>Total Assets</v>
      </c>
      <c r="C66" s="59">
        <f>_xll.xlqAAII($C$3,$A66&amp;C$2&amp;"_x",C$1,$B$1)</f>
        <v>266.10000000000002</v>
      </c>
      <c r="D66" s="59">
        <f>_xll.xlqAAII($C$3,$A66&amp;D$2&amp;"_x",D$1,$B$1)</f>
        <v>240.4</v>
      </c>
      <c r="E66" s="59">
        <f>_xll.xlqAAII($C$3,$A66&amp;E$2&amp;"_x",E$1,$B$1)</f>
        <v>229.5</v>
      </c>
      <c r="F66" s="59">
        <f>_xll.xlqAAII($C$3,$A66&amp;F$2&amp;"_x",F$1,$B$1)</f>
        <v>210.8</v>
      </c>
      <c r="G66" s="59">
        <f>_xll.xlqAAII($C$3,$A66&amp;G$2&amp;"_x",G$1,$B$1)</f>
        <v>198.4</v>
      </c>
      <c r="H66" s="59">
        <f>_xll.xlqAAII($C$3,$A66&amp;H$2&amp;"_x",H$1,$B$1)</f>
        <v>173.1</v>
      </c>
      <c r="I66" s="59">
        <f>_xll.xlqAAII($C$3,$A66&amp;I$2&amp;"_x",I$1,$B$1)</f>
        <v>164.9</v>
      </c>
      <c r="J66" s="59">
        <f>_xll.xlqAAII($C$3,$A66&amp;J$2&amp;"_x",J$1,$B$1)</f>
        <v>173.9</v>
      </c>
      <c r="K66" s="60"/>
      <c r="L66" s="59"/>
    </row>
    <row r="67" spans="1:12" x14ac:dyDescent="0.25">
      <c r="C67" s="53"/>
      <c r="D67" s="53"/>
      <c r="E67" s="53"/>
      <c r="F67" s="53"/>
      <c r="G67" s="53"/>
      <c r="H67" s="53"/>
      <c r="I67" s="53"/>
      <c r="J67" s="53"/>
      <c r="K67" s="54"/>
      <c r="L67" s="53"/>
    </row>
    <row r="68" spans="1:12" x14ac:dyDescent="0.25">
      <c r="B68" s="1" t="s">
        <v>141</v>
      </c>
      <c r="C68" s="53"/>
      <c r="D68" s="53"/>
      <c r="E68" s="53"/>
      <c r="F68" s="53"/>
      <c r="G68" s="53"/>
      <c r="H68" s="53"/>
      <c r="I68" s="53"/>
      <c r="J68" s="53"/>
      <c r="K68" s="54"/>
      <c r="L68" s="53"/>
    </row>
    <row r="69" spans="1:12" x14ac:dyDescent="0.25">
      <c r="A69" s="2" t="s">
        <v>185</v>
      </c>
      <c r="B69" s="1" t="str">
        <f>_xll.xlqAAIIDescrip($A69&amp;B$2&amp;"_x")</f>
        <v>Accounts Payable</v>
      </c>
      <c r="C69" s="53">
        <f>_xll.xlqAAII($C$3,$A69&amp;C$2&amp;"_x",C$1,$B$1)</f>
        <v>29.7</v>
      </c>
      <c r="D69" s="53">
        <f>_xll.xlqAAII($C$3,$A69&amp;D$2&amp;"_x",D$1,$B$1)</f>
        <v>24.2</v>
      </c>
      <c r="E69" s="53">
        <f>_xll.xlqAAII($C$3,$A69&amp;E$2&amp;"_x",E$1,$B$1)</f>
        <v>25.1</v>
      </c>
      <c r="F69" s="53">
        <f>_xll.xlqAAII($C$3,$A69&amp;F$2&amp;"_x",F$1,$B$1)</f>
        <v>27.8</v>
      </c>
      <c r="G69" s="53">
        <f>_xll.xlqAAII($C$3,$A69&amp;G$2&amp;"_x",G$1,$B$1)</f>
        <v>22.9</v>
      </c>
      <c r="H69" s="53">
        <f>_xll.xlqAAII($C$3,$A69&amp;H$2&amp;"_x",H$1,$B$1)</f>
        <v>19.8</v>
      </c>
      <c r="I69" s="53">
        <f>_xll.xlqAAII($C$3,$A69&amp;I$2&amp;"_x",I$1,$B$1)</f>
        <v>15.8</v>
      </c>
      <c r="J69" s="53">
        <f>_xll.xlqAAII($C$3,$A69&amp;J$2&amp;"_x",J$1,$B$1)</f>
        <v>15.3</v>
      </c>
      <c r="K69" s="54"/>
      <c r="L69" s="53"/>
    </row>
    <row r="70" spans="1:12" x14ac:dyDescent="0.25">
      <c r="A70" s="2" t="s">
        <v>186</v>
      </c>
      <c r="B70" s="1" t="str">
        <f>_xll.xlqAAIIDescrip($A70&amp;B$2&amp;"_x")</f>
        <v>Short-Term Debt</v>
      </c>
      <c r="C70" s="53">
        <f>_xll.xlqAAII($C$3,$A70&amp;C$2&amp;"_x",C$1,$B$1)</f>
        <v>3.1</v>
      </c>
      <c r="D70" s="53">
        <f>_xll.xlqAAII($C$3,$A70&amp;D$2&amp;"_x",D$1,$B$1)</f>
        <v>3.1</v>
      </c>
      <c r="E70" s="53" t="str">
        <f>_xll.xlqAAII($C$3,$A70&amp;E$2&amp;"_x",E$1,$B$1)</f>
        <v>NA</v>
      </c>
      <c r="F70" s="53" t="str">
        <f>_xll.xlqAAII($C$3,$A70&amp;F$2&amp;"_x",F$1,$B$1)</f>
        <v>NA</v>
      </c>
      <c r="G70" s="53" t="str">
        <f>_xll.xlqAAII($C$3,$A70&amp;G$2&amp;"_x",G$1,$B$1)</f>
        <v>NA</v>
      </c>
      <c r="H70" s="53" t="str">
        <f>_xll.xlqAAII($C$3,$A70&amp;H$2&amp;"_x",H$1,$B$1)</f>
        <v>NA</v>
      </c>
      <c r="I70" s="53" t="str">
        <f>_xll.xlqAAII($C$3,$A70&amp;I$2&amp;"_x",I$1,$B$1)</f>
        <v>NA</v>
      </c>
      <c r="J70" s="53" t="str">
        <f>_xll.xlqAAII($C$3,$A70&amp;J$2&amp;"_x",J$1,$B$1)</f>
        <v>NA</v>
      </c>
      <c r="K70" s="54"/>
      <c r="L70" s="53"/>
    </row>
    <row r="71" spans="1:12" s="36" customFormat="1" x14ac:dyDescent="0.25">
      <c r="A71" s="36" t="s">
        <v>187</v>
      </c>
      <c r="B71" s="37" t="str">
        <f>_xll.xlqAAIIDescrip($A71&amp;B$2&amp;"_x")</f>
        <v>Other Current Liabilities</v>
      </c>
      <c r="C71" s="55">
        <f>_xll.xlqAAII($C$3,$A71&amp;C$2&amp;"_x",C$1,$B$1)</f>
        <v>34.1</v>
      </c>
      <c r="D71" s="55">
        <f>_xll.xlqAAII($C$3,$A71&amp;D$2&amp;"_x",D$1,$B$1)</f>
        <v>37.200000000000003</v>
      </c>
      <c r="E71" s="55">
        <f>_xll.xlqAAII($C$3,$A71&amp;E$2&amp;"_x",E$1,$B$1)</f>
        <v>40.1</v>
      </c>
      <c r="F71" s="55">
        <f>_xll.xlqAAII($C$3,$A71&amp;F$2&amp;"_x",F$1,$B$1)</f>
        <v>30.6</v>
      </c>
      <c r="G71" s="55">
        <f>_xll.xlqAAII($C$3,$A71&amp;G$2&amp;"_x",G$1,$B$1)</f>
        <v>31.5</v>
      </c>
      <c r="H71" s="55">
        <f>_xll.xlqAAII($C$3,$A71&amp;H$2&amp;"_x",H$1,$B$1)</f>
        <v>25.8</v>
      </c>
      <c r="I71" s="55">
        <f>_xll.xlqAAII($C$3,$A71&amp;I$2&amp;"_x",I$1,$B$1)</f>
        <v>17.2</v>
      </c>
      <c r="J71" s="55">
        <f>_xll.xlqAAII($C$3,$A71&amp;J$2&amp;"_x",J$1,$B$1)</f>
        <v>13.7</v>
      </c>
      <c r="K71" s="56"/>
      <c r="L71" s="55"/>
    </row>
    <row r="72" spans="1:12" s="1" customFormat="1" x14ac:dyDescent="0.25">
      <c r="A72" s="1" t="s">
        <v>188</v>
      </c>
      <c r="B72" s="1" t="str">
        <f>_xll.xlqAAIIDescrip($A72&amp;B$2&amp;"_x")</f>
        <v>Current Liabilities</v>
      </c>
      <c r="C72" s="59">
        <f>_xll.xlqAAII($C$3,$A72&amp;C$2&amp;"_x",C$1,$B$1)</f>
        <v>66.900000000000006</v>
      </c>
      <c r="D72" s="59">
        <f>_xll.xlqAAII($C$3,$A72&amp;D$2&amp;"_x",D$1,$B$1)</f>
        <v>64.599999999999994</v>
      </c>
      <c r="E72" s="59">
        <f>_xll.xlqAAII($C$3,$A72&amp;E$2&amp;"_x",E$1,$B$1)</f>
        <v>65.099999999999994</v>
      </c>
      <c r="F72" s="59">
        <f>_xll.xlqAAII($C$3,$A72&amp;F$2&amp;"_x",F$1,$B$1)</f>
        <v>58.4</v>
      </c>
      <c r="G72" s="59">
        <f>_xll.xlqAAII($C$3,$A72&amp;G$2&amp;"_x",G$1,$B$1)</f>
        <v>54.4</v>
      </c>
      <c r="H72" s="59">
        <f>_xll.xlqAAII($C$3,$A72&amp;H$2&amp;"_x",H$1,$B$1)</f>
        <v>45.6</v>
      </c>
      <c r="I72" s="59">
        <f>_xll.xlqAAII($C$3,$A72&amp;I$2&amp;"_x",I$1,$B$1)</f>
        <v>33</v>
      </c>
      <c r="J72" s="59">
        <f>_xll.xlqAAII($C$3,$A72&amp;J$2&amp;"_x",J$1,$B$1)</f>
        <v>29</v>
      </c>
      <c r="K72" s="60"/>
      <c r="L72" s="59"/>
    </row>
    <row r="73" spans="1:12" x14ac:dyDescent="0.25">
      <c r="C73" s="53"/>
      <c r="D73" s="53"/>
      <c r="E73" s="53"/>
      <c r="F73" s="53"/>
      <c r="G73" s="53"/>
      <c r="H73" s="53"/>
      <c r="I73" s="53"/>
      <c r="J73" s="53"/>
      <c r="K73" s="54"/>
      <c r="L73" s="53"/>
    </row>
    <row r="74" spans="1:12" x14ac:dyDescent="0.25">
      <c r="A74" s="2" t="s">
        <v>189</v>
      </c>
      <c r="B74" s="1" t="str">
        <f>_xll.xlqAAIIDescrip($A74&amp;B$2&amp;"_x")</f>
        <v>Long-Term Debt</v>
      </c>
      <c r="C74" s="53">
        <f>_xll.xlqAAII($C$3,$A74&amp;C$2&amp;"_x",C$1,$B$1)</f>
        <v>40.200000000000003</v>
      </c>
      <c r="D74" s="53">
        <f>_xll.xlqAAII($C$3,$A74&amp;D$2&amp;"_x",D$1,$B$1)</f>
        <v>38.200000000000003</v>
      </c>
      <c r="E74" s="53">
        <f>_xll.xlqAAII($C$3,$A74&amp;E$2&amp;"_x",E$1,$B$1)</f>
        <v>41.5</v>
      </c>
      <c r="F74" s="53">
        <f>_xll.xlqAAII($C$3,$A74&amp;F$2&amp;"_x",F$1,$B$1)</f>
        <v>34.6</v>
      </c>
      <c r="G74" s="53">
        <f>_xll.xlqAAII($C$3,$A74&amp;G$2&amp;"_x",G$1,$B$1)</f>
        <v>29.4</v>
      </c>
      <c r="H74" s="53">
        <f>_xll.xlqAAII($C$3,$A74&amp;H$2&amp;"_x",H$1,$B$1)</f>
        <v>18</v>
      </c>
      <c r="I74" s="53">
        <f>_xll.xlqAAII($C$3,$A74&amp;I$2&amp;"_x",I$1,$B$1)</f>
        <v>22</v>
      </c>
      <c r="J74" s="53">
        <f>_xll.xlqAAII($C$3,$A74&amp;J$2&amp;"_x",J$1,$B$1)</f>
        <v>23.9</v>
      </c>
      <c r="K74" s="54"/>
      <c r="L74" s="53"/>
    </row>
    <row r="75" spans="1:12" s="36" customFormat="1" x14ac:dyDescent="0.25">
      <c r="A75" s="36" t="s">
        <v>190</v>
      </c>
      <c r="B75" s="37" t="str">
        <f>_xll.xlqAAIIDescrip($A75&amp;B$2&amp;"_x")</f>
        <v>Other Long-Term Liabilities</v>
      </c>
      <c r="C75" s="55">
        <f>_xll.xlqAAII($C$3,$A75&amp;C$2&amp;"_x",C$1,$B$1)</f>
        <v>10</v>
      </c>
      <c r="D75" s="55">
        <f>_xll.xlqAAII($C$3,$A75&amp;D$2&amp;"_x",D$1,$B$1)</f>
        <v>3.3</v>
      </c>
      <c r="E75" s="55">
        <f>_xll.xlqAAII($C$3,$A75&amp;E$2&amp;"_x",E$1,$B$1)</f>
        <v>3.5</v>
      </c>
      <c r="F75" s="55">
        <f>_xll.xlqAAII($C$3,$A75&amp;F$2&amp;"_x",F$1,$B$1)</f>
        <v>3.6</v>
      </c>
      <c r="G75" s="55">
        <f>_xll.xlqAAII($C$3,$A75&amp;G$2&amp;"_x",G$1,$B$1)</f>
        <v>3.3</v>
      </c>
      <c r="H75" s="55">
        <f>_xll.xlqAAII($C$3,$A75&amp;H$2&amp;"_x",H$1,$B$1)</f>
        <v>3.7</v>
      </c>
      <c r="I75" s="55">
        <f>_xll.xlqAAII($C$3,$A75&amp;I$2&amp;"_x",I$1,$B$1)</f>
        <v>3.6</v>
      </c>
      <c r="J75" s="55">
        <f>_xll.xlqAAII($C$3,$A75&amp;J$2&amp;"_x",J$1,$B$1)</f>
        <v>3.9</v>
      </c>
      <c r="K75" s="56"/>
      <c r="L75" s="55"/>
    </row>
    <row r="76" spans="1:12" s="1" customFormat="1" x14ac:dyDescent="0.25">
      <c r="A76" s="1" t="s">
        <v>191</v>
      </c>
      <c r="B76" s="1" t="str">
        <f>_xll.xlqAAIIDescrip($A76&amp;B$2&amp;"_x")</f>
        <v>Total Liabilities</v>
      </c>
      <c r="C76" s="59">
        <f>_xll.xlqAAII($C$3,$A76&amp;C$2&amp;"_x",C$1,$B$1)</f>
        <v>117.2</v>
      </c>
      <c r="D76" s="59">
        <f>_xll.xlqAAII($C$3,$A76&amp;D$2&amp;"_x",D$1,$B$1)</f>
        <v>106.1</v>
      </c>
      <c r="E76" s="59">
        <f>_xll.xlqAAII($C$3,$A76&amp;E$2&amp;"_x",E$1,$B$1)</f>
        <v>110.1</v>
      </c>
      <c r="F76" s="59">
        <f>_xll.xlqAAII($C$3,$A76&amp;F$2&amp;"_x",F$1,$B$1)</f>
        <v>96.6</v>
      </c>
      <c r="G76" s="59">
        <f>_xll.xlqAAII($C$3,$A76&amp;G$2&amp;"_x",G$1,$B$1)</f>
        <v>87.1</v>
      </c>
      <c r="H76" s="59">
        <f>_xll.xlqAAII($C$3,$A76&amp;H$2&amp;"_x",H$1,$B$1)</f>
        <v>67.3</v>
      </c>
      <c r="I76" s="59">
        <f>_xll.xlqAAII($C$3,$A76&amp;I$2&amp;"_x",I$1,$B$1)</f>
        <v>58.6</v>
      </c>
      <c r="J76" s="59">
        <f>_xll.xlqAAII($C$3,$A76&amp;J$2&amp;"_x",J$1,$B$1)</f>
        <v>56.9</v>
      </c>
      <c r="K76" s="60"/>
      <c r="L76" s="59"/>
    </row>
    <row r="77" spans="1:12" s="1" customFormat="1" x14ac:dyDescent="0.25">
      <c r="C77" s="59"/>
      <c r="D77" s="59"/>
      <c r="E77" s="59"/>
      <c r="F77" s="59"/>
      <c r="G77" s="59"/>
      <c r="H77" s="59"/>
      <c r="I77" s="59"/>
      <c r="J77" s="59"/>
      <c r="K77" s="60"/>
      <c r="L77" s="59"/>
    </row>
    <row r="78" spans="1:12" x14ac:dyDescent="0.25">
      <c r="A78" s="2" t="s">
        <v>192</v>
      </c>
      <c r="B78" s="1" t="str">
        <f>_xll.xlqAAIIDescrip($A78&amp;B$2&amp;"_x")</f>
        <v>Preferred Stock</v>
      </c>
      <c r="C78" s="53">
        <f>_xll.xlqAAII($C$3,$A78&amp;C$2&amp;"_x",C$1,$B$1)</f>
        <v>0</v>
      </c>
      <c r="D78" s="53">
        <f>_xll.xlqAAII($C$3,$A78&amp;D$2&amp;"_x",D$1,$B$1)</f>
        <v>0</v>
      </c>
      <c r="E78" s="53">
        <f>_xll.xlqAAII($C$3,$A78&amp;E$2&amp;"_x",E$1,$B$1)</f>
        <v>0</v>
      </c>
      <c r="F78" s="53">
        <f>_xll.xlqAAII($C$3,$A78&amp;F$2&amp;"_x",F$1,$B$1)</f>
        <v>0</v>
      </c>
      <c r="G78" s="53">
        <f>_xll.xlqAAII($C$3,$A78&amp;G$2&amp;"_x",G$1,$B$1)</f>
        <v>0</v>
      </c>
      <c r="H78" s="53">
        <f>_xll.xlqAAII($C$3,$A78&amp;H$2&amp;"_x",H$1,$B$1)</f>
        <v>0</v>
      </c>
      <c r="I78" s="53">
        <f>_xll.xlqAAII($C$3,$A78&amp;I$2&amp;"_x",I$1,$B$1)</f>
        <v>0</v>
      </c>
      <c r="J78" s="53">
        <f>_xll.xlqAAII($C$3,$A78&amp;J$2&amp;"_x",J$1,$B$1)</f>
        <v>0</v>
      </c>
      <c r="K78" s="54"/>
      <c r="L78" s="53"/>
    </row>
    <row r="79" spans="1:12" s="36" customFormat="1" x14ac:dyDescent="0.25">
      <c r="A79" s="36" t="s">
        <v>193</v>
      </c>
      <c r="B79" s="37" t="str">
        <f>_xll.xlqAAIIDescrip($A79&amp;B$2&amp;"_x")</f>
        <v>Equity (Common)</v>
      </c>
      <c r="C79" s="55">
        <f>_xll.xlqAAII($C$3,$A79&amp;C$2&amp;"_x",C$1,$B$1)</f>
        <v>148.9</v>
      </c>
      <c r="D79" s="55">
        <f>_xll.xlqAAII($C$3,$A79&amp;D$2&amp;"_x",D$1,$B$1)</f>
        <v>134.30000000000001</v>
      </c>
      <c r="E79" s="55">
        <f>_xll.xlqAAII($C$3,$A79&amp;E$2&amp;"_x",E$1,$B$1)</f>
        <v>119.4</v>
      </c>
      <c r="F79" s="55">
        <f>_xll.xlqAAII($C$3,$A79&amp;F$2&amp;"_x",F$1,$B$1)</f>
        <v>114.2</v>
      </c>
      <c r="G79" s="55">
        <f>_xll.xlqAAII($C$3,$A79&amp;G$2&amp;"_x",G$1,$B$1)</f>
        <v>111.4</v>
      </c>
      <c r="H79" s="55">
        <f>_xll.xlqAAII($C$3,$A79&amp;H$2&amp;"_x",H$1,$B$1)</f>
        <v>105.8</v>
      </c>
      <c r="I79" s="55">
        <f>_xll.xlqAAII($C$3,$A79&amp;I$2&amp;"_x",I$1,$B$1)</f>
        <v>106.3</v>
      </c>
      <c r="J79" s="55">
        <f>_xll.xlqAAII($C$3,$A79&amp;J$2&amp;"_x",J$1,$B$1)</f>
        <v>117</v>
      </c>
      <c r="K79" s="56"/>
      <c r="L79" s="55"/>
    </row>
    <row r="80" spans="1:12" s="1" customFormat="1" x14ac:dyDescent="0.25">
      <c r="A80" s="1" t="s">
        <v>194</v>
      </c>
      <c r="B80" s="1" t="str">
        <f>_xll.xlqAAIIDescrip($A80&amp;B$2&amp;"_x")</f>
        <v>Liabilities And Equity</v>
      </c>
      <c r="C80" s="59">
        <f>_xll.xlqAAII($C$3,$A80&amp;C$2&amp;"_x",C$1,$B$1)</f>
        <v>266.10000000000002</v>
      </c>
      <c r="D80" s="59">
        <f>_xll.xlqAAII($C$3,$A80&amp;D$2&amp;"_x",D$1,$B$1)</f>
        <v>240.4</v>
      </c>
      <c r="E80" s="59">
        <f>_xll.xlqAAII($C$3,$A80&amp;E$2&amp;"_x",E$1,$B$1)</f>
        <v>229.5</v>
      </c>
      <c r="F80" s="59">
        <f>_xll.xlqAAII($C$3,$A80&amp;F$2&amp;"_x",F$1,$B$1)</f>
        <v>210.8</v>
      </c>
      <c r="G80" s="59">
        <f>_xll.xlqAAII($C$3,$A80&amp;G$2&amp;"_x",G$1,$B$1)</f>
        <v>198.4</v>
      </c>
      <c r="H80" s="59">
        <f>_xll.xlqAAII($C$3,$A80&amp;H$2&amp;"_x",H$1,$B$1)</f>
        <v>173.1</v>
      </c>
      <c r="I80" s="59">
        <f>_xll.xlqAAII($C$3,$A80&amp;I$2&amp;"_x",I$1,$B$1)</f>
        <v>164.9</v>
      </c>
      <c r="J80" s="59">
        <f>_xll.xlqAAII($C$3,$A80&amp;J$2&amp;"_x",J$1,$B$1)</f>
        <v>173.9</v>
      </c>
      <c r="K80" s="60"/>
      <c r="L80" s="59"/>
    </row>
    <row r="81" spans="1:12" x14ac:dyDescent="0.25">
      <c r="C81" s="19"/>
      <c r="D81" s="19"/>
      <c r="E81" s="19"/>
      <c r="F81" s="19"/>
      <c r="G81" s="19"/>
      <c r="H81" s="19"/>
      <c r="I81" s="19"/>
      <c r="J81" s="19"/>
      <c r="K81" s="23"/>
      <c r="L81" s="19"/>
    </row>
    <row r="82" spans="1:12" x14ac:dyDescent="0.25">
      <c r="A82" s="2" t="s">
        <v>195</v>
      </c>
      <c r="B82" s="1" t="str">
        <f>_xll.xlqAAIIDescrip($A82&amp;B$2&amp;"_x")</f>
        <v>Book Value/Share</v>
      </c>
      <c r="C82" s="19">
        <f>_xll.xlqAAII($C$3,$A82&amp;C$2&amp;"_x",C$1,$B$1)</f>
        <v>10.199999999999999</v>
      </c>
      <c r="D82" s="19">
        <f>_xll.xlqAAII($C$3,$A82&amp;D$2&amp;"_x",D$1,$B$1)</f>
        <v>9.2200000000000006</v>
      </c>
      <c r="E82" s="19">
        <f>_xll.xlqAAII($C$3,$A82&amp;E$2&amp;"_x",E$1,$B$1)</f>
        <v>8.19</v>
      </c>
      <c r="F82" s="19">
        <f>_xll.xlqAAII($C$3,$A82&amp;F$2&amp;"_x",F$1,$B$1)</f>
        <v>7.85</v>
      </c>
      <c r="G82" s="19">
        <f>_xll.xlqAAII($C$3,$A82&amp;G$2&amp;"_x",G$1,$B$1)</f>
        <v>7.67</v>
      </c>
      <c r="H82" s="19">
        <f>_xll.xlqAAII($C$3,$A82&amp;H$2&amp;"_x",H$1,$B$1)</f>
        <v>7.35</v>
      </c>
      <c r="I82" s="19">
        <f>_xll.xlqAAII($C$3,$A82&amp;I$2&amp;"_x",I$1,$B$1)</f>
        <v>7.4</v>
      </c>
      <c r="J82" s="19">
        <f>_xll.xlqAAII($C$3,$A82&amp;J$2&amp;"_x",J$1,$B$1)</f>
        <v>8.15</v>
      </c>
      <c r="K82" s="23"/>
      <c r="L82" s="19"/>
    </row>
    <row r="85" spans="1:12" x14ac:dyDescent="0.25">
      <c r="A85" s="2" t="s">
        <v>787</v>
      </c>
      <c r="B85" s="1" t="str">
        <f>_xll.xlqAAIIDescrip(A85)</f>
        <v>Float</v>
      </c>
      <c r="C85" s="25">
        <f>_xll.xlqAAII($C$3,$A85,C$1,$B$1)</f>
        <v>14.237</v>
      </c>
      <c r="D85" s="25">
        <f>_xll.xlqAAII($C$2,"Industry"&amp;$A85,,$B$1)</f>
        <v>38.71</v>
      </c>
      <c r="E85" s="25">
        <f>_xll.xlqAAII($C$2,"Sector"&amp;$A85,,$B$1)</f>
        <v>38.799999999999997</v>
      </c>
      <c r="F85" s="25" t="str">
        <f>_xll.xlqAAII($C$2,"PcntRank"&amp;$A85,F$1,$B$1)</f>
        <v>#N/A</v>
      </c>
    </row>
    <row r="86" spans="1:12" x14ac:dyDescent="0.25">
      <c r="A86" s="2" t="s">
        <v>787</v>
      </c>
      <c r="B86" s="1" t="str">
        <f>_xll.xlqAAIIDescrip($A86)</f>
        <v>Float</v>
      </c>
      <c r="C86" s="19" t="str">
        <f>_xll.xlqAAII($C$3,$A86&amp;C$2&amp;"_x",C$1,$B$1)</f>
        <v>#ERROR</v>
      </c>
      <c r="D86" s="19" t="str">
        <f>_xll.xlqAAII($C$3,$A86&amp;D$2&amp;"_x",D$1,$B$1)</f>
        <v>#ERROR</v>
      </c>
      <c r="E86" s="19" t="str">
        <f>_xll.xlqAAII($C$3,$A86&amp;E$2&amp;"_x",E$1,$B$1)</f>
        <v>#ERROR</v>
      </c>
      <c r="F86" s="19" t="str">
        <f>_xll.xlqAAII($C$3,$A86&amp;F$2&amp;"_x",F$1,$B$1)</f>
        <v>#ERROR</v>
      </c>
      <c r="G86" s="19" t="str">
        <f>_xll.xlqAAII($C$3,$A86&amp;G$2&amp;"_x",G$1,$B$1)</f>
        <v>#ERROR</v>
      </c>
      <c r="H86" s="19" t="str">
        <f>_xll.xlqAAII($C$3,$A86&amp;H$2&amp;"_x",H$1,$B$1)</f>
        <v>#ERROR</v>
      </c>
      <c r="I86" s="19" t="str">
        <f>_xll.xlqAAII($C$3,$A86&amp;I$2&amp;"_x",I$1,$B$1)</f>
        <v>#ERROR</v>
      </c>
      <c r="J86" s="19" t="str">
        <f>_xll.xlqAAII($C$3,$A86&amp;J$2&amp;"_x",J$1,$B$1)</f>
        <v>#ERROR</v>
      </c>
      <c r="K86" s="23"/>
      <c r="L86" s="19"/>
    </row>
  </sheetData>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C5480-6D2B-4919-8FAC-CDB69DCF174F}">
  <dimension ref="A1:M80"/>
  <sheetViews>
    <sheetView tabSelected="1" workbookViewId="0">
      <pane ySplit="1" topLeftCell="A2" activePane="bottomLeft" state="frozen"/>
      <selection pane="bottomLeft" activeCell="A2" sqref="A2"/>
    </sheetView>
  </sheetViews>
  <sheetFormatPr defaultRowHeight="12.75" x14ac:dyDescent="0.2"/>
  <cols>
    <col min="1" max="1" width="26.7109375" bestFit="1" customWidth="1"/>
    <col min="2" max="2" width="23.5703125" customWidth="1"/>
    <col min="3" max="3" width="7.42578125" style="62" customWidth="1"/>
    <col min="4" max="4" width="27.140625" style="63" bestFit="1" customWidth="1"/>
    <col min="5" max="5" width="18.7109375" style="63" bestFit="1" customWidth="1"/>
    <col min="6" max="13" width="12.7109375" style="63" customWidth="1"/>
  </cols>
  <sheetData>
    <row r="1" spans="1:13" x14ac:dyDescent="0.2">
      <c r="A1" s="61" t="s">
        <v>1817</v>
      </c>
      <c r="B1" s="61"/>
      <c r="C1" s="65"/>
      <c r="D1" s="64"/>
      <c r="E1" s="64"/>
      <c r="F1" s="65">
        <v>1</v>
      </c>
      <c r="G1" s="65">
        <v>2</v>
      </c>
      <c r="H1" s="65">
        <v>3</v>
      </c>
      <c r="I1" s="62">
        <v>4</v>
      </c>
      <c r="J1" s="62">
        <v>5</v>
      </c>
      <c r="K1" s="62">
        <v>6</v>
      </c>
      <c r="L1" s="62">
        <v>7</v>
      </c>
      <c r="M1" s="62">
        <v>8</v>
      </c>
    </row>
    <row r="2" spans="1:13" x14ac:dyDescent="0.2">
      <c r="C2" s="65"/>
      <c r="D2" s="64"/>
      <c r="E2" s="64"/>
    </row>
    <row r="3" spans="1:13" x14ac:dyDescent="0.2">
      <c r="C3" s="67" t="str">
        <f>UPPER(A1)</f>
        <v>BEAT</v>
      </c>
      <c r="D3" s="64" t="str">
        <f>_xll.xlqAAII($C$3,"name")</f>
        <v>BioTelemetry Inc</v>
      </c>
      <c r="E3" s="64" t="str">
        <f>_xll.xlqAAII($C$3,"city",,0)&amp;", "&amp;_xll.xlqAAII($C$3,"state",,0)</f>
        <v>MALVERN, PA</v>
      </c>
      <c r="F3" s="64"/>
      <c r="G3" s="64" t="str">
        <f>_xll.xlqAAII($C$3,"SPComponent",,0)</f>
        <v>SmallCap 600</v>
      </c>
      <c r="H3" s="64"/>
    </row>
    <row r="4" spans="1:13" x14ac:dyDescent="0.2">
      <c r="C4" s="65"/>
      <c r="D4" s="64" t="str">
        <f>_xll.xlqAAII($C$3,"sector",,0)&amp;", "&amp;_xll.xlqAAII($C$3,"industry",,0)</f>
        <v>Healthcare, Healthcare Facilities &amp; Services</v>
      </c>
      <c r="F4" s="64"/>
      <c r="G4" s="64"/>
      <c r="H4" s="64"/>
    </row>
    <row r="5" spans="1:13" x14ac:dyDescent="0.2">
      <c r="C5" s="65"/>
      <c r="D5" s="64" t="s">
        <v>836</v>
      </c>
      <c r="E5" s="68">
        <f>_xll.xlqAAII($C$3,"employees",,0)</f>
        <v>1500</v>
      </c>
      <c r="F5" s="64"/>
      <c r="G5" s="64"/>
      <c r="H5" s="64"/>
    </row>
    <row r="6" spans="1:13" x14ac:dyDescent="0.2">
      <c r="C6" s="65"/>
      <c r="D6" s="64" t="s">
        <v>1809</v>
      </c>
      <c r="E6" s="68">
        <f>IFERROR(_xll.xlqAAII($C$3,"GrossOperatingIncomeQ_x",1,0) * 1000000 / E5, "?")</f>
        <v>8800</v>
      </c>
      <c r="F6" s="64"/>
      <c r="G6" s="64"/>
      <c r="H6" s="64"/>
    </row>
    <row r="7" spans="1:13" x14ac:dyDescent="0.2">
      <c r="C7" s="65"/>
      <c r="D7" s="64" t="s">
        <v>1810</v>
      </c>
      <c r="E7" s="66">
        <f>_xll.xlqAAII($C$3,"EndingDateQ_x",1,0)</f>
        <v>43555</v>
      </c>
      <c r="F7" s="64"/>
      <c r="G7" s="64"/>
      <c r="H7" s="64"/>
    </row>
    <row r="8" spans="1:13" x14ac:dyDescent="0.2">
      <c r="C8" s="65"/>
      <c r="D8" s="64"/>
      <c r="E8" s="67"/>
      <c r="F8" s="64"/>
      <c r="G8" s="64"/>
      <c r="H8" s="64"/>
    </row>
    <row r="9" spans="1:13" x14ac:dyDescent="0.2">
      <c r="C9" s="65"/>
      <c r="D9" s="64" t="s">
        <v>1504</v>
      </c>
      <c r="E9" s="68">
        <f>_xll.xlqAAII($C$3,"MarketCapQ1",,0)*1000000</f>
        <v>1622900000</v>
      </c>
      <c r="F9" s="64"/>
      <c r="G9" s="64"/>
      <c r="H9" s="64"/>
    </row>
    <row r="10" spans="1:13" x14ac:dyDescent="0.2">
      <c r="C10" s="65"/>
      <c r="D10" s="64" t="s">
        <v>1811</v>
      </c>
      <c r="E10" s="68">
        <f>_xll.xlqAAII($C$3,"SharesAveQ_x",1,0)*1000000</f>
        <v>33654000</v>
      </c>
      <c r="F10" s="64"/>
      <c r="G10" s="64"/>
      <c r="H10" s="64"/>
    </row>
    <row r="11" spans="1:13" x14ac:dyDescent="0.2">
      <c r="C11" s="65"/>
      <c r="D11" s="64" t="s">
        <v>787</v>
      </c>
      <c r="E11" s="68">
        <f>_xll.xlqAAII($C$3,"float",,0)*1000000</f>
        <v>32860000</v>
      </c>
      <c r="F11" s="64"/>
      <c r="G11" s="64"/>
      <c r="H11" s="64"/>
    </row>
    <row r="12" spans="1:13" x14ac:dyDescent="0.2">
      <c r="C12" s="65"/>
      <c r="D12" s="64"/>
      <c r="E12" s="67" t="s">
        <v>1812</v>
      </c>
      <c r="F12" s="65" t="str">
        <f>"Q"&amp;F1</f>
        <v>Q1</v>
      </c>
      <c r="G12" s="65" t="str">
        <f>"Q"&amp;G1</f>
        <v>Q2</v>
      </c>
      <c r="H12" s="65" t="str">
        <f>"Q"&amp;H1</f>
        <v>Q3</v>
      </c>
      <c r="I12" s="65" t="str">
        <f>"Q"&amp;I1</f>
        <v>Q4</v>
      </c>
    </row>
    <row r="13" spans="1:13" x14ac:dyDescent="0.2">
      <c r="A13" s="69" t="s">
        <v>249</v>
      </c>
      <c r="B13" s="69"/>
      <c r="C13" s="65"/>
      <c r="D13" s="64" t="str">
        <f>_xll.xlqAAIIDescrip(A13)</f>
        <v>Sales</v>
      </c>
      <c r="E13" s="71">
        <f>SUM(F13:I13)</f>
        <v>409</v>
      </c>
      <c r="F13" s="70">
        <f>_xll.xlqAAII($C$3,$A13,F$1,0)</f>
        <v>104</v>
      </c>
      <c r="G13" s="70">
        <f>_xll.xlqAAII($C$3,$A13,G$1,0)</f>
        <v>103.6</v>
      </c>
      <c r="H13" s="70">
        <f>_xll.xlqAAII($C$3,$A13,H$1,0)</f>
        <v>100</v>
      </c>
      <c r="I13" s="70">
        <f>_xll.xlqAAII($C$3,$A13,I$1,0)</f>
        <v>101.4</v>
      </c>
    </row>
    <row r="14" spans="1:13" x14ac:dyDescent="0.2">
      <c r="A14" t="s">
        <v>273</v>
      </c>
      <c r="C14" s="65"/>
      <c r="D14" s="64" t="str">
        <f>_xll.xlqAAIIDescrip(A14)</f>
        <v>Gross Operating Income</v>
      </c>
      <c r="E14" s="71">
        <f>SUM(F14:I14)</f>
        <v>56.399999999999991</v>
      </c>
      <c r="F14" s="70">
        <f>_xll.xlqAAII($C$3,$A14,F$1,0)</f>
        <v>13.2</v>
      </c>
      <c r="G14" s="70">
        <f>_xll.xlqAAII($C$3,$A14,G$1,0)</f>
        <v>14.6</v>
      </c>
      <c r="H14" s="70">
        <f>_xll.xlqAAII($C$3,$A14,H$1,0)</f>
        <v>17.399999999999999</v>
      </c>
      <c r="I14" s="70">
        <f>_xll.xlqAAII($C$3,$A14,I$1,0)</f>
        <v>11.2</v>
      </c>
    </row>
    <row r="15" spans="1:13" x14ac:dyDescent="0.2">
      <c r="A15" t="s">
        <v>300</v>
      </c>
      <c r="C15" s="65"/>
      <c r="D15" s="64" t="str">
        <f>_xll.xlqAAIIDescrip(A15)</f>
        <v>Net Income</v>
      </c>
      <c r="E15" s="71">
        <f>SUM(F15:I15)</f>
        <v>48.5</v>
      </c>
      <c r="F15" s="70">
        <f>_xll.xlqAAII($C$3,$A15,F$1,0)</f>
        <v>11.7</v>
      </c>
      <c r="G15" s="70">
        <f>_xll.xlqAAII($C$3,$A15,G$1,0)</f>
        <v>10.4</v>
      </c>
      <c r="H15" s="70">
        <f>_xll.xlqAAII($C$3,$A15,H$1,0)</f>
        <v>16</v>
      </c>
      <c r="I15" s="70">
        <f>_xll.xlqAAII($C$3,$A15,I$1,0)</f>
        <v>10.4</v>
      </c>
    </row>
    <row r="16" spans="1:13" x14ac:dyDescent="0.2">
      <c r="A16" t="s">
        <v>264</v>
      </c>
      <c r="B16" t="s">
        <v>276</v>
      </c>
      <c r="C16" s="65"/>
      <c r="D16" s="64" t="str">
        <f>_xll.xlqAAIIDescrip(A16)</f>
        <v>Interest Expense</v>
      </c>
      <c r="E16" s="71">
        <f>SUM(F16:I16)</f>
        <v>10</v>
      </c>
      <c r="F16" s="70">
        <f>_xll.xlqAAII($C$3,$A16,F$1,0) + _xll.xlqAAII($C$3,$B16,F$1,0)</f>
        <v>2.5</v>
      </c>
      <c r="G16" s="70">
        <f>_xll.xlqAAII($C$3,$A16,G$1,0) + _xll.xlqAAII($C$3,$B16,G$1,0)</f>
        <v>2.4</v>
      </c>
      <c r="H16" s="70">
        <f>_xll.xlqAAII($C$3,$A16,H$1,0) + _xll.xlqAAII($C$3,$B16,H$1,0)</f>
        <v>2.4</v>
      </c>
      <c r="I16" s="70">
        <f>_xll.xlqAAII($C$3,$A16,I$1,0) + _xll.xlqAAII($C$3,$B16,I$1,0)</f>
        <v>2.7</v>
      </c>
    </row>
    <row r="17" spans="1:13" x14ac:dyDescent="0.2">
      <c r="C17" s="65"/>
      <c r="D17" s="64"/>
      <c r="E17" s="64"/>
      <c r="F17" s="64"/>
      <c r="G17" s="64"/>
      <c r="H17" s="64"/>
    </row>
    <row r="18" spans="1:13" x14ac:dyDescent="0.2">
      <c r="A18" s="69" t="s">
        <v>318</v>
      </c>
      <c r="C18" s="65"/>
      <c r="D18" s="64" t="str">
        <f>_xll.xlqAAIIDescrip(A18)</f>
        <v>Cash From Operations</v>
      </c>
      <c r="E18" s="71">
        <f>SUM(F18:I18)</f>
        <v>81.3</v>
      </c>
      <c r="F18" s="70">
        <f>_xll.xlqAAII($C$3,$A18,F$1,0)</f>
        <v>17.5</v>
      </c>
      <c r="G18" s="70">
        <f>_xll.xlqAAII($C$3,$A18,G$1,0)</f>
        <v>28.5</v>
      </c>
      <c r="H18" s="70">
        <f>_xll.xlqAAII($C$3,$A18,H$1,0)</f>
        <v>28.2</v>
      </c>
      <c r="I18" s="70">
        <f>_xll.xlqAAII($C$3,$A18,I$1,0)</f>
        <v>7.1</v>
      </c>
      <c r="J18" s="86"/>
      <c r="K18" s="86"/>
      <c r="L18" s="86"/>
      <c r="M18" s="86"/>
    </row>
    <row r="19" spans="1:13" x14ac:dyDescent="0.2">
      <c r="A19" s="69" t="s">
        <v>333</v>
      </c>
      <c r="C19" s="65"/>
      <c r="D19" s="72" t="str">
        <f>_xll.xlqAAIIDescrip(A19)</f>
        <v>Capital Expenditures</v>
      </c>
      <c r="E19" s="71">
        <f>SUM(F19:I19)</f>
        <v>-26</v>
      </c>
      <c r="F19" s="70">
        <f>_xll.xlqAAII($C$3,$A19,F$1,0)*-1</f>
        <v>-5.3</v>
      </c>
      <c r="G19" s="70">
        <f>_xll.xlqAAII($C$3,$A19,G$1,0)*-1</f>
        <v>-7.1</v>
      </c>
      <c r="H19" s="70">
        <f>_xll.xlqAAII($C$3,$A19,H$1,0)*-1</f>
        <v>-7.6</v>
      </c>
      <c r="I19" s="70">
        <f>_xll.xlqAAII($C$3,$A19,I$1,0)*-1</f>
        <v>-6</v>
      </c>
      <c r="J19" s="86"/>
      <c r="K19" s="86"/>
      <c r="L19" s="86"/>
      <c r="M19" s="86"/>
    </row>
    <row r="20" spans="1:13" x14ac:dyDescent="0.2">
      <c r="A20" s="69" t="s">
        <v>1749</v>
      </c>
      <c r="C20" s="65"/>
      <c r="D20" s="74" t="str">
        <f>_xll.xlqAAIIDescrip(A20)</f>
        <v>Dividends Paid</v>
      </c>
      <c r="E20" s="78">
        <f>SUM(F20:I20)</f>
        <v>0</v>
      </c>
      <c r="F20" s="79">
        <f>_xll.xlqAAII($C$3,$A20,F$1,0)</f>
        <v>0</v>
      </c>
      <c r="G20" s="79">
        <f>_xll.xlqAAII($C$3,$A20,G$1,0)</f>
        <v>0</v>
      </c>
      <c r="H20" s="79">
        <f>_xll.xlqAAII($C$3,$A20,H$1,0)</f>
        <v>0</v>
      </c>
      <c r="I20" s="79">
        <f>_xll.xlqAAII($C$3,$A20,I$1,0)</f>
        <v>0</v>
      </c>
      <c r="J20" s="86"/>
      <c r="K20" s="86"/>
      <c r="L20" s="86"/>
      <c r="M20" s="86"/>
    </row>
    <row r="21" spans="1:13" x14ac:dyDescent="0.2">
      <c r="A21" t="s">
        <v>339</v>
      </c>
      <c r="C21" s="65"/>
      <c r="D21" s="80" t="s">
        <v>1813</v>
      </c>
      <c r="E21" s="77">
        <f>SUM(F21:I21)</f>
        <v>51.49062</v>
      </c>
      <c r="F21" s="70">
        <f>_xll.xlqAAII($C$3,$A21,F$1,0)*$E$10/1000000</f>
        <v>11.442360000000001</v>
      </c>
      <c r="G21" s="70">
        <f>_xll.xlqAAII($C$3,$A21,G$1,0)*$E$10/1000000</f>
        <v>19.85586</v>
      </c>
      <c r="H21" s="70">
        <f>_xll.xlqAAII($C$3,$A21,H$1,0)*$E$10/1000000</f>
        <v>19.182780000000001</v>
      </c>
      <c r="I21" s="70">
        <f>_xll.xlqAAII($C$3,$A21,I$1,0)*$E$10/1000000</f>
        <v>1.00962</v>
      </c>
      <c r="J21" s="86"/>
      <c r="K21" s="86"/>
      <c r="L21" s="86"/>
      <c r="M21" s="86"/>
    </row>
    <row r="22" spans="1:13" x14ac:dyDescent="0.2">
      <c r="A22" s="69" t="s">
        <v>324</v>
      </c>
      <c r="C22" s="65"/>
      <c r="D22" s="81" t="str">
        <f>_xll.xlqAAIIDescrip(A22)</f>
        <v>Cash From Financing</v>
      </c>
      <c r="E22" s="75">
        <f>SUM(F22:I22)</f>
        <v>2.2000000000000002</v>
      </c>
      <c r="F22" s="70">
        <f>_xll.xlqAAII($C$3,$A22,F$1,0)</f>
        <v>-3</v>
      </c>
      <c r="G22" s="70">
        <f>_xll.xlqAAII($C$3,$A22,G$1,0)</f>
        <v>0.1</v>
      </c>
      <c r="H22" s="70">
        <f>_xll.xlqAAII($C$3,$A22,H$1,0)</f>
        <v>3.1</v>
      </c>
      <c r="I22" s="70">
        <f>_xll.xlqAAII($C$3,$A22,I$1,0)</f>
        <v>2</v>
      </c>
      <c r="J22" s="86"/>
      <c r="K22" s="86"/>
      <c r="L22" s="86"/>
      <c r="M22" s="86"/>
    </row>
    <row r="23" spans="1:13" x14ac:dyDescent="0.2">
      <c r="C23" s="65"/>
      <c r="D23" s="80"/>
      <c r="E23" s="71"/>
      <c r="F23" s="64"/>
      <c r="G23" s="64"/>
      <c r="H23" s="64"/>
      <c r="J23" s="86"/>
      <c r="K23" s="86"/>
      <c r="L23" s="86"/>
      <c r="M23" s="86"/>
    </row>
    <row r="24" spans="1:13" x14ac:dyDescent="0.2">
      <c r="A24" s="69" t="s">
        <v>321</v>
      </c>
      <c r="C24" s="65"/>
      <c r="D24" s="81" t="str">
        <f>_xll.xlqAAIIDescrip(A24)</f>
        <v>Cash From Investing</v>
      </c>
      <c r="E24" s="75">
        <f>SUM(F24:I24)</f>
        <v>-74.899999999999991</v>
      </c>
      <c r="F24" s="76">
        <f>_xll.xlqAAII($C$3,$A24,F$1,0)</f>
        <v>-49.9</v>
      </c>
      <c r="G24" s="76">
        <f>_xll.xlqAAII($C$3,$A24,G$1,0)</f>
        <v>-11.4</v>
      </c>
      <c r="H24" s="76">
        <f>_xll.xlqAAII($C$3,$A24,H$1,0)</f>
        <v>-7.6</v>
      </c>
      <c r="I24" s="76">
        <f>_xll.xlqAAII($C$3,$A24,I$1,0)</f>
        <v>-6</v>
      </c>
      <c r="J24" s="86"/>
      <c r="K24" s="86"/>
      <c r="L24" s="86"/>
      <c r="M24" s="86"/>
    </row>
    <row r="25" spans="1:13" ht="13.5" thickBot="1" x14ac:dyDescent="0.25">
      <c r="A25" s="69" t="s">
        <v>330</v>
      </c>
      <c r="C25" s="65"/>
      <c r="D25" s="82" t="str">
        <f>_xll.xlqAAIIDescrip(A25)</f>
        <v>Cash Flow</v>
      </c>
      <c r="E25" s="83">
        <f>E18+E22+E24</f>
        <v>8.6000000000000085</v>
      </c>
      <c r="F25" s="85">
        <f>_xll.xlqAAII($C$3,$A25,F$1,0)</f>
        <v>-35.4</v>
      </c>
      <c r="G25" s="85">
        <f>_xll.xlqAAII($C$3,$A25,G$1,0)</f>
        <v>17.8</v>
      </c>
      <c r="H25" s="85">
        <f>_xll.xlqAAII($C$3,$A25,H$1,0)</f>
        <v>23.7</v>
      </c>
      <c r="I25" s="85">
        <f>_xll.xlqAAII($C$3,$A25,I$1,0)</f>
        <v>3.1</v>
      </c>
      <c r="J25" s="86"/>
      <c r="K25" s="86"/>
      <c r="L25" s="86"/>
      <c r="M25" s="86"/>
    </row>
    <row r="26" spans="1:13" x14ac:dyDescent="0.2">
      <c r="C26" s="65"/>
      <c r="D26" s="64"/>
      <c r="E26" s="64"/>
      <c r="F26" s="64"/>
      <c r="G26" s="64"/>
      <c r="H26" s="64"/>
    </row>
    <row r="27" spans="1:13" ht="15" x14ac:dyDescent="0.25">
      <c r="A27" s="2" t="s">
        <v>342</v>
      </c>
      <c r="C27" s="65"/>
      <c r="D27" s="72" t="str">
        <f>_xll.xlqAAIIDescrip(A27)</f>
        <v>Cash</v>
      </c>
      <c r="E27" s="71">
        <f t="shared" ref="E27:E37" si="0">F27</f>
        <v>45.5</v>
      </c>
      <c r="F27" s="70">
        <f>_xll.xlqAAII($C$3,$A27,F$1,0)</f>
        <v>45.5</v>
      </c>
      <c r="G27" s="87">
        <f>_xll.xlqAAII($C$3,$A27,G$1,0)</f>
        <v>80.900000000000006</v>
      </c>
      <c r="H27" s="87">
        <f>_xll.xlqAAII($C$3,$A27,H$1,0)</f>
        <v>63.1</v>
      </c>
      <c r="I27" s="87">
        <f>_xll.xlqAAII($C$3,$A27,I$1,0)</f>
        <v>39.4</v>
      </c>
    </row>
    <row r="28" spans="1:13" ht="15" x14ac:dyDescent="0.25">
      <c r="A28" s="2" t="s">
        <v>344</v>
      </c>
      <c r="C28" s="65"/>
      <c r="D28" s="72" t="str">
        <f>_xll.xlqAAIIDescrip(A28)</f>
        <v>Short-Term Investments</v>
      </c>
      <c r="E28" s="71">
        <f t="shared" si="0"/>
        <v>0</v>
      </c>
      <c r="F28" s="70">
        <f>_xll.xlqAAII($C$3,$A28,F$1,0)</f>
        <v>0</v>
      </c>
      <c r="G28" s="87">
        <f>_xll.xlqAAII($C$3,$A28,G$1,0)</f>
        <v>0</v>
      </c>
      <c r="H28" s="87">
        <f>_xll.xlqAAII($C$3,$A28,H$1,0)</f>
        <v>0</v>
      </c>
      <c r="I28" s="87">
        <f>_xll.xlqAAII($C$3,$A28,I$1,0)</f>
        <v>0</v>
      </c>
    </row>
    <row r="29" spans="1:13" ht="15" x14ac:dyDescent="0.25">
      <c r="A29" s="2" t="s">
        <v>346</v>
      </c>
      <c r="C29" s="65"/>
      <c r="D29" s="72" t="str">
        <f>_xll.xlqAAIIDescrip(A29)</f>
        <v>Accounts Receivable</v>
      </c>
      <c r="E29" s="71">
        <f t="shared" si="0"/>
        <v>60.5</v>
      </c>
      <c r="F29" s="70">
        <f>_xll.xlqAAII($C$3,$A29,F$1,0)</f>
        <v>60.5</v>
      </c>
      <c r="G29" s="87">
        <f>_xll.xlqAAII($C$3,$A29,G$1,0)</f>
        <v>52.6</v>
      </c>
      <c r="H29" s="87">
        <f>_xll.xlqAAII($C$3,$A29,H$1,0)</f>
        <v>51</v>
      </c>
      <c r="I29" s="87">
        <f>_xll.xlqAAII($C$3,$A29,I$1,0)</f>
        <v>49.9</v>
      </c>
    </row>
    <row r="30" spans="1:13" ht="15" x14ac:dyDescent="0.25">
      <c r="A30" s="2" t="s">
        <v>348</v>
      </c>
      <c r="C30" s="65"/>
      <c r="D30" s="72" t="str">
        <f>_xll.xlqAAIIDescrip(A30)</f>
        <v>Inventory</v>
      </c>
      <c r="E30" s="71">
        <f t="shared" si="0"/>
        <v>9</v>
      </c>
      <c r="F30" s="70">
        <f>_xll.xlqAAII($C$3,$A30,F$1,0)</f>
        <v>9</v>
      </c>
      <c r="G30" s="87">
        <f>_xll.xlqAAII($C$3,$A30,G$1,0)</f>
        <v>7.3</v>
      </c>
      <c r="H30" s="87">
        <f>_xll.xlqAAII($C$3,$A30,H$1,0)</f>
        <v>8.8000000000000007</v>
      </c>
      <c r="I30" s="87">
        <f>_xll.xlqAAII($C$3,$A30,I$1,0)</f>
        <v>7.7</v>
      </c>
    </row>
    <row r="31" spans="1:13" ht="15" x14ac:dyDescent="0.25">
      <c r="A31" s="16" t="s">
        <v>350</v>
      </c>
      <c r="C31" s="65"/>
      <c r="D31" s="74" t="str">
        <f>_xll.xlqAAIIDescrip(A31)</f>
        <v>Other Current Assets</v>
      </c>
      <c r="E31" s="75">
        <f t="shared" si="0"/>
        <v>6.5</v>
      </c>
      <c r="F31" s="76">
        <f>_xll.xlqAAII($C$3,$A31,F$1,0)</f>
        <v>6.5</v>
      </c>
      <c r="G31" s="88">
        <f>_xll.xlqAAII($C$3,$A31,G$1,0)</f>
        <v>5.8</v>
      </c>
      <c r="H31" s="88">
        <f>_xll.xlqAAII($C$3,$A31,H$1,0)</f>
        <v>11.1</v>
      </c>
      <c r="I31" s="88">
        <f>_xll.xlqAAII($C$3,$A31,I$1,0)</f>
        <v>8.1</v>
      </c>
    </row>
    <row r="32" spans="1:13" ht="15.75" thickBot="1" x14ac:dyDescent="0.3">
      <c r="A32" s="16" t="s">
        <v>352</v>
      </c>
      <c r="C32" s="65"/>
      <c r="D32" s="82" t="str">
        <f>_xll.xlqAAIIDescrip(A32)</f>
        <v>Current Assets</v>
      </c>
      <c r="E32" s="83">
        <f t="shared" si="0"/>
        <v>121.4</v>
      </c>
      <c r="F32" s="85">
        <f>_xll.xlqAAII($C$3,$A32,F$1,0)</f>
        <v>121.4</v>
      </c>
      <c r="G32" s="89">
        <f>_xll.xlqAAII($C$3,$A32,G$1,0)</f>
        <v>146.69999999999999</v>
      </c>
      <c r="H32" s="89">
        <f>_xll.xlqAAII($C$3,$A32,H$1,0)</f>
        <v>134</v>
      </c>
      <c r="I32" s="89">
        <f>_xll.xlqAAII($C$3,$A32,I$1,0)</f>
        <v>105.2</v>
      </c>
    </row>
    <row r="33" spans="1:9" ht="15" x14ac:dyDescent="0.25">
      <c r="A33" s="2" t="s">
        <v>364</v>
      </c>
      <c r="C33" s="65"/>
      <c r="D33" s="72" t="str">
        <f>_xll.xlqAAIIDescrip(A33)</f>
        <v>Accounts Payable</v>
      </c>
      <c r="E33" s="71">
        <f t="shared" si="0"/>
        <v>26.4</v>
      </c>
      <c r="F33" s="70">
        <f>_xll.xlqAAII($C$3,$A33,F$1,0)</f>
        <v>26.4</v>
      </c>
      <c r="G33" s="87">
        <f>_xll.xlqAAII($C$3,$A33,G$1,0)</f>
        <v>18.2</v>
      </c>
      <c r="H33" s="87">
        <f>_xll.xlqAAII($C$3,$A33,H$1,0)</f>
        <v>15.5</v>
      </c>
      <c r="I33" s="87">
        <f>_xll.xlqAAII($C$3,$A33,I$1,0)</f>
        <v>13.8</v>
      </c>
    </row>
    <row r="34" spans="1:9" ht="15" x14ac:dyDescent="0.25">
      <c r="A34" s="2" t="s">
        <v>366</v>
      </c>
      <c r="C34" s="65"/>
      <c r="D34" s="72" t="str">
        <f>_xll.xlqAAIIDescrip(A34)</f>
        <v>Short-Term Debt</v>
      </c>
      <c r="E34" s="71">
        <f t="shared" si="0"/>
        <v>8.6</v>
      </c>
      <c r="F34" s="70">
        <f>_xll.xlqAAII($C$3,$A34,F$1,0)</f>
        <v>8.6</v>
      </c>
      <c r="G34" s="87">
        <f>_xll.xlqAAII($C$3,$A34,G$1,0)</f>
        <v>6.8</v>
      </c>
      <c r="H34" s="87">
        <f>_xll.xlqAAII($C$3,$A34,H$1,0)</f>
        <v>6.6</v>
      </c>
      <c r="I34" s="87">
        <f>_xll.xlqAAII($C$3,$A34,I$1,0)</f>
        <v>6.8</v>
      </c>
    </row>
    <row r="35" spans="1:9" ht="15" x14ac:dyDescent="0.25">
      <c r="A35" s="16" t="s">
        <v>368</v>
      </c>
      <c r="C35" s="65"/>
      <c r="D35" s="74" t="str">
        <f>_xll.xlqAAIIDescrip(A35)</f>
        <v>Other Current Liabilities</v>
      </c>
      <c r="E35" s="75">
        <f t="shared" si="0"/>
        <v>26.1</v>
      </c>
      <c r="F35" s="76">
        <f>_xll.xlqAAII($C$3,$A35,F$1,0)</f>
        <v>26.1</v>
      </c>
      <c r="G35" s="88">
        <f>_xll.xlqAAII($C$3,$A35,G$1,0)</f>
        <v>24.7</v>
      </c>
      <c r="H35" s="88">
        <f>_xll.xlqAAII($C$3,$A35,H$1,0)</f>
        <v>27.9</v>
      </c>
      <c r="I35" s="88">
        <f>_xll.xlqAAII($C$3,$A35,I$1,0)</f>
        <v>25.3</v>
      </c>
    </row>
    <row r="36" spans="1:9" ht="15.75" thickBot="1" x14ac:dyDescent="0.3">
      <c r="A36" s="16" t="s">
        <v>370</v>
      </c>
      <c r="C36" s="65"/>
      <c r="D36" s="82" t="str">
        <f>_xll.xlqAAIIDescrip(A36)</f>
        <v>Current Liabilities</v>
      </c>
      <c r="E36" s="83">
        <f t="shared" si="0"/>
        <v>61</v>
      </c>
      <c r="F36" s="85">
        <f>_xll.xlqAAII($C$3,$A36,F$1,0)</f>
        <v>61</v>
      </c>
      <c r="G36" s="89">
        <f>_xll.xlqAAII($C$3,$A36,G$1,0)</f>
        <v>49.6</v>
      </c>
      <c r="H36" s="89">
        <f>_xll.xlqAAII($C$3,$A36,H$1,0)</f>
        <v>50.1</v>
      </c>
      <c r="I36" s="89">
        <f>_xll.xlqAAII($C$3,$A36,I$1,0)</f>
        <v>45.9</v>
      </c>
    </row>
    <row r="37" spans="1:9" ht="15" x14ac:dyDescent="0.25">
      <c r="A37" s="2" t="s">
        <v>1718</v>
      </c>
      <c r="C37" s="65"/>
      <c r="D37" s="90" t="str">
        <f>_xll.xlqAAIIDescrip(A37)</f>
        <v>Working Capital</v>
      </c>
      <c r="E37" s="71">
        <f t="shared" si="0"/>
        <v>60.4</v>
      </c>
      <c r="F37" s="70">
        <f>_xll.xlqAAII($C$3,$A37,F$1,0)</f>
        <v>60.4</v>
      </c>
      <c r="G37" s="87">
        <f>_xll.xlqAAII($C$3,$A37,G$1,0)</f>
        <v>97</v>
      </c>
      <c r="H37" s="87">
        <f>_xll.xlqAAII($C$3,$A37,H$1,0)</f>
        <v>83.9</v>
      </c>
      <c r="I37" s="87">
        <f>_xll.xlqAAII($C$3,$A37,I$1,0)</f>
        <v>59.2</v>
      </c>
    </row>
    <row r="38" spans="1:9" x14ac:dyDescent="0.2">
      <c r="C38" s="65"/>
      <c r="D38" s="72" t="s">
        <v>1814</v>
      </c>
      <c r="E38" s="71">
        <f>E37+E21</f>
        <v>111.89062</v>
      </c>
      <c r="F38" s="73"/>
      <c r="G38" s="86"/>
      <c r="H38" s="86"/>
      <c r="I38" s="86"/>
    </row>
    <row r="39" spans="1:9" x14ac:dyDescent="0.2">
      <c r="C39" s="65"/>
      <c r="D39" s="64"/>
      <c r="E39" s="64"/>
      <c r="F39" s="64"/>
      <c r="G39" s="64"/>
      <c r="H39" s="64"/>
    </row>
    <row r="40" spans="1:9" ht="15" x14ac:dyDescent="0.25">
      <c r="A40" s="2" t="s">
        <v>380</v>
      </c>
      <c r="C40" s="65"/>
      <c r="D40" s="90" t="str">
        <f>_xll.xlqAAIIDescrip(A40)</f>
        <v>Equity (Common)</v>
      </c>
      <c r="E40" s="71">
        <f>F40</f>
        <v>333</v>
      </c>
      <c r="F40" s="70">
        <f>_xll.xlqAAII($C$3,$A40,F$1,0)</f>
        <v>333</v>
      </c>
      <c r="G40" s="87">
        <f>_xll.xlqAAII($C$3,$A40,G$1,0)</f>
        <v>310.5</v>
      </c>
      <c r="H40" s="87">
        <f>_xll.xlqAAII($C$3,$A40,H$1,0)</f>
        <v>295.5</v>
      </c>
      <c r="I40" s="87">
        <f>_xll.xlqAAII($C$3,$A40,I$1,0)</f>
        <v>273.2</v>
      </c>
    </row>
    <row r="41" spans="1:9" ht="15" x14ac:dyDescent="0.25">
      <c r="A41" s="2" t="s">
        <v>358</v>
      </c>
      <c r="C41" s="65"/>
      <c r="D41" s="72" t="s">
        <v>1815</v>
      </c>
      <c r="E41" s="71">
        <f>E40-E45</f>
        <v>-111.30000000000001</v>
      </c>
      <c r="F41" s="64"/>
      <c r="G41" s="64"/>
      <c r="H41" s="64"/>
    </row>
    <row r="42" spans="1:9" x14ac:dyDescent="0.2">
      <c r="C42" s="65"/>
      <c r="D42" s="64"/>
      <c r="E42" s="64"/>
      <c r="F42" s="64"/>
      <c r="G42" s="64"/>
      <c r="H42" s="64"/>
    </row>
    <row r="43" spans="1:9" x14ac:dyDescent="0.2">
      <c r="C43" s="65"/>
      <c r="D43" s="72" t="str">
        <f>_xll.xlqAAIIDescrip(A44)</f>
        <v>Net Fixed Assets (PP&amp;E)</v>
      </c>
      <c r="E43" s="71">
        <f>F43</f>
        <v>71.099999999999994</v>
      </c>
      <c r="F43" s="70">
        <f>_xll.xlqAAII($C$3,$A44,F$1,0)</f>
        <v>71.099999999999994</v>
      </c>
      <c r="G43" s="87">
        <f>_xll.xlqAAII($C$3,$A44,G$1,0)</f>
        <v>48.4</v>
      </c>
      <c r="H43" s="87">
        <f>_xll.xlqAAII($C$3,$A44,H$1,0)</f>
        <v>47.8</v>
      </c>
      <c r="I43" s="87">
        <f>_xll.xlqAAII($C$3,$A44,I$1,0)</f>
        <v>47.7</v>
      </c>
    </row>
    <row r="44" spans="1:9" ht="15" x14ac:dyDescent="0.25">
      <c r="A44" s="2" t="s">
        <v>354</v>
      </c>
      <c r="C44" s="65"/>
      <c r="D44" s="72" t="str">
        <f>_xll.xlqAAIIDescrip(A45)</f>
        <v>Long-Term Investments</v>
      </c>
      <c r="E44" s="71">
        <f>F44</f>
        <v>0</v>
      </c>
      <c r="F44" s="70">
        <f>_xll.xlqAAII($C$3,$A45,F$1,0)</f>
        <v>0</v>
      </c>
      <c r="G44" s="87">
        <f>_xll.xlqAAII($C$3,$A45,G$1,0)</f>
        <v>0</v>
      </c>
      <c r="H44" s="87">
        <f>_xll.xlqAAII($C$3,$A45,H$1,0)</f>
        <v>0</v>
      </c>
      <c r="I44" s="87">
        <f>_xll.xlqAAII($C$3,$A45,I$1,0)</f>
        <v>0</v>
      </c>
    </row>
    <row r="45" spans="1:9" ht="15" x14ac:dyDescent="0.25">
      <c r="A45" s="2" t="s">
        <v>356</v>
      </c>
      <c r="C45" s="65"/>
      <c r="D45" s="72" t="str">
        <f>_xll.xlqAAIIDescrip(A46)</f>
        <v>Goodwill And Intangibles</v>
      </c>
      <c r="E45" s="71">
        <f>F45</f>
        <v>444.3</v>
      </c>
      <c r="F45" s="70">
        <f>_xll.xlqAAII($C$3,$A46,F$1,0)</f>
        <v>444.3</v>
      </c>
      <c r="G45" s="87">
        <f>_xll.xlqAAII($C$3,$A46,G$1,0)</f>
        <v>368.5</v>
      </c>
      <c r="H45" s="87">
        <f>_xll.xlqAAII($C$3,$A46,H$1,0)</f>
        <v>368.7</v>
      </c>
      <c r="I45" s="87">
        <f>_xll.xlqAAII($C$3,$A46,I$1,0)</f>
        <v>372.2</v>
      </c>
    </row>
    <row r="46" spans="1:9" ht="15" x14ac:dyDescent="0.25">
      <c r="A46" s="2" t="s">
        <v>358</v>
      </c>
      <c r="C46" s="65"/>
      <c r="D46" s="74" t="str">
        <f>_xll.xlqAAIIDescrip(A47)</f>
        <v>Other Long-Term Assets</v>
      </c>
      <c r="E46" s="75">
        <f>F46</f>
        <v>23.1</v>
      </c>
      <c r="F46" s="76">
        <f>_xll.xlqAAII($C$3,$A47,F$1,0)</f>
        <v>23.1</v>
      </c>
      <c r="G46" s="88">
        <f>_xll.xlqAAII($C$3,$A47,G$1,0)</f>
        <v>23.3</v>
      </c>
      <c r="H46" s="88">
        <f>_xll.xlqAAII($C$3,$A47,H$1,0)</f>
        <v>23.8</v>
      </c>
      <c r="I46" s="88">
        <f>_xll.xlqAAII($C$3,$A47,I$1,0)</f>
        <v>23.4</v>
      </c>
    </row>
    <row r="47" spans="1:9" ht="15.75" thickBot="1" x14ac:dyDescent="0.3">
      <c r="A47" s="16" t="s">
        <v>360</v>
      </c>
      <c r="C47" s="65"/>
      <c r="D47" s="91" t="str">
        <f>_xll.xlqAAIIDescrip(A48)</f>
        <v>Total Assets</v>
      </c>
      <c r="E47" s="83">
        <f>F47</f>
        <v>660</v>
      </c>
      <c r="F47" s="85">
        <f>_xll.xlqAAII($C$3,$A48,F$1,0)</f>
        <v>660</v>
      </c>
      <c r="G47" s="89">
        <f>_xll.xlqAAII($C$3,$A48,G$1,0)</f>
        <v>586.79999999999995</v>
      </c>
      <c r="H47" s="89">
        <f>_xll.xlqAAII($C$3,$A48,H$1,0)</f>
        <v>574.20000000000005</v>
      </c>
      <c r="I47" s="89">
        <f>_xll.xlqAAII($C$3,$A48,I$1,0)</f>
        <v>548.4</v>
      </c>
    </row>
    <row r="48" spans="1:9" ht="13.5" thickBot="1" x14ac:dyDescent="0.25">
      <c r="A48" s="69" t="s">
        <v>362</v>
      </c>
      <c r="C48" s="65"/>
      <c r="D48" s="84" t="s">
        <v>1816</v>
      </c>
      <c r="E48" s="92">
        <f>E47-E45</f>
        <v>215.7</v>
      </c>
      <c r="F48" s="64"/>
      <c r="G48" s="64"/>
      <c r="H48" s="64"/>
    </row>
    <row r="49" spans="1:12" x14ac:dyDescent="0.2">
      <c r="C49" s="65"/>
      <c r="D49" s="64"/>
      <c r="E49" s="64"/>
      <c r="F49" s="64"/>
      <c r="G49" s="64"/>
      <c r="H49" s="64"/>
    </row>
    <row r="50" spans="1:12" x14ac:dyDescent="0.2">
      <c r="C50" s="65"/>
      <c r="D50" s="72" t="s">
        <v>240</v>
      </c>
      <c r="E50" s="71">
        <f>E36</f>
        <v>61</v>
      </c>
      <c r="F50" s="73">
        <f>E50</f>
        <v>61</v>
      </c>
      <c r="G50" s="86">
        <f>G36</f>
        <v>49.6</v>
      </c>
      <c r="H50" s="86">
        <f>H36</f>
        <v>50.1</v>
      </c>
      <c r="I50" s="86">
        <f>I36</f>
        <v>45.9</v>
      </c>
    </row>
    <row r="51" spans="1:12" ht="15" x14ac:dyDescent="0.25">
      <c r="A51" s="16" t="s">
        <v>372</v>
      </c>
      <c r="C51" s="65"/>
      <c r="D51" s="72" t="str">
        <f>_xll.xlqAAIIDescrip(A51)</f>
        <v>Long-Term Debt</v>
      </c>
      <c r="E51" s="71">
        <f>F51</f>
        <v>190.5</v>
      </c>
      <c r="F51" s="70">
        <f>_xll.xlqAAII($C$3,$A51,F$1,0)</f>
        <v>190.5</v>
      </c>
      <c r="G51" s="87">
        <f>_xll.xlqAAII($C$3,$A51,G$1,0)</f>
        <v>193.5</v>
      </c>
      <c r="H51" s="87">
        <f>_xll.xlqAAII($C$3,$A51,H$1,0)</f>
        <v>194.6</v>
      </c>
      <c r="I51" s="87">
        <f>_xll.xlqAAII($C$3,$A51,I$1,0)</f>
        <v>195.7</v>
      </c>
    </row>
    <row r="52" spans="1:12" ht="15" x14ac:dyDescent="0.25">
      <c r="A52" s="16" t="s">
        <v>374</v>
      </c>
      <c r="C52" s="65"/>
      <c r="D52" s="74" t="str">
        <f>_xll.xlqAAIIDescrip(A52)</f>
        <v>Other Long-Term Liabilities</v>
      </c>
      <c r="E52" s="75">
        <f>F52</f>
        <v>75.5</v>
      </c>
      <c r="F52" s="76">
        <f>_xll.xlqAAII($C$3,$A52,F$1,0)</f>
        <v>75.5</v>
      </c>
      <c r="G52" s="88">
        <f>_xll.xlqAAII($C$3,$A52,G$1,0)</f>
        <v>33.200000000000003</v>
      </c>
      <c r="H52" s="88">
        <f>_xll.xlqAAII($C$3,$A52,H$1,0)</f>
        <v>34</v>
      </c>
      <c r="I52" s="88">
        <f>_xll.xlqAAII($C$3,$A52,I$1,0)</f>
        <v>33.6</v>
      </c>
    </row>
    <row r="53" spans="1:12" ht="15.75" thickBot="1" x14ac:dyDescent="0.3">
      <c r="A53" s="16" t="s">
        <v>376</v>
      </c>
      <c r="C53" s="65"/>
      <c r="D53" s="91" t="str">
        <f>_xll.xlqAAIIDescrip(A53)</f>
        <v>Total Liabilities</v>
      </c>
      <c r="E53" s="83">
        <f>F53</f>
        <v>327</v>
      </c>
      <c r="F53" s="85">
        <f>_xll.xlqAAII($C$3,$A53,F$1,0)</f>
        <v>327</v>
      </c>
      <c r="G53" s="89">
        <f>_xll.xlqAAII($C$3,$A53,G$1,0)</f>
        <v>276.3</v>
      </c>
      <c r="H53" s="89">
        <f>_xll.xlqAAII($C$3,$A53,H$1,0)</f>
        <v>278.7</v>
      </c>
      <c r="I53" s="89">
        <f>_xll.xlqAAII($C$3,$A53,I$1,0)</f>
        <v>275.2</v>
      </c>
    </row>
    <row r="54" spans="1:12" x14ac:dyDescent="0.2">
      <c r="C54" s="65"/>
      <c r="D54" s="64"/>
      <c r="E54" s="64"/>
      <c r="F54" s="64"/>
      <c r="G54" s="64"/>
      <c r="H54" s="64"/>
    </row>
    <row r="55" spans="1:12" ht="15" x14ac:dyDescent="0.25">
      <c r="A55" s="2" t="s">
        <v>1352</v>
      </c>
      <c r="C55" s="65"/>
      <c r="D55" s="90" t="str">
        <f>_xll.xlqAAIIDescrip(A55)</f>
        <v>LT Debt/Equity Year</v>
      </c>
      <c r="E55" s="71">
        <f>F55</f>
        <v>62.3</v>
      </c>
      <c r="F55" s="70">
        <f>_xll.xlqAAII($C$3,$A55,F$1,0)</f>
        <v>62.3</v>
      </c>
      <c r="G55" s="87"/>
      <c r="H55" s="87"/>
      <c r="I55" s="87"/>
    </row>
    <row r="56" spans="1:12" ht="15" x14ac:dyDescent="0.25">
      <c r="A56" s="2" t="s">
        <v>1350</v>
      </c>
      <c r="C56" s="65"/>
      <c r="D56" s="90" t="str">
        <f>_xll.xlqAAIIDescrip(A56)</f>
        <v>LT Debt/Total Capital</v>
      </c>
      <c r="E56" s="71">
        <f>F56</f>
        <v>38.4</v>
      </c>
      <c r="F56" s="70">
        <f>_xll.xlqAAII($C$3,$A56,F$1,0)</f>
        <v>38.4</v>
      </c>
      <c r="G56" s="64"/>
      <c r="H56" s="64"/>
    </row>
    <row r="57" spans="1:12" ht="15" x14ac:dyDescent="0.25">
      <c r="A57" s="2" t="s">
        <v>1348</v>
      </c>
      <c r="C57" s="65"/>
      <c r="D57" s="90" t="str">
        <f>_xll.xlqAAIIDescrip(A57)</f>
        <v>Total Liabilities/Assets</v>
      </c>
      <c r="E57" s="71">
        <f>F57</f>
        <v>47.1</v>
      </c>
      <c r="F57" s="70">
        <f>_xll.xlqAAII($C$3,$A57,F$1,0)</f>
        <v>47.1</v>
      </c>
      <c r="G57" s="64"/>
      <c r="H57" s="64"/>
      <c r="L57" s="94">
        <f>$E$9/($E$68*1000000)</f>
        <v>33.461855670103091</v>
      </c>
    </row>
    <row r="58" spans="1:12" x14ac:dyDescent="0.2">
      <c r="C58" s="65"/>
      <c r="D58" s="64"/>
      <c r="E58" s="64"/>
      <c r="F58" s="64"/>
      <c r="G58" s="64"/>
      <c r="H58" s="64"/>
    </row>
    <row r="59" spans="1:12" ht="15" x14ac:dyDescent="0.25">
      <c r="A59" s="2" t="s">
        <v>31</v>
      </c>
      <c r="C59" s="65"/>
      <c r="D59" s="90" t="str">
        <f>_xll.xlqAAIIDescrip(A59)</f>
        <v>Return on Equity 12 Month</v>
      </c>
      <c r="E59" s="71">
        <f>F59</f>
        <v>16</v>
      </c>
      <c r="F59" s="70">
        <f>_xll.xlqAAII($C$3,$A59,,0)</f>
        <v>16</v>
      </c>
      <c r="G59" s="64"/>
      <c r="H59" s="64"/>
    </row>
    <row r="60" spans="1:12" ht="15" x14ac:dyDescent="0.25">
      <c r="A60" s="2" t="s">
        <v>30</v>
      </c>
      <c r="C60" s="65"/>
      <c r="D60" s="90" t="str">
        <f>_xll.xlqAAIIDescrip(A60)</f>
        <v>Return on Assets 12 Month</v>
      </c>
      <c r="E60" s="71">
        <f>F60</f>
        <v>8.1999999999999993</v>
      </c>
      <c r="F60" s="70">
        <f>_xll.xlqAAII($C$3,$A60,,0)</f>
        <v>8.1999999999999993</v>
      </c>
      <c r="G60" s="64"/>
      <c r="H60" s="64"/>
    </row>
    <row r="61" spans="1:12" ht="15" x14ac:dyDescent="0.25">
      <c r="A61" s="2" t="s">
        <v>24</v>
      </c>
      <c r="C61" s="65"/>
      <c r="D61" s="90" t="str">
        <f>_xll.xlqAAIIDescrip(A61)</f>
        <v>Gross Margin 12 Month</v>
      </c>
      <c r="E61" s="71">
        <f>F61</f>
        <v>62.9</v>
      </c>
      <c r="F61" s="70">
        <f>_xll.xlqAAII($C$3,$A61,,0)</f>
        <v>62.9</v>
      </c>
      <c r="G61" s="64"/>
      <c r="H61" s="64"/>
    </row>
    <row r="62" spans="1:12" ht="15" x14ac:dyDescent="0.25">
      <c r="A62" s="2" t="s">
        <v>25</v>
      </c>
      <c r="C62" s="65"/>
      <c r="D62" s="90" t="str">
        <f>_xll.xlqAAIIDescrip(A62)</f>
        <v>Operating Margin 12 Month</v>
      </c>
      <c r="E62" s="71">
        <f>F62</f>
        <v>13.8</v>
      </c>
      <c r="F62" s="70">
        <f>_xll.xlqAAII($C$3,$A62,,0)</f>
        <v>13.8</v>
      </c>
      <c r="G62" s="64"/>
      <c r="H62" s="64"/>
    </row>
    <row r="63" spans="1:12" ht="15" x14ac:dyDescent="0.25">
      <c r="A63" s="2" t="s">
        <v>28</v>
      </c>
      <c r="C63" s="65"/>
      <c r="D63" s="90" t="str">
        <f>_xll.xlqAAIIDescrip(A63)</f>
        <v>Net Margin 12 Month</v>
      </c>
      <c r="E63" s="71">
        <f>F63</f>
        <v>11.9</v>
      </c>
      <c r="F63" s="70">
        <f>_xll.xlqAAII($C$3,$A63,,0)</f>
        <v>11.9</v>
      </c>
      <c r="G63" s="64"/>
      <c r="H63" s="64"/>
    </row>
    <row r="64" spans="1:12" ht="15" x14ac:dyDescent="0.25">
      <c r="A64" s="2"/>
      <c r="C64" s="65"/>
      <c r="D64" s="90"/>
      <c r="E64" s="71"/>
      <c r="F64" s="70"/>
      <c r="G64" s="64"/>
      <c r="H64" s="64"/>
    </row>
    <row r="65" spans="1:13" x14ac:dyDescent="0.2">
      <c r="A65" s="69" t="s">
        <v>249</v>
      </c>
      <c r="B65" s="69"/>
      <c r="C65" s="65"/>
      <c r="D65" s="64" t="str">
        <f>_xll.xlqAAIIDescrip(A65)</f>
        <v>Sales</v>
      </c>
      <c r="E65" s="71">
        <f>SUM(F65:I65)</f>
        <v>409</v>
      </c>
      <c r="F65" s="70">
        <f>_xll.xlqAAII($C$3,$A65,F$1,0)</f>
        <v>104</v>
      </c>
      <c r="G65" s="70">
        <f>_xll.xlqAAII($C$3,$A65,G$1,0)</f>
        <v>103.6</v>
      </c>
      <c r="H65" s="70">
        <f>_xll.xlqAAII($C$3,$A65,H$1,0)</f>
        <v>100</v>
      </c>
      <c r="I65" s="70">
        <f>_xll.xlqAAII($C$3,$A65,I$1,0)</f>
        <v>101.4</v>
      </c>
      <c r="J65" s="70">
        <f>_xll.xlqAAII($C$3,$A65,J$1,0)</f>
        <v>94.5</v>
      </c>
      <c r="K65" s="70">
        <f>_xll.xlqAAII($C$3,$A65,K$1,0)</f>
        <v>91.7</v>
      </c>
      <c r="L65" s="70">
        <f>_xll.xlqAAII($C$3,$A65,L$1,0)</f>
        <v>81</v>
      </c>
      <c r="M65" s="70">
        <f>_xll.xlqAAII($C$3,$A65,M$1,0)</f>
        <v>58.1</v>
      </c>
    </row>
    <row r="66" spans="1:13" x14ac:dyDescent="0.2">
      <c r="A66" s="69" t="s">
        <v>250</v>
      </c>
      <c r="C66" s="65"/>
      <c r="D66" s="72" t="s">
        <v>520</v>
      </c>
      <c r="E66" s="96">
        <f>(L66-M66)/ABS(M66)</f>
        <v>0.39295676429567639</v>
      </c>
      <c r="F66" s="93">
        <f t="shared" ref="F66" si="1">(F65-J65)/ABS(J65)</f>
        <v>0.10052910052910052</v>
      </c>
      <c r="G66" s="93">
        <f t="shared" ref="G66" si="2">(G65-K65)/ABS(K65)</f>
        <v>0.12977099236641212</v>
      </c>
      <c r="H66" s="93">
        <f t="shared" ref="H66" si="3">(H65-L65)/ABS(L65)</f>
        <v>0.23456790123456789</v>
      </c>
      <c r="I66" s="93">
        <f>(I65-M65)/ABS(M65)</f>
        <v>0.74526678141135982</v>
      </c>
      <c r="L66" s="70">
        <f>_xll.xlqAAII($C$3,$A66,1,0)</f>
        <v>399.5</v>
      </c>
      <c r="M66" s="70">
        <f>_xll.xlqAAII($C$3,$A66,2,0)</f>
        <v>286.8</v>
      </c>
    </row>
    <row r="67" spans="1:13" x14ac:dyDescent="0.2">
      <c r="C67" s="65"/>
      <c r="D67" s="64"/>
      <c r="E67" s="64"/>
      <c r="F67" s="64"/>
      <c r="G67" s="64"/>
      <c r="H67" s="64"/>
    </row>
    <row r="68" spans="1:13" ht="15" x14ac:dyDescent="0.25">
      <c r="A68" s="2" t="s">
        <v>294</v>
      </c>
      <c r="C68" s="65"/>
      <c r="D68" s="64" t="str">
        <f>_xll.xlqAAIIDescrip(A68)</f>
        <v>Income For Primary EPS</v>
      </c>
      <c r="E68" s="71">
        <f>SUM(F68:I68)</f>
        <v>48.5</v>
      </c>
      <c r="F68" s="70">
        <f>_xll.xlqAAII($C$3,$A68,F$1,0)</f>
        <v>11.7</v>
      </c>
      <c r="G68" s="70">
        <f>_xll.xlqAAII($C$3,$A68,G$1,0)</f>
        <v>10.4</v>
      </c>
      <c r="H68" s="70">
        <f>_xll.xlqAAII($C$3,$A68,H$1,0)</f>
        <v>16</v>
      </c>
      <c r="I68" s="70">
        <f>_xll.xlqAAII($C$3,$A68,I$1,0)</f>
        <v>10.4</v>
      </c>
      <c r="J68" s="70">
        <f>_xll.xlqAAII($C$3,$A68,J$1,0)</f>
        <v>6</v>
      </c>
      <c r="K68" s="70">
        <f>_xll.xlqAAII($C$3,$A68,K$1,0)</f>
        <v>-7.5</v>
      </c>
      <c r="L68" s="70">
        <f>_xll.xlqAAII($C$3,$A68,L$1,0)</f>
        <v>-2.2999999999999998</v>
      </c>
      <c r="M68" s="70">
        <f>_xll.xlqAAII($C$3,$A68,M$1,0)</f>
        <v>1.7</v>
      </c>
    </row>
    <row r="69" spans="1:13" ht="15" x14ac:dyDescent="0.25">
      <c r="A69" s="2" t="s">
        <v>295</v>
      </c>
      <c r="C69" s="65"/>
      <c r="D69" s="72" t="s">
        <v>520</v>
      </c>
      <c r="E69" s="96">
        <f>(L69-M69)/ABS(M69)</f>
        <v>6.4177215189873413</v>
      </c>
      <c r="F69" s="93">
        <f t="shared" ref="F69:H69" si="4">(F68-J68)/ABS(J68)</f>
        <v>0.94999999999999984</v>
      </c>
      <c r="G69" s="93">
        <f t="shared" si="4"/>
        <v>2.3866666666666663</v>
      </c>
      <c r="H69" s="93">
        <f t="shared" si="4"/>
        <v>7.9565217391304355</v>
      </c>
      <c r="I69" s="93">
        <f>(I68-M68)/ABS(M68)</f>
        <v>5.1176470588235299</v>
      </c>
      <c r="L69" s="70">
        <f>_xll.xlqAAII($C$3,$A69,1,0)</f>
        <v>42.8</v>
      </c>
      <c r="M69" s="70">
        <f>_xll.xlqAAII($C$3,$A69,2,0)</f>
        <v>-7.9</v>
      </c>
    </row>
    <row r="70" spans="1:13" ht="15" x14ac:dyDescent="0.25">
      <c r="A70" s="2" t="s">
        <v>312</v>
      </c>
      <c r="C70" s="65"/>
      <c r="D70" s="64" t="str">
        <f>_xll.xlqAAIIDescrip(A70)</f>
        <v>EPS-Diluted Continuing</v>
      </c>
      <c r="E70" s="71">
        <f>SUM(F70:I70)</f>
        <v>1.345</v>
      </c>
      <c r="F70" s="70">
        <f>_xll.xlqAAII($C$3,$A70,F$1,0)</f>
        <v>0.32100000000000001</v>
      </c>
      <c r="G70" s="70">
        <f>_xll.xlqAAII($C$3,$A70,G$1,0)</f>
        <v>0.28499999999999998</v>
      </c>
      <c r="H70" s="70">
        <f>_xll.xlqAAII($C$3,$A70,H$1,0)</f>
        <v>0.44500000000000001</v>
      </c>
      <c r="I70" s="70">
        <f>_xll.xlqAAII($C$3,$A70,I$1,0)</f>
        <v>0.29399999999999998</v>
      </c>
      <c r="J70" s="70">
        <f>_xll.xlqAAII($C$3,$A70,J$1,0)</f>
        <v>0.17</v>
      </c>
      <c r="K70" s="70">
        <f>_xll.xlqAAII($C$3,$A70,K$1,0)</f>
        <v>-0.23200000000000001</v>
      </c>
      <c r="L70" s="70">
        <f>_xll.xlqAAII($C$3,$A70,L$1,0)</f>
        <v>-7.1999999999999995E-2</v>
      </c>
      <c r="M70" s="70">
        <f>_xll.xlqAAII($C$3,$A70,M$1,0)</f>
        <v>5.3999999999999999E-2</v>
      </c>
    </row>
    <row r="71" spans="1:13" ht="15" x14ac:dyDescent="0.25">
      <c r="A71" s="2" t="s">
        <v>313</v>
      </c>
      <c r="C71" s="65"/>
      <c r="D71" s="72" t="s">
        <v>520</v>
      </c>
      <c r="E71" s="96">
        <f>(L71-M71)/ABS(M71)</f>
        <v>5.6038461538461544</v>
      </c>
      <c r="F71" s="93">
        <f t="shared" ref="F71" si="5">(F70-J70)/ABS(J70)</f>
        <v>0.88823529411764701</v>
      </c>
      <c r="G71" s="93">
        <f t="shared" ref="G71" si="6">(G70-K70)/ABS(K70)</f>
        <v>2.228448275862069</v>
      </c>
      <c r="H71" s="93">
        <f t="shared" ref="H71" si="7">(H70-L70)/ABS(L70)</f>
        <v>7.1805555555555562</v>
      </c>
      <c r="I71" s="93">
        <f>(I70-M70)/ABS(M70)</f>
        <v>4.4444444444444446</v>
      </c>
      <c r="L71" s="70">
        <f>_xll.xlqAAII($C$3,$A71,1,0)</f>
        <v>1.1970000000000001</v>
      </c>
      <c r="M71" s="70">
        <f>_xll.xlqAAII($C$3,$A71,2,0)</f>
        <v>-0.26</v>
      </c>
    </row>
    <row r="72" spans="1:13" ht="15" x14ac:dyDescent="0.25">
      <c r="A72" s="2" t="s">
        <v>1143</v>
      </c>
      <c r="C72" s="65"/>
      <c r="D72" s="90" t="str">
        <f>_xll.xlqAAIIDescrip(A72)</f>
        <v>EPS Est Qtr 0</v>
      </c>
      <c r="E72" s="77">
        <f>_xll.xlqAAII($C$3,$A72,,0)</f>
        <v>0.45</v>
      </c>
    </row>
    <row r="73" spans="1:13" x14ac:dyDescent="0.2">
      <c r="C73" s="65"/>
      <c r="D73" s="72" t="s">
        <v>520</v>
      </c>
      <c r="E73" s="97">
        <f>(E72-I70)/ABS(I70)</f>
        <v>0.53061224489795933</v>
      </c>
    </row>
    <row r="74" spans="1:13" ht="15" x14ac:dyDescent="0.25">
      <c r="A74" s="2" t="s">
        <v>1113</v>
      </c>
      <c r="C74" s="65"/>
      <c r="D74" s="90" t="str">
        <f>_xll.xlqAAIIDescrip(A74)</f>
        <v>EPS Est Year 0</v>
      </c>
      <c r="E74" s="77">
        <f>_xll.xlqAAII($C$3,$A74,,0)</f>
        <v>1.9159999999999999</v>
      </c>
    </row>
    <row r="75" spans="1:13" ht="15" x14ac:dyDescent="0.25">
      <c r="A75" s="2" t="s">
        <v>1178</v>
      </c>
      <c r="C75" s="65"/>
      <c r="D75" s="72" t="s">
        <v>520</v>
      </c>
      <c r="E75" s="96">
        <f>(E74-E70)/ABS(E70)</f>
        <v>0.42453531598513006</v>
      </c>
    </row>
    <row r="76" spans="1:13" x14ac:dyDescent="0.2">
      <c r="C76" s="65"/>
    </row>
    <row r="77" spans="1:13" x14ac:dyDescent="0.2">
      <c r="C77" s="65"/>
    </row>
    <row r="79" spans="1:13" x14ac:dyDescent="0.2">
      <c r="C79" s="65"/>
      <c r="D79" s="64" t="s">
        <v>1818</v>
      </c>
      <c r="E79" s="97">
        <f>IFERROR(E16/E13, 0)</f>
        <v>2.4449877750611249E-2</v>
      </c>
      <c r="F79" s="64"/>
      <c r="G79" s="64"/>
      <c r="H79" s="64"/>
    </row>
    <row r="80" spans="1:13" x14ac:dyDescent="0.2">
      <c r="D80" s="64" t="s">
        <v>813</v>
      </c>
      <c r="E80" s="95">
        <f>$E$9/($E$68*1000000)</f>
        <v>33.461855670103091</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0"/>
  <sheetViews>
    <sheetView workbookViewId="0">
      <selection activeCell="C37" sqref="C37"/>
    </sheetView>
  </sheetViews>
  <sheetFormatPr defaultRowHeight="15" x14ac:dyDescent="0.25"/>
  <cols>
    <col min="1" max="1" width="29" style="2" bestFit="1" customWidth="1"/>
    <col min="2" max="2" width="30.42578125" style="2" bestFit="1" customWidth="1"/>
    <col min="3" max="3" width="15.7109375" style="2" customWidth="1"/>
    <col min="4" max="4" width="13" style="2" customWidth="1"/>
    <col min="5" max="5" width="12.85546875" style="2" customWidth="1"/>
    <col min="6" max="6" width="28" style="2" bestFit="1" customWidth="1"/>
    <col min="7" max="7" width="19.28515625" style="2" customWidth="1"/>
    <col min="8" max="16384" width="9.140625" style="2"/>
  </cols>
  <sheetData>
    <row r="1" spans="1:7" x14ac:dyDescent="0.25">
      <c r="A1" s="2" t="s">
        <v>53</v>
      </c>
      <c r="B1" s="2">
        <v>0</v>
      </c>
    </row>
    <row r="2" spans="1:7" x14ac:dyDescent="0.25">
      <c r="B2" s="1" t="s">
        <v>137</v>
      </c>
      <c r="C2" s="17" t="s">
        <v>1794</v>
      </c>
      <c r="D2" s="18"/>
      <c r="E2" s="1" t="s">
        <v>839</v>
      </c>
      <c r="F2" s="1"/>
    </row>
    <row r="3" spans="1:7" x14ac:dyDescent="0.25">
      <c r="E3" s="1" t="s">
        <v>840</v>
      </c>
      <c r="F3" s="1" t="str">
        <f>_xll.xlqAAII($C$2,"exchange")</f>
        <v>Nasdaq</v>
      </c>
    </row>
    <row r="5" spans="1:7" x14ac:dyDescent="0.25">
      <c r="B5" s="1" t="s">
        <v>838</v>
      </c>
      <c r="C5" s="2" t="str">
        <f>_xll.xlqAAII($C$2,"street",,$B$1)</f>
        <v>1 Apple Park Way</v>
      </c>
      <c r="F5" s="1" t="s">
        <v>846</v>
      </c>
      <c r="G5" s="2" t="str">
        <f>_xll.xlqAAII($C$2,"drp",,$B$1)</f>
        <v>NO</v>
      </c>
    </row>
    <row r="6" spans="1:7" x14ac:dyDescent="0.25">
      <c r="C6" s="2" t="str">
        <f>_xll.xlqAAII($C$2,"city",,$B$1)</f>
        <v>CUPERTINO</v>
      </c>
      <c r="F6" s="1" t="s">
        <v>847</v>
      </c>
      <c r="G6" s="2" t="str">
        <f>_xll.xlqAAII($C$2,"shadow",,$B$1)</f>
        <v>NA</v>
      </c>
    </row>
    <row r="7" spans="1:7" x14ac:dyDescent="0.25">
      <c r="C7" s="2" t="str">
        <f>_xll.xlqAAII($C$2,"state",,$B$1)</f>
        <v>CA</v>
      </c>
      <c r="F7" s="1" t="s">
        <v>848</v>
      </c>
      <c r="G7" s="2" t="str">
        <f>_xll.xlqAAII($C$2,"SPComponent",,$B$1)</f>
        <v>500</v>
      </c>
    </row>
    <row r="8" spans="1:7" x14ac:dyDescent="0.25">
      <c r="C8" s="2" t="str">
        <f>_xll.xlqAAII($C$2,"zip",,$B$1)</f>
        <v>95014-0642</v>
      </c>
      <c r="F8" s="1" t="s">
        <v>849</v>
      </c>
      <c r="G8" s="2" t="str">
        <f>_xll.xlqAAII($C$2,"dowcomponent",,$B$1)</f>
        <v>Industrial</v>
      </c>
    </row>
    <row r="9" spans="1:7" x14ac:dyDescent="0.25">
      <c r="C9" s="2" t="str">
        <f>_xll.xlqAAII($C$2,"country",,$B$1)</f>
        <v>United States</v>
      </c>
      <c r="F9" s="1" t="s">
        <v>850</v>
      </c>
      <c r="G9" s="2" t="str">
        <f>_xll.xlqAAII($C$2,"adr",,$B$1)</f>
        <v>NO</v>
      </c>
    </row>
    <row r="10" spans="1:7" x14ac:dyDescent="0.25">
      <c r="B10" s="1" t="s">
        <v>841</v>
      </c>
      <c r="C10" s="2" t="str">
        <f>_xll.xlqAAII($C$2,"phone",,$B$1)</f>
        <v>1-408-996-1010</v>
      </c>
      <c r="F10" s="1" t="s">
        <v>851</v>
      </c>
      <c r="G10" s="19">
        <f>_xll.xlqAAII($C$2,"employees",,$B$1)</f>
        <v>132000</v>
      </c>
    </row>
    <row r="11" spans="1:7" x14ac:dyDescent="0.25">
      <c r="B11" s="1" t="s">
        <v>842</v>
      </c>
      <c r="C11" s="2" t="str">
        <f>_xll.xlqAAII($C$2,"website",,$B$1)</f>
        <v>https://www.apple.com/</v>
      </c>
      <c r="F11" s="1" t="s">
        <v>852</v>
      </c>
      <c r="G11" s="2" t="str">
        <f>_xll.xlqAAII($C$2,"optionable",,$B$1)</f>
        <v>YES</v>
      </c>
    </row>
    <row r="13" spans="1:7" x14ac:dyDescent="0.25">
      <c r="B13" s="1" t="s">
        <v>843</v>
      </c>
      <c r="C13" s="2" t="str">
        <f>_xll.xlqAAII($C$2,"sector",,$B$1)</f>
        <v>Technology</v>
      </c>
    </row>
    <row r="14" spans="1:7" x14ac:dyDescent="0.25">
      <c r="B14" s="1" t="s">
        <v>844</v>
      </c>
      <c r="C14" s="2" t="str">
        <f>_xll.xlqAAII($C$2,"industry",,$B$1)</f>
        <v>Phones &amp; Handheld Devices</v>
      </c>
    </row>
    <row r="15" spans="1:7" x14ac:dyDescent="0.25">
      <c r="B15" s="1" t="s">
        <v>845</v>
      </c>
      <c r="C15" s="2" t="str">
        <f>_xll.xlqAAII($C$2,"sic",,$B$1)</f>
        <v>3663</v>
      </c>
    </row>
    <row r="17" spans="1:7" x14ac:dyDescent="0.25">
      <c r="B17" s="1" t="s">
        <v>853</v>
      </c>
      <c r="C17" s="20">
        <f>_xll.xlqAAII($C$2,"splitdate",,$B$1)</f>
        <v>41799</v>
      </c>
    </row>
    <row r="18" spans="1:7" x14ac:dyDescent="0.25">
      <c r="B18" s="1" t="s">
        <v>1207</v>
      </c>
      <c r="C18" s="2">
        <f>_xll.xlqAAII($C$2,"splitfactor",,$B$1)</f>
        <v>7</v>
      </c>
      <c r="D18" s="20"/>
      <c r="F18" s="1"/>
    </row>
    <row r="20" spans="1:7" x14ac:dyDescent="0.25">
      <c r="B20" s="1" t="s">
        <v>96</v>
      </c>
      <c r="C20" s="1" t="s">
        <v>542</v>
      </c>
      <c r="D20" s="21" t="s">
        <v>549</v>
      </c>
      <c r="E20" s="21" t="s">
        <v>559</v>
      </c>
      <c r="F20" s="21" t="s">
        <v>686</v>
      </c>
    </row>
    <row r="21" spans="1:7" x14ac:dyDescent="0.25">
      <c r="B21" s="1" t="s">
        <v>854</v>
      </c>
      <c r="C21" s="22">
        <f>_xll.xlqAAII($C$2,"LastPriceDate",,$B$1)</f>
        <v>43658</v>
      </c>
      <c r="D21" s="23"/>
      <c r="G21" s="24"/>
    </row>
    <row r="22" spans="1:7" x14ac:dyDescent="0.25">
      <c r="B22" s="1" t="s">
        <v>747</v>
      </c>
      <c r="C22" s="25">
        <f>_xll.xlqAAII($C$2,"LastPrice",,$B$1)</f>
        <v>203.3</v>
      </c>
      <c r="D22" s="25"/>
      <c r="F22" s="25">
        <f>_xll.xlqAAII($C$2,"PcntRankPrice",,$B$1)</f>
        <v>98</v>
      </c>
    </row>
    <row r="23" spans="1:7" x14ac:dyDescent="0.25">
      <c r="B23" s="26" t="s">
        <v>61</v>
      </c>
      <c r="C23" s="25">
        <f>_xll.xlqAAII($C$2,"52WeekHigh",,$B$1)</f>
        <v>233.47</v>
      </c>
      <c r="D23" s="25"/>
      <c r="E23" s="25"/>
      <c r="F23" s="25">
        <f>_xll.xlqAAII($C$2,"PcntRankPriceHigh52Week",,$B$1)</f>
        <v>98</v>
      </c>
      <c r="G23" s="25"/>
    </row>
    <row r="24" spans="1:7" x14ac:dyDescent="0.25">
      <c r="B24" s="26" t="s">
        <v>62</v>
      </c>
      <c r="C24" s="25">
        <f>_xll.xlqAAII($C$2,"52WeekLow",,$B$1)</f>
        <v>142</v>
      </c>
      <c r="F24" s="25">
        <f>_xll.xlqAAII($C$2,"PcntRankPriceLow52Week",,$B$1)</f>
        <v>98</v>
      </c>
      <c r="G24" s="25"/>
    </row>
    <row r="25" spans="1:7" x14ac:dyDescent="0.25">
      <c r="B25" s="1" t="s">
        <v>63</v>
      </c>
      <c r="C25" s="25">
        <f>_xll.xlqAAII($C$2,"52WeekHighPricePcnt",,$B$1)</f>
        <v>87</v>
      </c>
      <c r="D25" s="25">
        <f>_xll.xlqAAII($C$2,"IndustryPriceAsPcntOf52WeekHigh",,$B$1)</f>
        <v>40</v>
      </c>
      <c r="E25" s="25">
        <f>_xll.xlqAAII($C$2,"SectorPriceAsPcntOf52WeekHigh",,$B$1)</f>
        <v>70</v>
      </c>
      <c r="F25" s="25">
        <f>_xll.xlqAAII($C$2,"PcntRankPriceAsPcntOf52WeekHigh",,$B$1)</f>
        <v>69</v>
      </c>
    </row>
    <row r="26" spans="1:7" x14ac:dyDescent="0.25">
      <c r="A26" s="2" t="s">
        <v>777</v>
      </c>
      <c r="B26" s="1" t="s">
        <v>110</v>
      </c>
      <c r="C26" s="25">
        <f>_xll.xlqAAII($C$2,$A26,,$B$1)</f>
        <v>573109</v>
      </c>
      <c r="D26" s="25">
        <f>_xll.xlqAAII($C$2,"Industry"&amp;$A26,,$B$1)</f>
        <v>1715</v>
      </c>
      <c r="E26" s="25">
        <f>_xll.xlqAAII($C$2,"Sector"&amp;$A26,,$B$1)</f>
        <v>6308</v>
      </c>
      <c r="F26" s="25">
        <f>_xll.xlqAAII($C$2,"PcntRank"&amp;$A26,,$B$1)</f>
        <v>100</v>
      </c>
    </row>
    <row r="27" spans="1:7" x14ac:dyDescent="0.25">
      <c r="A27" s="2" t="s">
        <v>778</v>
      </c>
      <c r="B27" s="1" t="s">
        <v>111</v>
      </c>
      <c r="C27" s="25">
        <f>_xll.xlqAAII($C$2,$A27,,$B$1)</f>
        <v>20543</v>
      </c>
      <c r="D27" s="25">
        <f>_xll.xlqAAII($C$2,"Industry"&amp;$A27,,$B$1)</f>
        <v>73</v>
      </c>
      <c r="E27" s="25">
        <f>_xll.xlqAAII($C$2,"Sector"&amp;$A27,,$B$1)</f>
        <v>272</v>
      </c>
      <c r="F27" s="25">
        <f>_xll.xlqAAII($C$2,"PcntRank"&amp;$A27,,$B$1)</f>
        <v>99</v>
      </c>
    </row>
    <row r="28" spans="1:7" x14ac:dyDescent="0.25">
      <c r="A28" s="2" t="s">
        <v>1229</v>
      </c>
      <c r="B28" s="1" t="str">
        <f>_xll.xlqAAIIDescrip(A28)</f>
        <v>Institutional Ownership %</v>
      </c>
      <c r="C28" s="25">
        <f>_xll.xlqAAII($C$2,$A28,,$B$1)</f>
        <v>60.8</v>
      </c>
      <c r="D28" s="25">
        <f>_xll.xlqAAII($C$2,"Industry"&amp;$A28,,$B$1)</f>
        <v>9.8000000000000007</v>
      </c>
      <c r="E28" s="25">
        <f>_xll.xlqAAII($C$2,"Sector"&amp;$A28,,$B$1)</f>
        <v>45.5</v>
      </c>
      <c r="F28" s="25">
        <f>_xll.xlqAAII($C$2,"PcntRank"&amp;$A28,,$B$1)</f>
        <v>58</v>
      </c>
    </row>
    <row r="29" spans="1:7" x14ac:dyDescent="0.25">
      <c r="A29" s="2" t="s">
        <v>1228</v>
      </c>
      <c r="B29" s="1" t="str">
        <f>_xll.xlqAAIIDescrip(A29)</f>
        <v>Institutional Shareholders</v>
      </c>
      <c r="C29" s="25">
        <f>_xll.xlqAAII($C$2,$A29,,$B$1)</f>
        <v>3904</v>
      </c>
      <c r="D29" s="25">
        <f>_xll.xlqAAII($C$2,"Industry"&amp;$A29,,$B$1)</f>
        <v>20</v>
      </c>
      <c r="E29" s="25">
        <f>_xll.xlqAAII($C$2,"Sector"&amp;$A29,,$B$1)</f>
        <v>125</v>
      </c>
      <c r="F29" s="25">
        <f>_xll.xlqAAII($C$2,"PcntRank"&amp;$A29,,$B$1)</f>
        <v>100</v>
      </c>
    </row>
    <row r="30" spans="1:7" x14ac:dyDescent="0.25">
      <c r="A30" s="2" t="s">
        <v>780</v>
      </c>
      <c r="B30" s="1" t="str">
        <f>_xll.xlqAAIIDescrip(A30)</f>
        <v>Institutions -Shares Purchased</v>
      </c>
      <c r="C30" s="25">
        <f>_xll.xlqAAII($C$2,$A30,,$B$1)</f>
        <v>4255</v>
      </c>
    </row>
    <row r="31" spans="1:7" x14ac:dyDescent="0.25">
      <c r="A31" s="2" t="s">
        <v>781</v>
      </c>
      <c r="B31" s="1" t="str">
        <f>_xll.xlqAAIIDescrip(A31)</f>
        <v>Institutions -Shares Sold</v>
      </c>
      <c r="C31" s="25">
        <f>_xll.xlqAAII($C$2,$A31,,$B$1)</f>
        <v>5140</v>
      </c>
    </row>
    <row r="32" spans="1:7" x14ac:dyDescent="0.25">
      <c r="A32" s="2" t="s">
        <v>782</v>
      </c>
      <c r="B32" s="1" t="str">
        <f>_xll.xlqAAIIDescrip(A32)</f>
        <v>Insider Ownership %</v>
      </c>
      <c r="C32" s="25">
        <f>_xll.xlqAAII($C$2,$A32,,$B$1)</f>
        <v>0</v>
      </c>
      <c r="D32" s="25">
        <f>_xll.xlqAAII($C$2,"Industry"&amp;$A32,,$B$1)</f>
        <v>6.5</v>
      </c>
      <c r="E32" s="25">
        <f>_xll.xlqAAII($C$2,"Sector"&amp;$A32,,$B$1)</f>
        <v>2.2000000000000002</v>
      </c>
      <c r="F32" s="25">
        <f>_xll.xlqAAII($C$2,"PcntRank"&amp;$A32,,$B$1)</f>
        <v>0</v>
      </c>
    </row>
    <row r="33" spans="1:6" x14ac:dyDescent="0.25">
      <c r="A33" s="2" t="s">
        <v>783</v>
      </c>
      <c r="B33" s="1" t="str">
        <f>_xll.xlqAAIIDescrip(A33)</f>
        <v>Insiders -Shares Purchased</v>
      </c>
      <c r="C33" s="25">
        <f>_xll.xlqAAII($C$2,$A33,,$B$1)</f>
        <v>322</v>
      </c>
    </row>
    <row r="34" spans="1:6" x14ac:dyDescent="0.25">
      <c r="A34" s="2" t="s">
        <v>784</v>
      </c>
      <c r="B34" s="1" t="str">
        <f>_xll.xlqAAIIDescrip(A34)</f>
        <v>Insiders -Buy Trades</v>
      </c>
      <c r="C34" s="25">
        <f>_xll.xlqAAII($C$2,$A34,,$B$1)</f>
        <v>11</v>
      </c>
    </row>
    <row r="35" spans="1:6" x14ac:dyDescent="0.25">
      <c r="A35" s="2" t="s">
        <v>785</v>
      </c>
      <c r="B35" s="1" t="str">
        <f>_xll.xlqAAIIDescrip(A35)</f>
        <v>Insiders -Shares Sold</v>
      </c>
      <c r="C35" s="25">
        <f>_xll.xlqAAII($C$2,$A35,,$B$1)</f>
        <v>261</v>
      </c>
    </row>
    <row r="36" spans="1:6" x14ac:dyDescent="0.25">
      <c r="A36" s="2" t="s">
        <v>786</v>
      </c>
      <c r="B36" s="1" t="str">
        <f>_xll.xlqAAIIDescrip(A36)</f>
        <v>Insiders -Sell Trades</v>
      </c>
      <c r="C36" s="25">
        <f>_xll.xlqAAII($C$2,$A36,,$B$1)</f>
        <v>5</v>
      </c>
    </row>
    <row r="37" spans="1:6" x14ac:dyDescent="0.25">
      <c r="A37" s="2" t="s">
        <v>787</v>
      </c>
      <c r="B37" s="1" t="str">
        <f>_xll.xlqAAIIDescrip(A37)</f>
        <v>Float</v>
      </c>
      <c r="C37" s="25">
        <f>_xll.xlqAAII($C$2,$A37,,$B$1)</f>
        <v>4597.9830000000002</v>
      </c>
      <c r="D37" s="25">
        <f>_xll.xlqAAII($C$2,"Industry"&amp;$A37,,$B$1)</f>
        <v>22.887</v>
      </c>
      <c r="E37" s="25">
        <f>_xll.xlqAAII($C$2,"Sector"&amp;$A37,,$B$1)</f>
        <v>38.799999999999997</v>
      </c>
      <c r="F37" s="25">
        <f>_xll.xlqAAII($C$2,"PcntRank"&amp;$A37,,$B$1)</f>
        <v>100</v>
      </c>
    </row>
    <row r="38" spans="1:6" x14ac:dyDescent="0.25">
      <c r="A38" s="2" t="s">
        <v>788</v>
      </c>
      <c r="B38" s="1" t="str">
        <f>_xll.xlqAAIIDescrip(A38)</f>
        <v>Beta</v>
      </c>
      <c r="C38" s="25">
        <f>_xll.xlqAAII($C$2,$A38,,$B$1)</f>
        <v>1.24</v>
      </c>
      <c r="D38" s="25">
        <f>_xll.xlqAAII($C$2,"Industry"&amp;$A38,,$B$1)</f>
        <v>1.24</v>
      </c>
      <c r="E38" s="25">
        <f>_xll.xlqAAII($C$2,"Sector"&amp;$A38,,$B$1)</f>
        <v>1.0900000000000001</v>
      </c>
      <c r="F38" s="25">
        <f>_xll.xlqAAII($C$2,"PcntRank"&amp;$A38,,$B$1)</f>
        <v>64</v>
      </c>
    </row>
    <row r="39" spans="1:6" x14ac:dyDescent="0.25">
      <c r="A39" s="2" t="s">
        <v>789</v>
      </c>
      <c r="B39" s="1" t="str">
        <f>_xll.xlqAAIIDescrip(A39)</f>
        <v>Market Cap Q1</v>
      </c>
      <c r="C39" s="25">
        <f>_xll.xlqAAII($C$2,$A39,,$B$1)</f>
        <v>928266.9</v>
      </c>
      <c r="D39" s="25">
        <f>_xll.xlqAAII($C$2,"Industry"&amp;$A39,,$B$1)</f>
        <v>27.2</v>
      </c>
      <c r="E39" s="25">
        <f>_xll.xlqAAII($C$2,"Sector"&amp;$A39,,$B$1)</f>
        <v>485</v>
      </c>
      <c r="F39" s="25">
        <f>_xll.xlqAAII($C$2,"PcntRank"&amp;$A39,,$B$1)</f>
        <v>100</v>
      </c>
    </row>
    <row r="40" spans="1:6" x14ac:dyDescent="0.25">
      <c r="A40" s="2" t="s">
        <v>790</v>
      </c>
      <c r="B40" s="1" t="str">
        <f>_xll.xlqAAIIDescrip(A40)</f>
        <v>Price Change 3 Year Mean</v>
      </c>
      <c r="C40" s="25">
        <f>_xll.xlqAAII($C$2,$A40,,$B$1)</f>
        <v>25.98</v>
      </c>
    </row>
    <row r="41" spans="1:6" x14ac:dyDescent="0.25">
      <c r="A41" s="2" t="s">
        <v>791</v>
      </c>
      <c r="B41" s="1" t="str">
        <f>_xll.xlqAAIIDescrip(A41)</f>
        <v>Price Change 3 Year Std. Dev.</v>
      </c>
      <c r="C41" s="25">
        <f>_xll.xlqAAII($C$2,$A41,,$B$1)</f>
        <v>26.74</v>
      </c>
    </row>
    <row r="42" spans="1:6" x14ac:dyDescent="0.25">
      <c r="A42" s="2" t="s">
        <v>792</v>
      </c>
      <c r="B42" s="1" t="str">
        <f>_xll.xlqAAIIDescrip(A42)</f>
        <v>Price Change 3 Year Annual</v>
      </c>
      <c r="C42" s="25">
        <f>_xll.xlqAAII($C$2,$A42,,$B$1)</f>
        <v>25</v>
      </c>
    </row>
    <row r="43" spans="1:6" x14ac:dyDescent="0.25">
      <c r="A43" s="2" t="s">
        <v>793</v>
      </c>
      <c r="B43" s="1" t="str">
        <f>_xll.xlqAAIIDescrip(A43)</f>
        <v>Insiders -Net Shares Purchased</v>
      </c>
      <c r="C43" s="25">
        <f>_xll.xlqAAII($C$2,$A43,,$B$1)</f>
        <v>61</v>
      </c>
    </row>
    <row r="44" spans="1:6" x14ac:dyDescent="0.25">
      <c r="A44" s="2" t="s">
        <v>794</v>
      </c>
      <c r="B44" s="1" t="str">
        <f>_xll.xlqAAIIDescrip(A44)</f>
        <v>Net Insider Buys % Shares Out.</v>
      </c>
      <c r="C44" s="25">
        <f>_xll.xlqAAII($C$2,$A44,,$B$1)</f>
        <v>0</v>
      </c>
    </row>
    <row r="45" spans="1:6" x14ac:dyDescent="0.25">
      <c r="A45" s="2" t="s">
        <v>795</v>
      </c>
      <c r="B45" s="1" t="str">
        <f>_xll.xlqAAIIDescrip(A45)</f>
        <v>Short Interest % Change M2 to M1</v>
      </c>
      <c r="C45" s="25" t="str">
        <f>_xll.xlqAAII($C$2,$A45,,$B$1)</f>
        <v>NA</v>
      </c>
    </row>
    <row r="46" spans="1:6" x14ac:dyDescent="0.25">
      <c r="A46" s="2" t="s">
        <v>796</v>
      </c>
      <c r="B46" s="1" t="str">
        <f>_xll.xlqAAIIDescrip(A46)</f>
        <v>Price as % of 2 Year High</v>
      </c>
      <c r="C46" s="25">
        <f>_xll.xlqAAII($C$2,$A46,,$B$1)</f>
        <v>87.08</v>
      </c>
    </row>
    <row r="47" spans="1:6" x14ac:dyDescent="0.25">
      <c r="A47" s="2" t="s">
        <v>797</v>
      </c>
      <c r="B47" s="1" t="str">
        <f>_xll.xlqAAIIDescrip(A47)</f>
        <v>Volume -Dollar Daily Avg 3M</v>
      </c>
      <c r="C47" s="25">
        <f>_xll.xlqAAII($C$2,$A47,,$B$1)</f>
        <v>5825652.9900000002</v>
      </c>
      <c r="E47" s="2" t="s">
        <v>1251</v>
      </c>
    </row>
    <row r="48" spans="1:6" x14ac:dyDescent="0.25">
      <c r="A48" s="2" t="s">
        <v>779</v>
      </c>
      <c r="B48" s="1" t="str">
        <f>_xll.xlqAAIIDescrip(A48)</f>
        <v>Shares Per ADR</v>
      </c>
      <c r="C48" s="25" t="str">
        <f>_xll.xlqAAII($C$2,$A48,,$B$1)</f>
        <v>NA</v>
      </c>
      <c r="D48" s="25"/>
      <c r="E48" s="25"/>
      <c r="F48" s="25"/>
    </row>
    <row r="49" spans="1:7" x14ac:dyDescent="0.25">
      <c r="A49" s="2" t="s">
        <v>1237</v>
      </c>
      <c r="B49" s="1" t="str">
        <f>_xll.xlqAAIIDescrip(A49)</f>
        <v>Dividend, Indicated</v>
      </c>
      <c r="C49" s="25">
        <f>_xll.xlqAAII($C$2,$A49,,$B$1)</f>
        <v>3.08</v>
      </c>
      <c r="D49" s="25"/>
      <c r="E49" s="25"/>
      <c r="F49" s="25"/>
    </row>
    <row r="50" spans="1:7" x14ac:dyDescent="0.25">
      <c r="A50" s="2" t="s">
        <v>1535</v>
      </c>
      <c r="B50" s="1" t="str">
        <f>_xll.xlqAAIIDescrip(A50)</f>
        <v>Cash Per Share Q1</v>
      </c>
      <c r="C50" s="25">
        <f>_xll.xlqAAII($C$2,$A50,,$B$1)</f>
        <v>8.1</v>
      </c>
      <c r="D50" s="25"/>
      <c r="E50" s="25"/>
      <c r="F50" s="25"/>
    </row>
    <row r="51" spans="1:7" x14ac:dyDescent="0.25">
      <c r="A51" s="16" t="s">
        <v>1536</v>
      </c>
      <c r="B51" s="1" t="str">
        <f>_xll.xlqAAIIDescrip(A51)</f>
        <v>Net Cash Per Share Q1</v>
      </c>
      <c r="C51" s="25" t="str">
        <f>_xll.xlqAAII($C$2,$A51,,$B$1)</f>
        <v>NA</v>
      </c>
      <c r="D51" s="25"/>
      <c r="E51" s="25"/>
      <c r="F51" s="25"/>
    </row>
    <row r="52" spans="1:7" x14ac:dyDescent="0.25">
      <c r="B52" s="1"/>
      <c r="C52" s="25"/>
      <c r="D52" s="25"/>
      <c r="E52" s="25"/>
      <c r="F52" s="25"/>
    </row>
    <row r="53" spans="1:7" x14ac:dyDescent="0.25">
      <c r="A53" s="2" t="s">
        <v>1208</v>
      </c>
      <c r="B53" s="1" t="str">
        <f>_xll.xlqAAIIDescrip(A53,1)</f>
        <v>LT Debt/Working Capital</v>
      </c>
      <c r="C53" s="25">
        <f>_xll.xlqAAII($C$2,$A53,,$B$1)</f>
        <v>305</v>
      </c>
      <c r="D53" s="25">
        <f>_xll.xlqAAII($C$2,"IndustryLTDebtWorkingCapQ1",,$B$1)</f>
        <v>1.8</v>
      </c>
      <c r="E53" s="25">
        <f>_xll.xlqAAII($C$2,"SectorLTDebtWorkingCapQ1",,$B$1)</f>
        <v>13.1</v>
      </c>
      <c r="F53" s="25">
        <f>_xll.xlqAAII($C$2,"PcntRankLTDebtWorkingCapital",,$B$1)</f>
        <v>88</v>
      </c>
    </row>
    <row r="55" spans="1:7" s="1" customFormat="1" x14ac:dyDescent="0.25">
      <c r="C55" s="1" t="s">
        <v>98</v>
      </c>
      <c r="D55" s="1" t="s">
        <v>99</v>
      </c>
      <c r="E55" s="1" t="s">
        <v>100</v>
      </c>
      <c r="F55" s="1" t="s">
        <v>101</v>
      </c>
    </row>
    <row r="56" spans="1:7" x14ac:dyDescent="0.25">
      <c r="A56" s="2" t="s">
        <v>102</v>
      </c>
      <c r="B56" s="1" t="s">
        <v>97</v>
      </c>
      <c r="C56" s="25">
        <f>_xll.xlqAAII($C$2,$A56&amp;"4W",,$B$1)</f>
        <v>5.48</v>
      </c>
      <c r="D56" s="25">
        <f>_xll.xlqAAII($C$2,$A56&amp;"13W",,$B$1)</f>
        <v>2.19</v>
      </c>
      <c r="E56" s="25">
        <f>_xll.xlqAAII($C$2,$A56&amp;"26W",,$B$1)</f>
        <v>32.19</v>
      </c>
      <c r="F56" s="25">
        <f>_xll.xlqAAII($C$2,$A56&amp;"52W",,$B$1)</f>
        <v>8.2100000000000009</v>
      </c>
      <c r="G56" s="1" t="s">
        <v>105</v>
      </c>
    </row>
    <row r="57" spans="1:7" x14ac:dyDescent="0.25">
      <c r="A57" s="2" t="s">
        <v>104</v>
      </c>
      <c r="B57" s="1" t="s">
        <v>103</v>
      </c>
      <c r="C57" s="25">
        <f>_xll.xlqAAII($C$2,$A57&amp;"4W",,$B$1)</f>
        <v>1.56</v>
      </c>
      <c r="D57" s="25">
        <f>_xll.xlqAAII($C$2,$A57&amp;"13W",,$B$1)</f>
        <v>-1.97</v>
      </c>
      <c r="E57" s="25">
        <f>_xll.xlqAAII($C$2,$A57&amp;"26W",,$B$1)</f>
        <v>13.84</v>
      </c>
      <c r="F57" s="25">
        <f>_xll.xlqAAII($C$2,$A57&amp;"52W",,$B$1)</f>
        <v>-0.28999999999999998</v>
      </c>
      <c r="G57" s="25">
        <f>_xll.xlqAAII($C$2,$A57&amp;"Weighted4Q",,$B$1)</f>
        <v>3</v>
      </c>
    </row>
    <row r="58" spans="1:7" x14ac:dyDescent="0.25">
      <c r="A58" s="2" t="s">
        <v>1211</v>
      </c>
      <c r="B58" s="1" t="s">
        <v>103</v>
      </c>
      <c r="C58" s="25">
        <f>_xll.xlqAAII($C$2,$A58&amp;"4W",,$B$1)</f>
        <v>-3.72</v>
      </c>
      <c r="D58" s="25">
        <f>_xll.xlqAAII($C$2,$A58&amp;"13W",,$B$1)</f>
        <v>-20.38</v>
      </c>
      <c r="E58" s="25">
        <f>_xll.xlqAAII($C$2,$A58&amp;"26W",,$B$1)</f>
        <v>-31.32</v>
      </c>
      <c r="F58" s="25">
        <f>_xll.xlqAAII($C$2,$A58&amp;"52W",,$B$1)</f>
        <v>-39.590000000000003</v>
      </c>
      <c r="G58" s="25"/>
    </row>
    <row r="59" spans="1:7" x14ac:dyDescent="0.25">
      <c r="A59" s="2" t="s">
        <v>1212</v>
      </c>
      <c r="B59" s="1" t="s">
        <v>103</v>
      </c>
      <c r="C59" s="25">
        <f>_xll.xlqAAII($C$2,$A59&amp;"4W",,$B$1)</f>
        <v>-0.78</v>
      </c>
      <c r="D59" s="25">
        <f>_xll.xlqAAII($C$2,$A59&amp;"13W",,$B$1)</f>
        <v>-8.4700000000000006</v>
      </c>
      <c r="E59" s="25">
        <f>_xll.xlqAAII($C$2,$A59&amp;"26W",,$B$1)</f>
        <v>-7.42</v>
      </c>
      <c r="F59" s="25">
        <f>_xll.xlqAAII($C$2,$A59&amp;"52W",,$B$1)</f>
        <v>-17.29</v>
      </c>
      <c r="G59" s="25"/>
    </row>
    <row r="60" spans="1:7" x14ac:dyDescent="0.25">
      <c r="A60" s="2" t="s">
        <v>1210</v>
      </c>
      <c r="B60" s="1" t="s">
        <v>103</v>
      </c>
      <c r="C60" s="25">
        <f>_xll.xlqAAII($C$2,$A60&amp;"4W",,$B$1)</f>
        <v>69</v>
      </c>
      <c r="D60" s="25">
        <f>_xll.xlqAAII($C$2,$A60&amp;"13W",,$B$1)</f>
        <v>64</v>
      </c>
      <c r="E60" s="25">
        <f>_xll.xlqAAII($C$2,$A60&amp;"26W",,$B$1)</f>
        <v>84</v>
      </c>
      <c r="F60" s="25">
        <f>_xll.xlqAAII($C$2,$A60&amp;"52W",,$B$1)</f>
        <v>73</v>
      </c>
      <c r="G60" s="25">
        <f>_xll.xlqAAII($C$2,$A60&amp;"Weighted4Q",,$B$1)</f>
        <v>69</v>
      </c>
    </row>
    <row r="63" spans="1:7" x14ac:dyDescent="0.25">
      <c r="B63" s="1" t="s">
        <v>106</v>
      </c>
      <c r="C63" s="1"/>
      <c r="D63" s="1"/>
    </row>
    <row r="64" spans="1:7" x14ac:dyDescent="0.25">
      <c r="B64" s="1" t="s">
        <v>108</v>
      </c>
      <c r="C64" s="24" t="s">
        <v>107</v>
      </c>
      <c r="D64" s="24" t="s">
        <v>199</v>
      </c>
    </row>
    <row r="65" spans="1:6" x14ac:dyDescent="0.25">
      <c r="A65" s="2" t="s">
        <v>109</v>
      </c>
      <c r="B65" s="27">
        <v>1</v>
      </c>
      <c r="C65" s="28">
        <f>_xll.xlqAAII($C$2,$A65&amp;"Q_X",$B65,$B$1)</f>
        <v>4674.0709999999999</v>
      </c>
      <c r="D65" s="28">
        <f>_xll.xlqAAII($C$2,$A65&amp;"Y_X",$B65,$B$1)</f>
        <v>4955.3770000000004</v>
      </c>
    </row>
    <row r="66" spans="1:6" x14ac:dyDescent="0.25">
      <c r="A66" s="2" t="s">
        <v>109</v>
      </c>
      <c r="B66" s="27">
        <v>2</v>
      </c>
      <c r="C66" s="28">
        <f>_xll.xlqAAII($C$2,$A66&amp;"Q_X",$B66,$B$1)</f>
        <v>4735.82</v>
      </c>
      <c r="D66" s="28">
        <f>_xll.xlqAAII($C$2,$A66&amp;"Y_X",$B66,$B$1)</f>
        <v>5217.2420000000002</v>
      </c>
    </row>
    <row r="67" spans="1:6" x14ac:dyDescent="0.25">
      <c r="A67" s="2" t="s">
        <v>109</v>
      </c>
      <c r="B67" s="27">
        <v>3</v>
      </c>
      <c r="C67" s="28">
        <f>_xll.xlqAAII($C$2,$A67&amp;"Q_X",$B67,$B$1)</f>
        <v>4801.5879999999997</v>
      </c>
      <c r="D67" s="28">
        <f>_xll.xlqAAII($C$2,$A67&amp;"Y_X",$B67,$B$1)</f>
        <v>5470.82</v>
      </c>
      <c r="F67" s="1"/>
    </row>
    <row r="68" spans="1:6" x14ac:dyDescent="0.25">
      <c r="A68" s="2" t="s">
        <v>109</v>
      </c>
      <c r="B68" s="27">
        <v>4</v>
      </c>
      <c r="C68" s="28">
        <f>_xll.xlqAAII($C$2,$A68&amp;"Q_X",$B68,$B$1)</f>
        <v>4882.1670000000004</v>
      </c>
      <c r="D68" s="28">
        <f>_xll.xlqAAII($C$2,$A68&amp;"Y_X",$B68,$B$1)</f>
        <v>5753.4210000000003</v>
      </c>
    </row>
    <row r="69" spans="1:6" x14ac:dyDescent="0.25">
      <c r="A69" s="2" t="s">
        <v>109</v>
      </c>
      <c r="B69" s="27">
        <v>5</v>
      </c>
      <c r="C69" s="28">
        <f>_xll.xlqAAII($C$2,$A69&amp;"Q_X",$B69,$B$1)</f>
        <v>5024.8770000000004</v>
      </c>
      <c r="D69" s="28">
        <f>_xll.xlqAAII($C$2,$A69&amp;"Y_X",$B69,$B$1)</f>
        <v>6085.5720000000001</v>
      </c>
    </row>
    <row r="70" spans="1:6" x14ac:dyDescent="0.25">
      <c r="A70" s="2" t="s">
        <v>109</v>
      </c>
      <c r="B70" s="27">
        <v>6</v>
      </c>
      <c r="C70" s="28">
        <f>_xll.xlqAAII($C$2,$A70&amp;"Q_X",$B70,$B$1)</f>
        <v>5112.8770000000004</v>
      </c>
      <c r="D70" s="28">
        <f>_xll.xlqAAII($C$2,$A70&amp;"Y_X",$B70,$B$1)</f>
        <v>6477.1880000000001</v>
      </c>
    </row>
    <row r="71" spans="1:6" x14ac:dyDescent="0.25">
      <c r="A71" s="2" t="s">
        <v>109</v>
      </c>
      <c r="B71" s="27">
        <v>7</v>
      </c>
      <c r="C71" s="28">
        <f>_xll.xlqAAII($C$2,$A71&amp;"Q_X",$B71,$B$1)</f>
        <v>5149.4269999999997</v>
      </c>
      <c r="D71" s="28">
        <f>_xll.xlqAAII($C$2,$A71&amp;"Y_X",$B71,$B$1)</f>
        <v>6543.7259999999997</v>
      </c>
    </row>
    <row r="72" spans="1:6" x14ac:dyDescent="0.25">
      <c r="A72" s="2" t="s">
        <v>109</v>
      </c>
      <c r="B72" s="27">
        <v>8</v>
      </c>
      <c r="C72" s="28">
        <f>_xll.xlqAAII($C$2,$A72&amp;"Q_X",$B72,$B$1)</f>
        <v>5195.0879999999997</v>
      </c>
      <c r="D72" s="28"/>
    </row>
    <row r="76" spans="1:6" x14ac:dyDescent="0.25">
      <c r="B76" s="1" t="s">
        <v>1239</v>
      </c>
    </row>
    <row r="77" spans="1:6" x14ac:dyDescent="0.25">
      <c r="A77" s="14" t="s">
        <v>4</v>
      </c>
      <c r="B77" s="1" t="str">
        <f>_xll.xlqAAIIDescrip(A77)</f>
        <v>Flash - Date</v>
      </c>
      <c r="C77" s="29" t="str">
        <f>_xll.xlqAAII($C$2,$A77,,$B$1)</f>
        <v>NA</v>
      </c>
    </row>
    <row r="78" spans="1:6" x14ac:dyDescent="0.25">
      <c r="A78" s="14" t="s">
        <v>2</v>
      </c>
      <c r="B78" s="1" t="str">
        <f>_xll.xlqAAIIDescrip(A78)</f>
        <v>Flash - EPS-Diluted Continuing</v>
      </c>
      <c r="C78" s="25" t="str">
        <f>_xll.xlqAAII($C$2,$A78,,$B$1)</f>
        <v>NA</v>
      </c>
    </row>
    <row r="79" spans="1:6" x14ac:dyDescent="0.25">
      <c r="A79" s="14" t="s">
        <v>3</v>
      </c>
      <c r="B79" s="1" t="str">
        <f>_xll.xlqAAIIDescrip(A79)</f>
        <v>Flash - Gross Operating Income</v>
      </c>
      <c r="C79" s="25" t="str">
        <f>_xll.xlqAAII($C$2,$A79,,$B$1)</f>
        <v>NA</v>
      </c>
    </row>
    <row r="80" spans="1:6" x14ac:dyDescent="0.25">
      <c r="A80" s="14" t="s">
        <v>5</v>
      </c>
      <c r="B80" s="1" t="str">
        <f>_xll.xlqAAIIDescrip(A80)</f>
        <v>Flash - Sales</v>
      </c>
      <c r="C80" s="25" t="str">
        <f>_xll.xlqAAII($C$2,$A80,,$B$1)</f>
        <v>NA</v>
      </c>
    </row>
    <row r="81" spans="1:3" x14ac:dyDescent="0.25">
      <c r="A81" s="14" t="s">
        <v>6</v>
      </c>
      <c r="B81" s="1" t="str">
        <f>_xll.xlqAAIIDescrip(A81)</f>
        <v>Flash - Income For Primary EPS</v>
      </c>
      <c r="C81" s="25" t="str">
        <f>_xll.xlqAAII($C$2,$A81,,$B$1)</f>
        <v>NA</v>
      </c>
    </row>
    <row r="82" spans="1:3" x14ac:dyDescent="0.25">
      <c r="A82" s="14" t="s">
        <v>7</v>
      </c>
      <c r="B82" s="1" t="str">
        <f>_xll.xlqAAIIDescrip(A82)</f>
        <v>Flash - Pre-Tax Income</v>
      </c>
      <c r="C82" s="25" t="str">
        <f>_xll.xlqAAII($C$2,$A82,,$B$1)</f>
        <v>NA</v>
      </c>
    </row>
    <row r="83" spans="1:3" x14ac:dyDescent="0.25">
      <c r="A83" s="2" t="s">
        <v>1537</v>
      </c>
      <c r="B83" s="1" t="str">
        <f>_xll.xlqAAIIDescrip(A83)</f>
        <v>Flash - Cash</v>
      </c>
      <c r="C83" s="25" t="str">
        <f>_xll.xlqAAII($C$2,$A83,,$B$1)</f>
        <v>NA</v>
      </c>
    </row>
    <row r="84" spans="1:3" x14ac:dyDescent="0.25">
      <c r="A84" s="2" t="s">
        <v>1538</v>
      </c>
      <c r="B84" s="1" t="str">
        <f>_xll.xlqAAIIDescrip(A84)</f>
        <v>Flash - Long-Term Debt</v>
      </c>
      <c r="C84" s="25" t="str">
        <f>_xll.xlqAAII($C$2,$A84,,$B$1)</f>
        <v>NA</v>
      </c>
    </row>
    <row r="85" spans="1:3" x14ac:dyDescent="0.25">
      <c r="A85" s="16" t="s">
        <v>1539</v>
      </c>
      <c r="B85" s="1" t="str">
        <f>_xll.xlqAAIIDescrip(A85)</f>
        <v>Flash - Equity (Common)</v>
      </c>
      <c r="C85" s="25" t="str">
        <f>_xll.xlqAAII($C$2,$A85,,$B$1)</f>
        <v>NA</v>
      </c>
    </row>
    <row r="87" spans="1:3" x14ac:dyDescent="0.25">
      <c r="B87" s="2" t="s">
        <v>1268</v>
      </c>
    </row>
    <row r="88" spans="1:3" x14ac:dyDescent="0.25">
      <c r="A88" s="2" t="s">
        <v>8</v>
      </c>
      <c r="B88" s="1" t="str">
        <f>_xll.xlqAAIIDescrip(A88)</f>
        <v>Price/Growth Flow</v>
      </c>
      <c r="C88" s="25">
        <f>_xll.xlqAAII($C$2,$A88,,$B$1)</f>
        <v>13.6</v>
      </c>
    </row>
    <row r="89" spans="1:3" x14ac:dyDescent="0.25">
      <c r="A89" s="2" t="s">
        <v>11</v>
      </c>
      <c r="B89" s="1" t="str">
        <f>_xll.xlqAAIIDescrip(A89)</f>
        <v>PE to Div Adj EPS Est Growth</v>
      </c>
      <c r="C89" s="25">
        <f>_xll.xlqAAII($C$2,$A89,,$B$1)</f>
        <v>1.3</v>
      </c>
    </row>
    <row r="90" spans="1:3" x14ac:dyDescent="0.25">
      <c r="A90" s="2" t="s">
        <v>12</v>
      </c>
      <c r="B90" s="1" t="str">
        <f>_xll.xlqAAIIDescrip(A90)</f>
        <v>Earnings Yield 12 Month</v>
      </c>
      <c r="C90" s="25">
        <f>_xll.xlqAAII($C$2,$A90,,$B$1)</f>
        <v>5.74</v>
      </c>
    </row>
    <row r="91" spans="1:3" x14ac:dyDescent="0.25">
      <c r="A91" s="2" t="s">
        <v>13</v>
      </c>
      <c r="B91" s="1" t="str">
        <f>_xll.xlqAAIIDescrip(A91)</f>
        <v>Fundamental Rule of Thumb</v>
      </c>
      <c r="C91" s="25">
        <f>_xll.xlqAAII($C$2,$A91,,$B$1)</f>
        <v>45.17</v>
      </c>
    </row>
    <row r="92" spans="1:3" x14ac:dyDescent="0.25">
      <c r="A92" s="2" t="s">
        <v>16</v>
      </c>
      <c r="B92" s="1" t="str">
        <f>_xll.xlqAAIIDescrip(A92)</f>
        <v>PE Relative High-Avg 5 Year</v>
      </c>
      <c r="C92" s="25">
        <f>_xll.xlqAAII($C$2,$A92,,$B$1)</f>
        <v>0.72</v>
      </c>
    </row>
    <row r="93" spans="1:3" x14ac:dyDescent="0.25">
      <c r="A93" s="2" t="s">
        <v>17</v>
      </c>
      <c r="B93" s="1" t="str">
        <f>_xll.xlqAAIIDescrip(A93)</f>
        <v>PE Relative Low-Avg 5 Year</v>
      </c>
      <c r="C93" s="25">
        <f>_xll.xlqAAII($C$2,$A93,,$B$1)</f>
        <v>0.74</v>
      </c>
    </row>
    <row r="94" spans="1:3" x14ac:dyDescent="0.25">
      <c r="A94" s="2" t="s">
        <v>18</v>
      </c>
      <c r="B94" s="1" t="str">
        <f>_xll.xlqAAIIDescrip(A94)</f>
        <v>PE Relative Avg-5 Year</v>
      </c>
      <c r="C94" s="25">
        <f>_xll.xlqAAII($C$2,$A94,,$B$1)</f>
        <v>0.73</v>
      </c>
    </row>
    <row r="95" spans="1:3" x14ac:dyDescent="0.25">
      <c r="A95" s="2" t="s">
        <v>19</v>
      </c>
      <c r="B95" s="1" t="str">
        <f>_xll.xlqAAIIDescrip(A95)</f>
        <v>PE Relative Valuation</v>
      </c>
      <c r="C95" s="25">
        <f>_xll.xlqAAII($C$2,$A95,,$B$1)</f>
        <v>154.27000000000001</v>
      </c>
    </row>
    <row r="96" spans="1:3" x14ac:dyDescent="0.25">
      <c r="A96" s="2" t="s">
        <v>20</v>
      </c>
      <c r="B96" s="1" t="str">
        <f>_xll.xlqAAIIDescrip(A96)</f>
        <v>PE Relative Valuation % Price</v>
      </c>
      <c r="C96" s="25">
        <f>_xll.xlqAAII($C$2,$A96,,$B$1)</f>
        <v>131.78</v>
      </c>
    </row>
    <row r="97" spans="1:3" x14ac:dyDescent="0.25">
      <c r="A97" s="2" t="s">
        <v>21</v>
      </c>
      <c r="B97" s="1" t="str">
        <f>_xll.xlqAAIIDescrip(A97)</f>
        <v>PE Relative Adjusted P/E</v>
      </c>
      <c r="C97" s="25">
        <f>_xll.xlqAAII($C$2,$A97,,$B$1)</f>
        <v>13.22</v>
      </c>
    </row>
    <row r="98" spans="1:3" x14ac:dyDescent="0.25">
      <c r="A98" s="2" t="s">
        <v>22</v>
      </c>
      <c r="B98" s="1" t="str">
        <f>_xll.xlqAAIIDescrip(A98)</f>
        <v>Yield High-Avg 7 Year</v>
      </c>
      <c r="C98" s="25">
        <f>_xll.xlqAAII($C$2,$A98,,$B$1)</f>
        <v>2.1</v>
      </c>
    </row>
    <row r="99" spans="1:3" x14ac:dyDescent="0.25">
      <c r="A99" s="16" t="s">
        <v>23</v>
      </c>
      <c r="B99" s="1" t="str">
        <f>_xll.xlqAAIIDescrip(A99)</f>
        <v>PFCF to FCF Growth</v>
      </c>
      <c r="C99" s="25">
        <f>_xll.xlqAAII($C$2,$A99,,$B$1)</f>
        <v>1.59</v>
      </c>
    </row>
    <row r="100" spans="1:3" x14ac:dyDescent="0.25">
      <c r="A100" s="2" t="s">
        <v>39</v>
      </c>
      <c r="B100" s="1" t="str">
        <f>_xll.xlqAAIIDescrip(A100)</f>
        <v>Pretax Margin 12 Month</v>
      </c>
      <c r="C100" s="25">
        <f>_xll.xlqAAII($C$2,$A100,,$B$1)</f>
        <v>26.1</v>
      </c>
    </row>
    <row r="101" spans="1:3" x14ac:dyDescent="0.25">
      <c r="A101" s="2" t="s">
        <v>40</v>
      </c>
      <c r="B101" s="1" t="str">
        <f>_xll.xlqAAIIDescrip(A101)</f>
        <v>R&amp;D as % of Sales 12 Month</v>
      </c>
      <c r="C101" s="25">
        <f>_xll.xlqAAII($C$2,$A101,,$B$1)</f>
        <v>5.9</v>
      </c>
    </row>
    <row r="102" spans="1:3" x14ac:dyDescent="0.25">
      <c r="A102" s="2" t="s">
        <v>41</v>
      </c>
      <c r="B102" s="1" t="str">
        <f>_xll.xlqAAIIDescrip(A102)</f>
        <v>Return on Equity - 7 Year Avg.</v>
      </c>
      <c r="C102" s="25">
        <f>_xll.xlqAAII($C$2,$A102,,$B$1)</f>
        <v>39.5</v>
      </c>
    </row>
    <row r="103" spans="1:3" x14ac:dyDescent="0.25">
      <c r="A103" s="2" t="s">
        <v>42</v>
      </c>
      <c r="B103" s="1" t="str">
        <f>_xll.xlqAAIIDescrip(A103)</f>
        <v>Payout - 7 Year Avg.</v>
      </c>
      <c r="C103" s="25">
        <f>_xll.xlqAAII($C$2,$A103,,$B$1)</f>
        <v>22.6</v>
      </c>
    </row>
    <row r="104" spans="1:3" x14ac:dyDescent="0.25">
      <c r="A104" s="2" t="s">
        <v>43</v>
      </c>
      <c r="B104" s="1" t="str">
        <f>_xll.xlqAAIIDescrip(A104)</f>
        <v>Earnings Retained to Book</v>
      </c>
      <c r="C104" s="25">
        <f>_xll.xlqAAII($C$2,$A104,,$B$1)</f>
        <v>37.92</v>
      </c>
    </row>
    <row r="105" spans="1:3" x14ac:dyDescent="0.25">
      <c r="A105" s="2" t="s">
        <v>44</v>
      </c>
      <c r="B105" s="1" t="str">
        <f>_xll.xlqAAIIDescrip(A105)</f>
        <v>F Score TTM</v>
      </c>
      <c r="C105" s="25">
        <f>_xll.xlqAAII($C$2,$A105,,$B$1)</f>
        <v>7</v>
      </c>
    </row>
    <row r="106" spans="1:3" x14ac:dyDescent="0.25">
      <c r="A106" s="2" t="s">
        <v>45</v>
      </c>
      <c r="B106" s="1" t="str">
        <f>_xll.xlqAAIIDescrip(A106)</f>
        <v>F Score Y1</v>
      </c>
      <c r="C106" s="25">
        <f>_xll.xlqAAII($C$2,$A106,,$B$1)</f>
        <v>6</v>
      </c>
    </row>
    <row r="107" spans="1:3" x14ac:dyDescent="0.25">
      <c r="A107" s="16" t="s">
        <v>46</v>
      </c>
      <c r="B107" s="1" t="str">
        <f>_xll.xlqAAIIDescrip(A107)</f>
        <v>Price Change vs BV Change</v>
      </c>
      <c r="C107" s="25">
        <f>_xll.xlqAAII($C$2,$A107,,$B$1)</f>
        <v>43.3</v>
      </c>
    </row>
    <row r="108" spans="1:3" x14ac:dyDescent="0.25">
      <c r="A108" s="14" t="s">
        <v>1582</v>
      </c>
      <c r="B108" s="1" t="str">
        <f>_xll.xlqAAIIDescrip(A108)</f>
        <v>Sustainable-Growth 7 Year</v>
      </c>
      <c r="C108" s="25">
        <f>_xll.xlqAAII($C$2,$A108,,$B$1)</f>
        <v>30.6</v>
      </c>
    </row>
    <row r="109" spans="1:3" x14ac:dyDescent="0.25">
      <c r="A109" s="14" t="s">
        <v>1584</v>
      </c>
      <c r="B109" s="1" t="str">
        <f>_xll.xlqAAIIDescrip(A109)</f>
        <v>Dividend Increases-Y7 to Y1</v>
      </c>
      <c r="C109" s="25">
        <f>_xll.xlqAAII($C$2,$A109,,$B$1)</f>
        <v>6</v>
      </c>
    </row>
    <row r="110" spans="1:3" x14ac:dyDescent="0.25">
      <c r="A110" s="14" t="s">
        <v>1585</v>
      </c>
      <c r="B110" s="1" t="str">
        <f>_xll.xlqAAIIDescrip(A110)</f>
        <v>EPS Increases-Y7 to Y1</v>
      </c>
      <c r="C110" s="25">
        <f>_xll.xlqAAII($C$2,$A110,,$B$1)</f>
        <v>4</v>
      </c>
    </row>
  </sheetData>
  <phoneticPr fontId="2" type="noConversion"/>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496"/>
  <sheetViews>
    <sheetView topLeftCell="A355" workbookViewId="0">
      <selection activeCell="B386" sqref="B386"/>
    </sheetView>
  </sheetViews>
  <sheetFormatPr defaultRowHeight="15" x14ac:dyDescent="0.25"/>
  <cols>
    <col min="1" max="1" width="38.5703125" style="2" bestFit="1" customWidth="1"/>
    <col min="2" max="2" width="31.140625" style="2" bestFit="1" customWidth="1"/>
    <col min="3" max="3" width="30.7109375" style="2" bestFit="1" customWidth="1"/>
    <col min="4" max="4" width="31" style="2" customWidth="1"/>
    <col min="5" max="5" width="32.28515625" style="2" bestFit="1" customWidth="1"/>
    <col min="6" max="6" width="28.140625" style="2" bestFit="1" customWidth="1"/>
    <col min="7" max="7" width="29.42578125" style="2" bestFit="1" customWidth="1"/>
    <col min="8" max="11" width="27.85546875" style="2" bestFit="1" customWidth="1"/>
    <col min="12" max="14" width="21.7109375" style="2" bestFit="1" customWidth="1"/>
    <col min="15" max="16" width="21" style="2" bestFit="1" customWidth="1"/>
    <col min="17" max="17" width="33" style="2" bestFit="1" customWidth="1"/>
    <col min="18" max="16384" width="9.140625" style="2"/>
  </cols>
  <sheetData>
    <row r="1" spans="1:17" s="1" customFormat="1" x14ac:dyDescent="0.25">
      <c r="A1" s="1" t="s">
        <v>1248</v>
      </c>
      <c r="B1" s="1" t="s">
        <v>1249</v>
      </c>
      <c r="C1" s="1" t="s">
        <v>1249</v>
      </c>
      <c r="D1" s="1" t="s">
        <v>1249</v>
      </c>
      <c r="E1" s="1" t="s">
        <v>1249</v>
      </c>
      <c r="F1" s="1" t="s">
        <v>1249</v>
      </c>
      <c r="G1" s="1" t="s">
        <v>1249</v>
      </c>
      <c r="H1" s="1" t="s">
        <v>1249</v>
      </c>
      <c r="I1" s="1" t="s">
        <v>1249</v>
      </c>
      <c r="J1" s="1" t="s">
        <v>1249</v>
      </c>
      <c r="K1" s="1" t="s">
        <v>1249</v>
      </c>
      <c r="L1" s="1" t="s">
        <v>1249</v>
      </c>
      <c r="M1" s="1" t="s">
        <v>1249</v>
      </c>
      <c r="N1" s="1" t="s">
        <v>1249</v>
      </c>
      <c r="O1" s="1" t="s">
        <v>1249</v>
      </c>
      <c r="P1" s="1" t="s">
        <v>1249</v>
      </c>
      <c r="Q1" s="1" t="s">
        <v>1249</v>
      </c>
    </row>
    <row r="2" spans="1:17" s="1" customFormat="1" x14ac:dyDescent="0.25">
      <c r="A2" s="1" t="s">
        <v>819</v>
      </c>
    </row>
    <row r="3" spans="1:17" ht="15.75" thickBot="1" x14ac:dyDescent="0.3">
      <c r="A3" s="2" t="s">
        <v>1462</v>
      </c>
      <c r="B3" s="2" t="s">
        <v>1462</v>
      </c>
    </row>
    <row r="4" spans="1:17" x14ac:dyDescent="0.25">
      <c r="A4" s="2" t="s">
        <v>820</v>
      </c>
      <c r="B4" s="2" t="s">
        <v>821</v>
      </c>
      <c r="C4" s="3" t="s">
        <v>1492</v>
      </c>
      <c r="D4" s="4"/>
      <c r="E4" s="4"/>
      <c r="F4" s="5"/>
    </row>
    <row r="5" spans="1:17" x14ac:dyDescent="0.25">
      <c r="A5" s="2" t="s">
        <v>822</v>
      </c>
      <c r="B5" s="2" t="s">
        <v>822</v>
      </c>
      <c r="C5" s="6" t="s">
        <v>615</v>
      </c>
      <c r="D5" s="7"/>
      <c r="E5" s="7"/>
      <c r="F5" s="8"/>
    </row>
    <row r="6" spans="1:17" x14ac:dyDescent="0.25">
      <c r="A6" s="2" t="s">
        <v>823</v>
      </c>
      <c r="B6" s="2" t="s">
        <v>823</v>
      </c>
      <c r="C6" s="9"/>
      <c r="D6" s="7" t="s">
        <v>678</v>
      </c>
      <c r="E6" s="7"/>
      <c r="F6" s="8"/>
    </row>
    <row r="7" spans="1:17" x14ac:dyDescent="0.25">
      <c r="A7" s="2" t="s">
        <v>824</v>
      </c>
      <c r="B7" s="2" t="s">
        <v>824</v>
      </c>
      <c r="C7" s="9"/>
      <c r="D7" s="7" t="s">
        <v>679</v>
      </c>
      <c r="E7" s="7"/>
      <c r="F7" s="8"/>
    </row>
    <row r="8" spans="1:17" x14ac:dyDescent="0.25">
      <c r="A8" s="2" t="s">
        <v>825</v>
      </c>
      <c r="B8" s="2" t="s">
        <v>825</v>
      </c>
      <c r="C8" s="9"/>
      <c r="D8" s="7" t="s">
        <v>1494</v>
      </c>
      <c r="E8" s="7"/>
      <c r="F8" s="8"/>
    </row>
    <row r="9" spans="1:17" x14ac:dyDescent="0.25">
      <c r="A9" s="2" t="s">
        <v>826</v>
      </c>
      <c r="B9" s="2" t="s">
        <v>826</v>
      </c>
      <c r="C9" s="9"/>
      <c r="D9" s="7" t="s">
        <v>1224</v>
      </c>
      <c r="E9" s="7"/>
      <c r="F9" s="8"/>
    </row>
    <row r="10" spans="1:17" x14ac:dyDescent="0.25">
      <c r="A10" s="2" t="s">
        <v>827</v>
      </c>
      <c r="B10" s="2" t="s">
        <v>827</v>
      </c>
      <c r="C10" s="9"/>
      <c r="D10" s="7" t="s">
        <v>1223</v>
      </c>
      <c r="E10" s="7"/>
      <c r="F10" s="8"/>
    </row>
    <row r="11" spans="1:17" x14ac:dyDescent="0.25">
      <c r="A11" s="2" t="s">
        <v>828</v>
      </c>
      <c r="B11" s="2" t="s">
        <v>828</v>
      </c>
      <c r="C11" s="9"/>
      <c r="D11" s="7" t="s">
        <v>616</v>
      </c>
      <c r="E11" s="7"/>
      <c r="F11" s="8"/>
    </row>
    <row r="12" spans="1:17" x14ac:dyDescent="0.25">
      <c r="A12" s="2" t="s">
        <v>1269</v>
      </c>
      <c r="B12" s="2" t="s">
        <v>829</v>
      </c>
      <c r="C12" s="6" t="s">
        <v>1493</v>
      </c>
      <c r="D12" s="7"/>
      <c r="E12" s="7"/>
      <c r="F12" s="8"/>
    </row>
    <row r="13" spans="1:17" x14ac:dyDescent="0.25">
      <c r="A13" s="2" t="s">
        <v>559</v>
      </c>
      <c r="B13" s="2" t="s">
        <v>559</v>
      </c>
      <c r="C13" s="9"/>
      <c r="D13" s="7" t="s">
        <v>1495</v>
      </c>
      <c r="E13" s="7"/>
      <c r="F13" s="8"/>
    </row>
    <row r="14" spans="1:17" x14ac:dyDescent="0.25">
      <c r="A14" s="2" t="s">
        <v>549</v>
      </c>
      <c r="B14" s="2" t="s">
        <v>549</v>
      </c>
      <c r="C14" s="9"/>
      <c r="D14" s="7" t="s">
        <v>1502</v>
      </c>
      <c r="E14" s="7"/>
      <c r="F14" s="8"/>
    </row>
    <row r="15" spans="1:17" x14ac:dyDescent="0.25">
      <c r="A15" s="2" t="s">
        <v>1270</v>
      </c>
      <c r="B15" s="2" t="s">
        <v>830</v>
      </c>
      <c r="C15" s="9"/>
      <c r="D15" s="10" t="s">
        <v>1498</v>
      </c>
      <c r="E15" s="10" t="s">
        <v>747</v>
      </c>
      <c r="F15" s="8"/>
    </row>
    <row r="16" spans="1:17" x14ac:dyDescent="0.25">
      <c r="A16" s="2" t="s">
        <v>846</v>
      </c>
      <c r="B16" s="2" t="s">
        <v>831</v>
      </c>
      <c r="C16" s="9"/>
      <c r="D16" s="10" t="s">
        <v>1499</v>
      </c>
      <c r="E16" s="10" t="s">
        <v>1503</v>
      </c>
      <c r="F16" s="8"/>
    </row>
    <row r="17" spans="1:6" x14ac:dyDescent="0.25">
      <c r="A17" s="2" t="s">
        <v>847</v>
      </c>
      <c r="B17" s="2" t="s">
        <v>832</v>
      </c>
      <c r="C17" s="9"/>
      <c r="D17" s="7"/>
      <c r="E17" s="7"/>
      <c r="F17" s="8"/>
    </row>
    <row r="18" spans="1:6" x14ac:dyDescent="0.25">
      <c r="A18" s="2" t="s">
        <v>848</v>
      </c>
      <c r="B18" s="2" t="s">
        <v>833</v>
      </c>
      <c r="C18" s="9"/>
      <c r="D18" s="7" t="s">
        <v>1496</v>
      </c>
      <c r="E18" s="7"/>
      <c r="F18" s="8"/>
    </row>
    <row r="19" spans="1:6" x14ac:dyDescent="0.25">
      <c r="A19" s="2" t="s">
        <v>849</v>
      </c>
      <c r="B19" s="2" t="s">
        <v>834</v>
      </c>
      <c r="C19" s="9"/>
      <c r="D19" s="7" t="s">
        <v>680</v>
      </c>
      <c r="E19" s="7"/>
      <c r="F19" s="8"/>
    </row>
    <row r="20" spans="1:6" x14ac:dyDescent="0.25">
      <c r="A20" s="2" t="s">
        <v>850</v>
      </c>
      <c r="B20" s="2" t="s">
        <v>835</v>
      </c>
      <c r="C20" s="9"/>
      <c r="D20" s="7" t="s">
        <v>1497</v>
      </c>
      <c r="E20" s="7"/>
      <c r="F20" s="8"/>
    </row>
    <row r="21" spans="1:6" x14ac:dyDescent="0.25">
      <c r="A21" s="2" t="s">
        <v>851</v>
      </c>
      <c r="B21" s="2" t="s">
        <v>836</v>
      </c>
      <c r="C21" s="9"/>
      <c r="D21" s="10" t="s">
        <v>1500</v>
      </c>
      <c r="E21" s="10" t="s">
        <v>1560</v>
      </c>
      <c r="F21" s="8"/>
    </row>
    <row r="22" spans="1:6" x14ac:dyDescent="0.25">
      <c r="A22" s="2" t="s">
        <v>852</v>
      </c>
      <c r="B22" s="2" t="s">
        <v>837</v>
      </c>
      <c r="C22" s="9"/>
      <c r="D22" s="10" t="s">
        <v>1501</v>
      </c>
      <c r="E22" s="10" t="s">
        <v>1504</v>
      </c>
      <c r="F22" s="8"/>
    </row>
    <row r="23" spans="1:6" ht="15.75" thickBot="1" x14ac:dyDescent="0.3">
      <c r="A23" s="2" t="s">
        <v>855</v>
      </c>
      <c r="B23" s="2" t="s">
        <v>769</v>
      </c>
      <c r="C23" s="11"/>
      <c r="D23" s="12"/>
      <c r="E23" s="12"/>
      <c r="F23" s="13"/>
    </row>
    <row r="24" spans="1:6" x14ac:dyDescent="0.25">
      <c r="A24" s="2" t="s">
        <v>856</v>
      </c>
      <c r="B24" s="2" t="s">
        <v>770</v>
      </c>
    </row>
    <row r="25" spans="1:6" x14ac:dyDescent="0.25">
      <c r="C25" s="1" t="s">
        <v>549</v>
      </c>
      <c r="D25" s="1" t="s">
        <v>559</v>
      </c>
      <c r="E25" s="1" t="s">
        <v>686</v>
      </c>
    </row>
    <row r="26" spans="1:6" x14ac:dyDescent="0.25">
      <c r="A26" s="2" t="s">
        <v>1598</v>
      </c>
      <c r="B26" s="2" t="s">
        <v>1229</v>
      </c>
      <c r="C26" s="2" t="s">
        <v>1589</v>
      </c>
      <c r="D26" s="2" t="s">
        <v>1605</v>
      </c>
      <c r="E26" s="2" t="s">
        <v>1534</v>
      </c>
    </row>
    <row r="27" spans="1:6" x14ac:dyDescent="0.25">
      <c r="A27" s="2" t="s">
        <v>1271</v>
      </c>
      <c r="B27" s="2" t="s">
        <v>1228</v>
      </c>
      <c r="C27" s="2" t="s">
        <v>1272</v>
      </c>
      <c r="D27" s="2" t="s">
        <v>1273</v>
      </c>
      <c r="E27" s="2" t="s">
        <v>1523</v>
      </c>
    </row>
    <row r="28" spans="1:6" x14ac:dyDescent="0.25">
      <c r="A28" s="2" t="s">
        <v>1274</v>
      </c>
      <c r="B28" s="2" t="s">
        <v>780</v>
      </c>
    </row>
    <row r="29" spans="1:6" x14ac:dyDescent="0.25">
      <c r="A29" s="2" t="s">
        <v>1275</v>
      </c>
      <c r="B29" s="2" t="s">
        <v>781</v>
      </c>
    </row>
    <row r="30" spans="1:6" x14ac:dyDescent="0.25">
      <c r="A30" s="2" t="s">
        <v>1505</v>
      </c>
      <c r="B30" s="2" t="s">
        <v>782</v>
      </c>
      <c r="C30" s="2" t="s">
        <v>1590</v>
      </c>
      <c r="D30" s="2" t="s">
        <v>1606</v>
      </c>
      <c r="E30" s="2" t="s">
        <v>1533</v>
      </c>
    </row>
    <row r="31" spans="1:6" x14ac:dyDescent="0.25">
      <c r="A31" s="2" t="s">
        <v>1276</v>
      </c>
      <c r="B31" s="2" t="s">
        <v>783</v>
      </c>
    </row>
    <row r="32" spans="1:6" x14ac:dyDescent="0.25">
      <c r="A32" s="2" t="s">
        <v>1277</v>
      </c>
      <c r="B32" s="2" t="s">
        <v>784</v>
      </c>
    </row>
    <row r="33" spans="1:5" x14ac:dyDescent="0.25">
      <c r="A33" s="2" t="s">
        <v>1278</v>
      </c>
      <c r="B33" s="2" t="s">
        <v>785</v>
      </c>
    </row>
    <row r="34" spans="1:5" x14ac:dyDescent="0.25">
      <c r="A34" s="2" t="s">
        <v>1279</v>
      </c>
      <c r="B34" s="2" t="s">
        <v>786</v>
      </c>
    </row>
    <row r="35" spans="1:5" x14ac:dyDescent="0.25">
      <c r="A35" s="2" t="s">
        <v>787</v>
      </c>
      <c r="B35" s="2" t="s">
        <v>787</v>
      </c>
      <c r="C35" s="2" t="s">
        <v>1588</v>
      </c>
      <c r="D35" s="2" t="s">
        <v>1604</v>
      </c>
      <c r="E35" s="2" t="s">
        <v>1522</v>
      </c>
    </row>
    <row r="36" spans="1:5" x14ac:dyDescent="0.25">
      <c r="A36" s="2" t="s">
        <v>788</v>
      </c>
      <c r="B36" s="2" t="s">
        <v>788</v>
      </c>
      <c r="C36" s="2" t="s">
        <v>1587</v>
      </c>
      <c r="D36" s="2" t="s">
        <v>1603</v>
      </c>
      <c r="E36" s="2" t="s">
        <v>1521</v>
      </c>
    </row>
    <row r="37" spans="1:5" x14ac:dyDescent="0.25">
      <c r="A37" s="2" t="s">
        <v>1560</v>
      </c>
      <c r="B37" s="2" t="s">
        <v>789</v>
      </c>
      <c r="C37" s="2" t="s">
        <v>1280</v>
      </c>
      <c r="D37" s="2" t="s">
        <v>1281</v>
      </c>
      <c r="E37" s="2" t="s">
        <v>1282</v>
      </c>
    </row>
    <row r="38" spans="1:5" x14ac:dyDescent="0.25">
      <c r="A38" s="2" t="s">
        <v>1209</v>
      </c>
      <c r="B38" s="2" t="s">
        <v>1208</v>
      </c>
      <c r="C38" s="2" t="s">
        <v>50</v>
      </c>
      <c r="D38" s="2" t="s">
        <v>51</v>
      </c>
      <c r="E38" s="2" t="s">
        <v>52</v>
      </c>
    </row>
    <row r="39" spans="1:5" x14ac:dyDescent="0.25">
      <c r="A39" s="2" t="s">
        <v>1513</v>
      </c>
      <c r="B39" s="2" t="s">
        <v>771</v>
      </c>
    </row>
    <row r="40" spans="1:5" x14ac:dyDescent="0.25">
      <c r="A40" s="2" t="s">
        <v>747</v>
      </c>
      <c r="B40" s="2" t="s">
        <v>776</v>
      </c>
      <c r="E40" s="14" t="s">
        <v>1204</v>
      </c>
    </row>
    <row r="41" spans="1:5" x14ac:dyDescent="0.25">
      <c r="A41" s="2" t="s">
        <v>1283</v>
      </c>
      <c r="B41" s="2" t="s">
        <v>772</v>
      </c>
      <c r="E41" s="14" t="s">
        <v>1205</v>
      </c>
    </row>
    <row r="42" spans="1:5" x14ac:dyDescent="0.25">
      <c r="A42" s="2" t="s">
        <v>1284</v>
      </c>
      <c r="B42" s="2" t="s">
        <v>773</v>
      </c>
      <c r="E42" s="14" t="s">
        <v>1206</v>
      </c>
    </row>
    <row r="43" spans="1:5" x14ac:dyDescent="0.25">
      <c r="A43" s="2" t="s">
        <v>63</v>
      </c>
      <c r="B43" s="2" t="s">
        <v>774</v>
      </c>
      <c r="C43" s="14" t="s">
        <v>1201</v>
      </c>
      <c r="D43" s="14" t="s">
        <v>59</v>
      </c>
      <c r="E43" s="14" t="s">
        <v>1202</v>
      </c>
    </row>
    <row r="44" spans="1:5" x14ac:dyDescent="0.25">
      <c r="A44" s="2" t="s">
        <v>1285</v>
      </c>
      <c r="B44" s="2" t="s">
        <v>777</v>
      </c>
      <c r="C44" s="2" t="s">
        <v>1286</v>
      </c>
      <c r="D44" s="2" t="s">
        <v>1287</v>
      </c>
      <c r="E44" s="2" t="s">
        <v>1288</v>
      </c>
    </row>
    <row r="45" spans="1:5" x14ac:dyDescent="0.25">
      <c r="A45" s="2" t="s">
        <v>1289</v>
      </c>
      <c r="B45" s="2" t="s">
        <v>778</v>
      </c>
      <c r="C45" s="2" t="s">
        <v>1540</v>
      </c>
      <c r="D45" s="2" t="s">
        <v>1541</v>
      </c>
      <c r="E45" s="2" t="s">
        <v>1520</v>
      </c>
    </row>
    <row r="46" spans="1:5" x14ac:dyDescent="0.25">
      <c r="A46" s="2" t="s">
        <v>1290</v>
      </c>
      <c r="B46" s="2" t="s">
        <v>798</v>
      </c>
    </row>
    <row r="47" spans="1:5" x14ac:dyDescent="0.25">
      <c r="A47" s="2" t="s">
        <v>1291</v>
      </c>
      <c r="B47" s="2" t="s">
        <v>799</v>
      </c>
    </row>
    <row r="48" spans="1:5" x14ac:dyDescent="0.25">
      <c r="A48" s="2" t="s">
        <v>1292</v>
      </c>
      <c r="B48" s="2" t="s">
        <v>800</v>
      </c>
    </row>
    <row r="49" spans="1:5" x14ac:dyDescent="0.25">
      <c r="A49" s="2" t="s">
        <v>1293</v>
      </c>
      <c r="B49" s="2" t="s">
        <v>801</v>
      </c>
    </row>
    <row r="50" spans="1:5" x14ac:dyDescent="0.25">
      <c r="A50" s="2" t="s">
        <v>1294</v>
      </c>
      <c r="B50" s="2" t="s">
        <v>802</v>
      </c>
      <c r="C50" s="2" t="s">
        <v>1213</v>
      </c>
      <c r="D50" s="2" t="s">
        <v>1217</v>
      </c>
      <c r="E50" s="2" t="s">
        <v>1221</v>
      </c>
    </row>
    <row r="51" spans="1:5" x14ac:dyDescent="0.25">
      <c r="A51" s="2" t="s">
        <v>1295</v>
      </c>
      <c r="B51" s="2" t="s">
        <v>803</v>
      </c>
      <c r="C51" s="2" t="s">
        <v>1214</v>
      </c>
      <c r="D51" s="2" t="s">
        <v>1218</v>
      </c>
      <c r="E51" s="2" t="s">
        <v>1222</v>
      </c>
    </row>
    <row r="52" spans="1:5" x14ac:dyDescent="0.25">
      <c r="A52" s="2" t="s">
        <v>1296</v>
      </c>
      <c r="B52" s="2" t="s">
        <v>804</v>
      </c>
      <c r="C52" s="2" t="s">
        <v>1215</v>
      </c>
      <c r="D52" s="2" t="s">
        <v>1219</v>
      </c>
      <c r="E52" s="2" t="s">
        <v>1225</v>
      </c>
    </row>
    <row r="53" spans="1:5" x14ac:dyDescent="0.25">
      <c r="A53" s="2" t="s">
        <v>1297</v>
      </c>
      <c r="B53" s="2" t="s">
        <v>805</v>
      </c>
      <c r="C53" s="2" t="s">
        <v>1216</v>
      </c>
      <c r="D53" s="2" t="s">
        <v>1220</v>
      </c>
      <c r="E53" s="2" t="s">
        <v>1226</v>
      </c>
    </row>
    <row r="54" spans="1:5" x14ac:dyDescent="0.25">
      <c r="A54" s="2" t="s">
        <v>1506</v>
      </c>
      <c r="B54" s="2" t="s">
        <v>775</v>
      </c>
      <c r="C54" s="1" t="s">
        <v>754</v>
      </c>
      <c r="D54" s="1" t="s">
        <v>755</v>
      </c>
      <c r="E54" s="2" t="s">
        <v>1227</v>
      </c>
    </row>
    <row r="55" spans="1:5" x14ac:dyDescent="0.25">
      <c r="A55" s="2" t="s">
        <v>1639</v>
      </c>
      <c r="C55" s="2" t="s">
        <v>811</v>
      </c>
      <c r="D55" s="2" t="s">
        <v>812</v>
      </c>
    </row>
    <row r="56" spans="1:5" x14ac:dyDescent="0.25">
      <c r="A56" s="2" t="s">
        <v>1298</v>
      </c>
      <c r="B56" s="2" t="s">
        <v>779</v>
      </c>
      <c r="C56" s="1" t="s">
        <v>114</v>
      </c>
    </row>
    <row r="57" spans="1:5" x14ac:dyDescent="0.25">
      <c r="A57" s="2" t="s">
        <v>113</v>
      </c>
      <c r="B57" s="15" t="s">
        <v>1690</v>
      </c>
      <c r="C57" s="2" t="s">
        <v>806</v>
      </c>
    </row>
    <row r="58" spans="1:5" x14ac:dyDescent="0.25">
      <c r="A58" s="2" t="s">
        <v>112</v>
      </c>
      <c r="B58" s="15" t="s">
        <v>1690</v>
      </c>
      <c r="C58" s="2" t="s">
        <v>807</v>
      </c>
    </row>
    <row r="59" spans="1:5" x14ac:dyDescent="0.25">
      <c r="A59" s="2" t="s">
        <v>1299</v>
      </c>
      <c r="B59" s="15" t="s">
        <v>1690</v>
      </c>
      <c r="C59" s="2" t="s">
        <v>808</v>
      </c>
    </row>
    <row r="60" spans="1:5" x14ac:dyDescent="0.25">
      <c r="A60" s="2" t="s">
        <v>1300</v>
      </c>
      <c r="B60" s="15" t="s">
        <v>1690</v>
      </c>
      <c r="C60" s="2" t="s">
        <v>809</v>
      </c>
    </row>
    <row r="61" spans="1:5" x14ac:dyDescent="0.25">
      <c r="A61" s="2" t="s">
        <v>1301</v>
      </c>
      <c r="B61" s="15" t="s">
        <v>1690</v>
      </c>
      <c r="C61" s="2" t="s">
        <v>810</v>
      </c>
    </row>
    <row r="62" spans="1:5" x14ac:dyDescent="0.25">
      <c r="A62" s="2" t="s">
        <v>55</v>
      </c>
      <c r="B62" s="15" t="s">
        <v>1690</v>
      </c>
      <c r="C62" s="2" t="s">
        <v>57</v>
      </c>
    </row>
    <row r="63" spans="1:5" x14ac:dyDescent="0.25">
      <c r="A63" s="2" t="s">
        <v>56</v>
      </c>
      <c r="B63" s="15" t="s">
        <v>1690</v>
      </c>
      <c r="C63" s="2" t="s">
        <v>58</v>
      </c>
    </row>
    <row r="64" spans="1:5" x14ac:dyDescent="0.25">
      <c r="A64" s="2" t="s">
        <v>54</v>
      </c>
      <c r="B64" s="15" t="s">
        <v>1690</v>
      </c>
      <c r="C64" s="2" t="s">
        <v>1203</v>
      </c>
    </row>
    <row r="65" spans="1:2" x14ac:dyDescent="0.25">
      <c r="A65" s="2" t="s">
        <v>1302</v>
      </c>
      <c r="B65" s="2" t="s">
        <v>790</v>
      </c>
    </row>
    <row r="66" spans="1:2" x14ac:dyDescent="0.25">
      <c r="A66" s="2" t="s">
        <v>1303</v>
      </c>
      <c r="B66" s="2" t="s">
        <v>791</v>
      </c>
    </row>
    <row r="67" spans="1:2" x14ac:dyDescent="0.25">
      <c r="A67" s="2" t="s">
        <v>1304</v>
      </c>
      <c r="B67" s="2" t="s">
        <v>792</v>
      </c>
    </row>
    <row r="68" spans="1:2" x14ac:dyDescent="0.25">
      <c r="A68" s="2" t="s">
        <v>1305</v>
      </c>
      <c r="B68" s="2" t="s">
        <v>793</v>
      </c>
    </row>
    <row r="69" spans="1:2" x14ac:dyDescent="0.25">
      <c r="A69" s="2" t="s">
        <v>1306</v>
      </c>
      <c r="B69" s="2" t="s">
        <v>794</v>
      </c>
    </row>
    <row r="70" spans="1:2" x14ac:dyDescent="0.25">
      <c r="A70" s="2" t="s">
        <v>1307</v>
      </c>
      <c r="B70" s="2" t="s">
        <v>795</v>
      </c>
    </row>
    <row r="71" spans="1:2" x14ac:dyDescent="0.25">
      <c r="A71" s="2" t="s">
        <v>1581</v>
      </c>
      <c r="B71" s="2" t="s">
        <v>796</v>
      </c>
    </row>
    <row r="72" spans="1:2" x14ac:dyDescent="0.25">
      <c r="A72" s="2" t="s">
        <v>1308</v>
      </c>
      <c r="B72" s="2" t="s">
        <v>797</v>
      </c>
    </row>
    <row r="73" spans="1:2" x14ac:dyDescent="0.25">
      <c r="A73" s="2" t="s">
        <v>1238</v>
      </c>
      <c r="B73" s="2" t="s">
        <v>1237</v>
      </c>
    </row>
    <row r="74" spans="1:2" x14ac:dyDescent="0.25">
      <c r="A74" s="2" t="s">
        <v>1309</v>
      </c>
      <c r="B74" s="2" t="s">
        <v>1535</v>
      </c>
    </row>
    <row r="75" spans="1:2" x14ac:dyDescent="0.25">
      <c r="A75" s="2" t="s">
        <v>1310</v>
      </c>
      <c r="B75" s="16" t="s">
        <v>1536</v>
      </c>
    </row>
    <row r="76" spans="1:2" x14ac:dyDescent="0.25">
      <c r="A76" s="2" t="s">
        <v>1515</v>
      </c>
      <c r="B76" s="14" t="s">
        <v>4</v>
      </c>
    </row>
    <row r="77" spans="1:2" x14ac:dyDescent="0.25">
      <c r="A77" s="2" t="s">
        <v>1577</v>
      </c>
      <c r="B77" s="14" t="s">
        <v>2</v>
      </c>
    </row>
    <row r="78" spans="1:2" x14ac:dyDescent="0.25">
      <c r="A78" s="2" t="s">
        <v>1311</v>
      </c>
      <c r="B78" s="14" t="s">
        <v>3</v>
      </c>
    </row>
    <row r="79" spans="1:2" x14ac:dyDescent="0.25">
      <c r="A79" s="2" t="s">
        <v>47</v>
      </c>
      <c r="B79" s="14" t="s">
        <v>5</v>
      </c>
    </row>
    <row r="80" spans="1:2" x14ac:dyDescent="0.25">
      <c r="A80" s="2" t="s">
        <v>1312</v>
      </c>
      <c r="B80" s="14" t="s">
        <v>6</v>
      </c>
    </row>
    <row r="81" spans="1:2" x14ac:dyDescent="0.25">
      <c r="A81" s="2" t="s">
        <v>1313</v>
      </c>
      <c r="B81" s="14" t="s">
        <v>7</v>
      </c>
    </row>
    <row r="82" spans="1:2" x14ac:dyDescent="0.25">
      <c r="A82" s="2" t="s">
        <v>1514</v>
      </c>
      <c r="B82" s="2" t="s">
        <v>1537</v>
      </c>
    </row>
    <row r="83" spans="1:2" x14ac:dyDescent="0.25">
      <c r="A83" s="2" t="s">
        <v>1314</v>
      </c>
      <c r="B83" s="2" t="s">
        <v>1538</v>
      </c>
    </row>
    <row r="84" spans="1:2" x14ac:dyDescent="0.25">
      <c r="A84" s="2" t="s">
        <v>1315</v>
      </c>
      <c r="B84" s="16" t="s">
        <v>1539</v>
      </c>
    </row>
    <row r="85" spans="1:2" x14ac:dyDescent="0.25">
      <c r="A85" s="2" t="s">
        <v>1578</v>
      </c>
      <c r="B85" s="2" t="s">
        <v>8</v>
      </c>
    </row>
    <row r="86" spans="1:2" x14ac:dyDescent="0.25">
      <c r="A86" s="2" t="s">
        <v>1316</v>
      </c>
      <c r="B86" s="2" t="s">
        <v>11</v>
      </c>
    </row>
    <row r="87" spans="1:2" x14ac:dyDescent="0.25">
      <c r="A87" s="2" t="s">
        <v>1317</v>
      </c>
      <c r="B87" s="2" t="s">
        <v>12</v>
      </c>
    </row>
    <row r="88" spans="1:2" x14ac:dyDescent="0.25">
      <c r="A88" s="2" t="s">
        <v>49</v>
      </c>
      <c r="B88" s="2" t="s">
        <v>13</v>
      </c>
    </row>
    <row r="89" spans="1:2" x14ac:dyDescent="0.25">
      <c r="A89" s="2" t="s">
        <v>1318</v>
      </c>
      <c r="B89" s="2" t="s">
        <v>16</v>
      </c>
    </row>
    <row r="90" spans="1:2" x14ac:dyDescent="0.25">
      <c r="A90" s="2" t="s">
        <v>1319</v>
      </c>
      <c r="B90" s="2" t="s">
        <v>17</v>
      </c>
    </row>
    <row r="91" spans="1:2" x14ac:dyDescent="0.25">
      <c r="A91" s="2" t="s">
        <v>1320</v>
      </c>
      <c r="B91" s="2" t="s">
        <v>18</v>
      </c>
    </row>
    <row r="92" spans="1:2" x14ac:dyDescent="0.25">
      <c r="A92" s="2" t="s">
        <v>1543</v>
      </c>
      <c r="B92" s="2" t="s">
        <v>19</v>
      </c>
    </row>
    <row r="93" spans="1:2" x14ac:dyDescent="0.25">
      <c r="A93" s="2" t="s">
        <v>1544</v>
      </c>
      <c r="B93" s="2" t="s">
        <v>20</v>
      </c>
    </row>
    <row r="94" spans="1:2" x14ac:dyDescent="0.25">
      <c r="A94" s="2" t="s">
        <v>1545</v>
      </c>
      <c r="B94" s="2" t="s">
        <v>21</v>
      </c>
    </row>
    <row r="95" spans="1:2" x14ac:dyDescent="0.25">
      <c r="A95" s="2" t="s">
        <v>1321</v>
      </c>
      <c r="B95" s="2" t="s">
        <v>22</v>
      </c>
    </row>
    <row r="96" spans="1:2" x14ac:dyDescent="0.25">
      <c r="A96" s="2" t="s">
        <v>1792</v>
      </c>
      <c r="B96" s="2" t="s">
        <v>1793</v>
      </c>
    </row>
    <row r="97" spans="1:5" x14ac:dyDescent="0.25">
      <c r="A97" s="2" t="s">
        <v>1322</v>
      </c>
      <c r="B97" s="16" t="s">
        <v>23</v>
      </c>
    </row>
    <row r="98" spans="1:5" x14ac:dyDescent="0.25">
      <c r="A98" s="2" t="s">
        <v>1686</v>
      </c>
      <c r="B98" s="16" t="s">
        <v>1687</v>
      </c>
    </row>
    <row r="99" spans="1:5" x14ac:dyDescent="0.25">
      <c r="A99" s="2" t="s">
        <v>1323</v>
      </c>
      <c r="B99" s="2" t="s">
        <v>39</v>
      </c>
    </row>
    <row r="100" spans="1:5" x14ac:dyDescent="0.25">
      <c r="A100" s="2" t="s">
        <v>1324</v>
      </c>
      <c r="B100" s="2" t="s">
        <v>40</v>
      </c>
    </row>
    <row r="101" spans="1:5" x14ac:dyDescent="0.25">
      <c r="A101" s="2" t="s">
        <v>1325</v>
      </c>
      <c r="B101" s="2" t="s">
        <v>41</v>
      </c>
    </row>
    <row r="102" spans="1:5" x14ac:dyDescent="0.25">
      <c r="A102" s="2" t="s">
        <v>1326</v>
      </c>
      <c r="B102" s="2" t="s">
        <v>42</v>
      </c>
    </row>
    <row r="103" spans="1:5" x14ac:dyDescent="0.25">
      <c r="A103" s="2" t="s">
        <v>48</v>
      </c>
      <c r="B103" s="2" t="s">
        <v>43</v>
      </c>
    </row>
    <row r="104" spans="1:5" x14ac:dyDescent="0.25">
      <c r="A104" s="2" t="s">
        <v>1243</v>
      </c>
      <c r="B104" s="2" t="s">
        <v>44</v>
      </c>
    </row>
    <row r="105" spans="1:5" x14ac:dyDescent="0.25">
      <c r="A105" s="2" t="s">
        <v>1244</v>
      </c>
      <c r="B105" s="2" t="s">
        <v>45</v>
      </c>
    </row>
    <row r="106" spans="1:5" x14ac:dyDescent="0.25">
      <c r="A106" s="2" t="s">
        <v>1327</v>
      </c>
      <c r="B106" s="16" t="s">
        <v>46</v>
      </c>
    </row>
    <row r="107" spans="1:5" x14ac:dyDescent="0.25">
      <c r="A107" s="2" t="s">
        <v>1328</v>
      </c>
      <c r="B107" s="14" t="s">
        <v>1582</v>
      </c>
    </row>
    <row r="108" spans="1:5" x14ac:dyDescent="0.25">
      <c r="A108" s="2" t="s">
        <v>1546</v>
      </c>
      <c r="B108" s="14" t="s">
        <v>1584</v>
      </c>
    </row>
    <row r="109" spans="1:5" x14ac:dyDescent="0.25">
      <c r="A109" s="2" t="s">
        <v>1547</v>
      </c>
      <c r="B109" s="14" t="s">
        <v>1585</v>
      </c>
    </row>
    <row r="110" spans="1:5" x14ac:dyDescent="0.25">
      <c r="A110" s="2" t="s">
        <v>1790</v>
      </c>
      <c r="B110" s="14" t="s">
        <v>1791</v>
      </c>
    </row>
    <row r="111" spans="1:5" s="1" customFormat="1" x14ac:dyDescent="0.25">
      <c r="A111" s="2"/>
      <c r="B111" s="2"/>
      <c r="C111" s="2"/>
      <c r="D111" s="2"/>
      <c r="E111" s="2"/>
    </row>
    <row r="112" spans="1:5" x14ac:dyDescent="0.25">
      <c r="A112" s="1" t="s">
        <v>756</v>
      </c>
      <c r="B112" s="1"/>
      <c r="C112" s="1" t="s">
        <v>758</v>
      </c>
      <c r="D112" s="1" t="s">
        <v>755</v>
      </c>
      <c r="E112" s="1"/>
    </row>
    <row r="113" spans="1:5" x14ac:dyDescent="0.25">
      <c r="A113" s="2" t="s">
        <v>757</v>
      </c>
      <c r="C113" s="2" t="s">
        <v>759</v>
      </c>
      <c r="D113" s="2" t="s">
        <v>760</v>
      </c>
    </row>
    <row r="114" spans="1:5" x14ac:dyDescent="0.25">
      <c r="A114" s="2" t="s">
        <v>741</v>
      </c>
      <c r="C114" s="2" t="s">
        <v>761</v>
      </c>
      <c r="D114" s="2" t="s">
        <v>762</v>
      </c>
    </row>
    <row r="115" spans="1:5" x14ac:dyDescent="0.25">
      <c r="A115" s="2" t="s">
        <v>742</v>
      </c>
      <c r="C115" s="2" t="s">
        <v>763</v>
      </c>
      <c r="D115" s="2" t="s">
        <v>764</v>
      </c>
    </row>
    <row r="116" spans="1:5" x14ac:dyDescent="0.25">
      <c r="A116" s="2" t="s">
        <v>743</v>
      </c>
      <c r="C116" s="2" t="s">
        <v>765</v>
      </c>
      <c r="D116" s="2" t="s">
        <v>766</v>
      </c>
    </row>
    <row r="117" spans="1:5" x14ac:dyDescent="0.25">
      <c r="A117" s="2" t="s">
        <v>744</v>
      </c>
      <c r="C117" s="2" t="s">
        <v>767</v>
      </c>
      <c r="D117" s="2" t="s">
        <v>768</v>
      </c>
    </row>
    <row r="119" spans="1:5" x14ac:dyDescent="0.25">
      <c r="A119" s="1" t="s">
        <v>1258</v>
      </c>
      <c r="C119" s="1" t="s">
        <v>754</v>
      </c>
      <c r="D119" s="1" t="s">
        <v>755</v>
      </c>
    </row>
    <row r="120" spans="1:5" x14ac:dyDescent="0.25">
      <c r="A120" s="2" t="s">
        <v>1259</v>
      </c>
      <c r="C120" s="2" t="s">
        <v>1246</v>
      </c>
      <c r="D120" s="2" t="s">
        <v>1245</v>
      </c>
    </row>
    <row r="121" spans="1:5" x14ac:dyDescent="0.25">
      <c r="A121" s="2" t="s">
        <v>1260</v>
      </c>
      <c r="C121" s="2" t="s">
        <v>1622</v>
      </c>
      <c r="D121" s="2" t="s">
        <v>1247</v>
      </c>
    </row>
    <row r="125" spans="1:5" s="1" customFormat="1" x14ac:dyDescent="0.25">
      <c r="A125" s="2"/>
      <c r="B125" s="2"/>
      <c r="C125" s="2"/>
      <c r="D125" s="2"/>
      <c r="E125" s="2"/>
    </row>
    <row r="126" spans="1:5" x14ac:dyDescent="0.25">
      <c r="A126" s="1" t="s">
        <v>138</v>
      </c>
      <c r="B126" s="1"/>
      <c r="C126" s="1" t="s">
        <v>754</v>
      </c>
      <c r="D126" s="1" t="s">
        <v>755</v>
      </c>
      <c r="E126" s="1" t="s">
        <v>248</v>
      </c>
    </row>
    <row r="127" spans="1:5" x14ac:dyDescent="0.25">
      <c r="A127" s="2" t="s">
        <v>144</v>
      </c>
      <c r="C127" s="2" t="s">
        <v>249</v>
      </c>
      <c r="D127" s="2" t="s">
        <v>250</v>
      </c>
      <c r="E127" s="2" t="s">
        <v>251</v>
      </c>
    </row>
    <row r="128" spans="1:5" x14ac:dyDescent="0.25">
      <c r="A128" s="2" t="s">
        <v>200</v>
      </c>
      <c r="C128" s="2" t="s">
        <v>252</v>
      </c>
      <c r="D128" s="2" t="s">
        <v>253</v>
      </c>
      <c r="E128" s="2" t="s">
        <v>254</v>
      </c>
    </row>
    <row r="129" spans="1:5" x14ac:dyDescent="0.25">
      <c r="A129" s="2" t="s">
        <v>201</v>
      </c>
      <c r="C129" s="2" t="s">
        <v>255</v>
      </c>
      <c r="D129" s="2" t="s">
        <v>256</v>
      </c>
      <c r="E129" s="2" t="s">
        <v>257</v>
      </c>
    </row>
    <row r="130" spans="1:5" x14ac:dyDescent="0.25">
      <c r="A130" s="2" t="s">
        <v>202</v>
      </c>
      <c r="C130" s="2" t="s">
        <v>258</v>
      </c>
      <c r="D130" s="2" t="s">
        <v>259</v>
      </c>
      <c r="E130" s="2" t="s">
        <v>260</v>
      </c>
    </row>
    <row r="131" spans="1:5" x14ac:dyDescent="0.25">
      <c r="A131" s="2" t="s">
        <v>203</v>
      </c>
      <c r="C131" s="2" t="s">
        <v>261</v>
      </c>
      <c r="D131" s="2" t="s">
        <v>262</v>
      </c>
      <c r="E131" s="2" t="s">
        <v>263</v>
      </c>
    </row>
    <row r="132" spans="1:5" x14ac:dyDescent="0.25">
      <c r="A132" s="2" t="s">
        <v>204</v>
      </c>
      <c r="C132" s="2" t="s">
        <v>264</v>
      </c>
      <c r="D132" s="2" t="s">
        <v>265</v>
      </c>
      <c r="E132" s="2" t="s">
        <v>266</v>
      </c>
    </row>
    <row r="133" spans="1:5" x14ac:dyDescent="0.25">
      <c r="A133" s="2" t="s">
        <v>205</v>
      </c>
      <c r="C133" s="2" t="s">
        <v>267</v>
      </c>
      <c r="D133" s="2" t="s">
        <v>268</v>
      </c>
      <c r="E133" s="2" t="s">
        <v>269</v>
      </c>
    </row>
    <row r="134" spans="1:5" x14ac:dyDescent="0.25">
      <c r="A134" s="2" t="s">
        <v>206</v>
      </c>
      <c r="C134" s="2" t="s">
        <v>270</v>
      </c>
      <c r="D134" s="2" t="s">
        <v>271</v>
      </c>
      <c r="E134" s="2" t="s">
        <v>272</v>
      </c>
    </row>
    <row r="135" spans="1:5" x14ac:dyDescent="0.25">
      <c r="A135" s="2" t="s">
        <v>207</v>
      </c>
      <c r="C135" s="2" t="s">
        <v>273</v>
      </c>
      <c r="D135" s="2" t="s">
        <v>274</v>
      </c>
      <c r="E135" s="2" t="s">
        <v>275</v>
      </c>
    </row>
    <row r="136" spans="1:5" x14ac:dyDescent="0.25">
      <c r="A136" s="2" t="s">
        <v>208</v>
      </c>
      <c r="C136" s="2" t="s">
        <v>276</v>
      </c>
      <c r="D136" s="2" t="s">
        <v>277</v>
      </c>
      <c r="E136" s="2" t="s">
        <v>278</v>
      </c>
    </row>
    <row r="137" spans="1:5" x14ac:dyDescent="0.25">
      <c r="A137" s="2" t="s">
        <v>209</v>
      </c>
      <c r="C137" s="2" t="s">
        <v>279</v>
      </c>
      <c r="D137" s="2" t="s">
        <v>280</v>
      </c>
      <c r="E137" s="2" t="s">
        <v>281</v>
      </c>
    </row>
    <row r="138" spans="1:5" x14ac:dyDescent="0.25">
      <c r="A138" s="2" t="s">
        <v>210</v>
      </c>
      <c r="C138" s="2" t="s">
        <v>282</v>
      </c>
      <c r="D138" s="2" t="s">
        <v>283</v>
      </c>
      <c r="E138" s="2" t="s">
        <v>284</v>
      </c>
    </row>
    <row r="139" spans="1:5" x14ac:dyDescent="0.25">
      <c r="A139" s="2" t="s">
        <v>211</v>
      </c>
      <c r="C139" s="2" t="s">
        <v>285</v>
      </c>
      <c r="D139" s="2" t="s">
        <v>286</v>
      </c>
      <c r="E139" s="2" t="s">
        <v>287</v>
      </c>
    </row>
    <row r="140" spans="1:5" x14ac:dyDescent="0.25">
      <c r="A140" s="2" t="s">
        <v>212</v>
      </c>
      <c r="C140" s="2" t="s">
        <v>288</v>
      </c>
      <c r="D140" s="2" t="s">
        <v>289</v>
      </c>
      <c r="E140" s="2" t="s">
        <v>290</v>
      </c>
    </row>
    <row r="141" spans="1:5" x14ac:dyDescent="0.25">
      <c r="A141" s="2" t="s">
        <v>213</v>
      </c>
      <c r="C141" s="2" t="s">
        <v>291</v>
      </c>
      <c r="D141" s="2" t="s">
        <v>292</v>
      </c>
      <c r="E141" s="2" t="s">
        <v>293</v>
      </c>
    </row>
    <row r="142" spans="1:5" x14ac:dyDescent="0.25">
      <c r="A142" s="2" t="s">
        <v>214</v>
      </c>
      <c r="C142" s="2" t="s">
        <v>294</v>
      </c>
      <c r="D142" s="2" t="s">
        <v>295</v>
      </c>
      <c r="E142" s="2" t="s">
        <v>296</v>
      </c>
    </row>
    <row r="143" spans="1:5" x14ac:dyDescent="0.25">
      <c r="A143" s="2" t="s">
        <v>215</v>
      </c>
      <c r="C143" s="2" t="s">
        <v>297</v>
      </c>
      <c r="D143" s="2" t="s">
        <v>298</v>
      </c>
      <c r="E143" s="2" t="s">
        <v>299</v>
      </c>
    </row>
    <row r="144" spans="1:5" x14ac:dyDescent="0.25">
      <c r="A144" s="2" t="s">
        <v>216</v>
      </c>
      <c r="C144" s="2" t="s">
        <v>300</v>
      </c>
      <c r="D144" s="2" t="s">
        <v>301</v>
      </c>
      <c r="E144" s="2" t="s">
        <v>302</v>
      </c>
    </row>
    <row r="145" spans="1:5" x14ac:dyDescent="0.25">
      <c r="A145" s="2" t="s">
        <v>162</v>
      </c>
      <c r="C145" s="2" t="s">
        <v>303</v>
      </c>
      <c r="D145" s="2" t="s">
        <v>304</v>
      </c>
      <c r="E145" s="2" t="s">
        <v>305</v>
      </c>
    </row>
    <row r="146" spans="1:5" x14ac:dyDescent="0.25">
      <c r="A146" s="2" t="s">
        <v>217</v>
      </c>
      <c r="C146" s="2" t="s">
        <v>306</v>
      </c>
      <c r="D146" s="2" t="s">
        <v>307</v>
      </c>
      <c r="E146" s="2" t="s">
        <v>308</v>
      </c>
    </row>
    <row r="147" spans="1:5" x14ac:dyDescent="0.25">
      <c r="A147" s="2" t="s">
        <v>218</v>
      </c>
      <c r="C147" s="2" t="s">
        <v>309</v>
      </c>
      <c r="D147" s="2" t="s">
        <v>310</v>
      </c>
      <c r="E147" s="2" t="s">
        <v>311</v>
      </c>
    </row>
    <row r="148" spans="1:5" x14ac:dyDescent="0.25">
      <c r="A148" s="2" t="s">
        <v>219</v>
      </c>
      <c r="C148" s="2" t="s">
        <v>312</v>
      </c>
      <c r="D148" s="2" t="s">
        <v>313</v>
      </c>
      <c r="E148" s="2" t="s">
        <v>314</v>
      </c>
    </row>
    <row r="149" spans="1:5" x14ac:dyDescent="0.25">
      <c r="A149" s="2" t="s">
        <v>196</v>
      </c>
      <c r="C149" s="2" t="s">
        <v>315</v>
      </c>
      <c r="D149" s="2" t="s">
        <v>316</v>
      </c>
      <c r="E149" s="2" t="s">
        <v>317</v>
      </c>
    </row>
    <row r="150" spans="1:5" s="1" customFormat="1" x14ac:dyDescent="0.25">
      <c r="A150" s="2"/>
      <c r="B150" s="2"/>
      <c r="C150" s="2"/>
      <c r="D150" s="2"/>
      <c r="E150" s="2"/>
    </row>
    <row r="151" spans="1:5" x14ac:dyDescent="0.25">
      <c r="A151" s="1" t="s">
        <v>139</v>
      </c>
      <c r="B151" s="1"/>
      <c r="C151" s="1" t="s">
        <v>754</v>
      </c>
      <c r="D151" s="1" t="s">
        <v>755</v>
      </c>
      <c r="E151" s="1" t="s">
        <v>248</v>
      </c>
    </row>
    <row r="152" spans="1:5" x14ac:dyDescent="0.25">
      <c r="A152" s="2" t="s">
        <v>220</v>
      </c>
      <c r="C152" s="2" t="s">
        <v>318</v>
      </c>
      <c r="D152" s="2" t="s">
        <v>319</v>
      </c>
      <c r="E152" s="2" t="s">
        <v>320</v>
      </c>
    </row>
    <row r="153" spans="1:5" x14ac:dyDescent="0.25">
      <c r="A153" s="2" t="s">
        <v>221</v>
      </c>
      <c r="C153" s="2" t="s">
        <v>321</v>
      </c>
      <c r="D153" s="2" t="s">
        <v>322</v>
      </c>
      <c r="E153" s="2" t="s">
        <v>323</v>
      </c>
    </row>
    <row r="154" spans="1:5" x14ac:dyDescent="0.25">
      <c r="A154" s="2" t="s">
        <v>222</v>
      </c>
      <c r="C154" s="2" t="s">
        <v>324</v>
      </c>
      <c r="D154" s="2" t="s">
        <v>325</v>
      </c>
      <c r="E154" s="2" t="s">
        <v>326</v>
      </c>
    </row>
    <row r="155" spans="1:5" x14ac:dyDescent="0.25">
      <c r="A155" s="2" t="s">
        <v>223</v>
      </c>
      <c r="C155" s="2" t="s">
        <v>327</v>
      </c>
      <c r="D155" s="2" t="s">
        <v>328</v>
      </c>
      <c r="E155" s="2" t="s">
        <v>329</v>
      </c>
    </row>
    <row r="156" spans="1:5" x14ac:dyDescent="0.25">
      <c r="A156" s="2" t="s">
        <v>224</v>
      </c>
      <c r="C156" s="2" t="s">
        <v>330</v>
      </c>
      <c r="D156" s="2" t="s">
        <v>331</v>
      </c>
      <c r="E156" s="2" t="s">
        <v>332</v>
      </c>
    </row>
    <row r="157" spans="1:5" x14ac:dyDescent="0.25">
      <c r="A157" s="2" t="s">
        <v>225</v>
      </c>
      <c r="C157" s="2" t="s">
        <v>333</v>
      </c>
      <c r="D157" s="2" t="s">
        <v>334</v>
      </c>
      <c r="E157" s="2" t="s">
        <v>335</v>
      </c>
    </row>
    <row r="158" spans="1:5" x14ac:dyDescent="0.25">
      <c r="A158" s="2" t="s">
        <v>226</v>
      </c>
      <c r="C158" s="2" t="s">
        <v>336</v>
      </c>
      <c r="D158" s="2" t="s">
        <v>337</v>
      </c>
      <c r="E158" s="2" t="s">
        <v>338</v>
      </c>
    </row>
    <row r="159" spans="1:5" x14ac:dyDescent="0.25">
      <c r="A159" s="2" t="s">
        <v>227</v>
      </c>
      <c r="C159" s="2" t="s">
        <v>339</v>
      </c>
      <c r="D159" s="2" t="s">
        <v>340</v>
      </c>
      <c r="E159" s="2" t="s">
        <v>341</v>
      </c>
    </row>
    <row r="160" spans="1:5" x14ac:dyDescent="0.25">
      <c r="C160" s="1" t="s">
        <v>1255</v>
      </c>
    </row>
    <row r="161" spans="1:5" x14ac:dyDescent="0.25">
      <c r="A161" s="2" t="s">
        <v>1256</v>
      </c>
      <c r="C161" s="2" t="s">
        <v>1628</v>
      </c>
    </row>
    <row r="162" spans="1:5" x14ac:dyDescent="0.25">
      <c r="A162" s="2" t="s">
        <v>1257</v>
      </c>
      <c r="C162" s="2" t="s">
        <v>1629</v>
      </c>
    </row>
    <row r="163" spans="1:5" x14ac:dyDescent="0.25">
      <c r="A163" s="2" t="s">
        <v>1254</v>
      </c>
      <c r="C163" s="2" t="s">
        <v>1630</v>
      </c>
    </row>
    <row r="164" spans="1:5" s="1" customFormat="1" x14ac:dyDescent="0.25">
      <c r="A164" s="2"/>
      <c r="B164" s="2"/>
      <c r="C164" s="2"/>
      <c r="D164" s="2"/>
      <c r="E164" s="2"/>
    </row>
    <row r="165" spans="1:5" x14ac:dyDescent="0.25">
      <c r="A165" s="1" t="s">
        <v>140</v>
      </c>
      <c r="B165" s="1"/>
      <c r="C165" s="1" t="s">
        <v>754</v>
      </c>
      <c r="D165" s="1" t="s">
        <v>755</v>
      </c>
      <c r="E165" s="1"/>
    </row>
    <row r="166" spans="1:5" x14ac:dyDescent="0.25">
      <c r="A166" s="2" t="s">
        <v>174</v>
      </c>
      <c r="C166" s="2" t="s">
        <v>342</v>
      </c>
      <c r="D166" s="2" t="s">
        <v>343</v>
      </c>
    </row>
    <row r="167" spans="1:5" x14ac:dyDescent="0.25">
      <c r="A167" s="2" t="s">
        <v>228</v>
      </c>
      <c r="C167" s="2" t="s">
        <v>344</v>
      </c>
      <c r="D167" s="2" t="s">
        <v>345</v>
      </c>
    </row>
    <row r="168" spans="1:5" x14ac:dyDescent="0.25">
      <c r="A168" s="2" t="s">
        <v>229</v>
      </c>
      <c r="C168" s="2" t="s">
        <v>346</v>
      </c>
      <c r="D168" s="2" t="s">
        <v>347</v>
      </c>
    </row>
    <row r="169" spans="1:5" x14ac:dyDescent="0.25">
      <c r="A169" s="2" t="s">
        <v>177</v>
      </c>
      <c r="C169" s="2" t="s">
        <v>348</v>
      </c>
      <c r="D169" s="2" t="s">
        <v>349</v>
      </c>
    </row>
    <row r="170" spans="1:5" x14ac:dyDescent="0.25">
      <c r="A170" s="2" t="s">
        <v>230</v>
      </c>
      <c r="C170" s="2" t="s">
        <v>350</v>
      </c>
      <c r="D170" s="2" t="s">
        <v>351</v>
      </c>
    </row>
    <row r="171" spans="1:5" x14ac:dyDescent="0.25">
      <c r="A171" s="2" t="s">
        <v>231</v>
      </c>
      <c r="C171" s="2" t="s">
        <v>352</v>
      </c>
      <c r="D171" s="2" t="s">
        <v>353</v>
      </c>
    </row>
    <row r="172" spans="1:5" x14ac:dyDescent="0.25">
      <c r="A172" s="2" t="s">
        <v>232</v>
      </c>
      <c r="C172" s="2" t="s">
        <v>354</v>
      </c>
      <c r="D172" s="2" t="s">
        <v>355</v>
      </c>
    </row>
    <row r="173" spans="1:5" x14ac:dyDescent="0.25">
      <c r="A173" s="2" t="s">
        <v>233</v>
      </c>
      <c r="C173" s="2" t="s">
        <v>356</v>
      </c>
      <c r="D173" s="2" t="s">
        <v>357</v>
      </c>
    </row>
    <row r="174" spans="1:5" x14ac:dyDescent="0.25">
      <c r="A174" s="2" t="s">
        <v>234</v>
      </c>
      <c r="C174" s="2" t="s">
        <v>358</v>
      </c>
      <c r="D174" s="2" t="s">
        <v>359</v>
      </c>
    </row>
    <row r="175" spans="1:5" x14ac:dyDescent="0.25">
      <c r="A175" s="2" t="s">
        <v>235</v>
      </c>
      <c r="C175" s="2" t="s">
        <v>360</v>
      </c>
      <c r="D175" s="2" t="s">
        <v>361</v>
      </c>
    </row>
    <row r="176" spans="1:5" x14ac:dyDescent="0.25">
      <c r="A176" s="2" t="s">
        <v>236</v>
      </c>
      <c r="C176" s="2" t="s">
        <v>362</v>
      </c>
      <c r="D176" s="2" t="s">
        <v>363</v>
      </c>
    </row>
    <row r="177" spans="1:17" x14ac:dyDescent="0.25">
      <c r="A177" s="2" t="s">
        <v>237</v>
      </c>
      <c r="C177" s="2" t="s">
        <v>364</v>
      </c>
      <c r="D177" s="2" t="s">
        <v>365</v>
      </c>
    </row>
    <row r="178" spans="1:17" x14ac:dyDescent="0.25">
      <c r="A178" s="2" t="s">
        <v>238</v>
      </c>
      <c r="C178" s="2" t="s">
        <v>366</v>
      </c>
      <c r="D178" s="2" t="s">
        <v>367</v>
      </c>
    </row>
    <row r="179" spans="1:17" x14ac:dyDescent="0.25">
      <c r="A179" s="2" t="s">
        <v>239</v>
      </c>
      <c r="C179" s="2" t="s">
        <v>368</v>
      </c>
      <c r="D179" s="2" t="s">
        <v>369</v>
      </c>
    </row>
    <row r="180" spans="1:17" x14ac:dyDescent="0.25">
      <c r="A180" s="2" t="s">
        <v>240</v>
      </c>
      <c r="C180" s="2" t="s">
        <v>370</v>
      </c>
      <c r="D180" s="2" t="s">
        <v>371</v>
      </c>
    </row>
    <row r="181" spans="1:17" x14ac:dyDescent="0.25">
      <c r="A181" s="2" t="s">
        <v>241</v>
      </c>
      <c r="C181" s="2" t="s">
        <v>372</v>
      </c>
      <c r="D181" s="2" t="s">
        <v>373</v>
      </c>
    </row>
    <row r="182" spans="1:17" x14ac:dyDescent="0.25">
      <c r="A182" s="2" t="s">
        <v>242</v>
      </c>
      <c r="C182" s="2" t="s">
        <v>374</v>
      </c>
      <c r="D182" s="2" t="s">
        <v>375</v>
      </c>
    </row>
    <row r="183" spans="1:17" x14ac:dyDescent="0.25">
      <c r="A183" s="2" t="s">
        <v>243</v>
      </c>
      <c r="C183" s="2" t="s">
        <v>376</v>
      </c>
      <c r="D183" s="2" t="s">
        <v>377</v>
      </c>
    </row>
    <row r="184" spans="1:17" x14ac:dyDescent="0.25">
      <c r="A184" s="2" t="s">
        <v>244</v>
      </c>
      <c r="C184" s="2" t="s">
        <v>378</v>
      </c>
      <c r="D184" s="2" t="s">
        <v>379</v>
      </c>
    </row>
    <row r="185" spans="1:17" x14ac:dyDescent="0.25">
      <c r="A185" s="2" t="s">
        <v>245</v>
      </c>
      <c r="C185" s="2" t="s">
        <v>380</v>
      </c>
      <c r="D185" s="2" t="s">
        <v>381</v>
      </c>
    </row>
    <row r="186" spans="1:17" x14ac:dyDescent="0.25">
      <c r="A186" s="2" t="s">
        <v>246</v>
      </c>
      <c r="C186" s="2" t="s">
        <v>382</v>
      </c>
      <c r="D186" s="2" t="s">
        <v>383</v>
      </c>
    </row>
    <row r="187" spans="1:17" x14ac:dyDescent="0.25">
      <c r="A187" s="2" t="s">
        <v>247</v>
      </c>
      <c r="C187" s="2" t="s">
        <v>384</v>
      </c>
      <c r="D187" s="2" t="s">
        <v>385</v>
      </c>
    </row>
    <row r="188" spans="1:17" s="1" customFormat="1" x14ac:dyDescent="0.25">
      <c r="A188" s="2"/>
      <c r="B188" s="2"/>
      <c r="C188" s="2"/>
      <c r="D188" s="2"/>
      <c r="E188" s="2"/>
      <c r="F188" s="2"/>
      <c r="G188" s="2"/>
      <c r="H188" s="2"/>
      <c r="I188" s="2"/>
      <c r="J188" s="2"/>
      <c r="K188" s="2"/>
      <c r="L188" s="2"/>
      <c r="M188" s="2"/>
      <c r="N188" s="2"/>
      <c r="O188" s="2"/>
      <c r="P188" s="2"/>
      <c r="Q188" s="2"/>
    </row>
    <row r="189" spans="1:17" s="1" customFormat="1" x14ac:dyDescent="0.25">
      <c r="A189" s="1" t="s">
        <v>520</v>
      </c>
      <c r="C189" s="1" t="s">
        <v>527</v>
      </c>
      <c r="D189" s="1" t="s">
        <v>521</v>
      </c>
      <c r="E189" s="1" t="s">
        <v>522</v>
      </c>
      <c r="F189" s="1" t="s">
        <v>523</v>
      </c>
      <c r="G189" s="1" t="s">
        <v>569</v>
      </c>
      <c r="H189" s="1" t="s">
        <v>500</v>
      </c>
      <c r="I189" s="1" t="s">
        <v>501</v>
      </c>
      <c r="J189" s="1" t="s">
        <v>502</v>
      </c>
      <c r="K189" s="1" t="s">
        <v>503</v>
      </c>
      <c r="L189" s="1" t="s">
        <v>524</v>
      </c>
      <c r="M189" s="1" t="s">
        <v>525</v>
      </c>
      <c r="N189" s="1" t="s">
        <v>526</v>
      </c>
      <c r="O189" s="1" t="s">
        <v>528</v>
      </c>
      <c r="P189" s="1" t="s">
        <v>529</v>
      </c>
      <c r="Q189" s="1" t="s">
        <v>507</v>
      </c>
    </row>
    <row r="190" spans="1:17" x14ac:dyDescent="0.25">
      <c r="A190" s="1" t="s">
        <v>542</v>
      </c>
      <c r="B190" s="1"/>
      <c r="C190" s="1"/>
      <c r="D190" s="1"/>
      <c r="E190" s="1"/>
      <c r="F190" s="1"/>
      <c r="G190" s="1"/>
      <c r="H190" s="1"/>
      <c r="I190" s="1"/>
      <c r="J190" s="1"/>
      <c r="K190" s="1"/>
      <c r="L190" s="1"/>
      <c r="M190" s="1"/>
      <c r="N190" s="1"/>
      <c r="O190" s="1"/>
      <c r="P190" s="1"/>
      <c r="Q190" s="1"/>
    </row>
    <row r="191" spans="1:17" x14ac:dyDescent="0.25">
      <c r="A191" s="2" t="s">
        <v>530</v>
      </c>
      <c r="C191" s="2" t="s">
        <v>388</v>
      </c>
      <c r="D191" s="2" t="s">
        <v>389</v>
      </c>
      <c r="E191" s="2" t="s">
        <v>390</v>
      </c>
      <c r="F191" s="2" t="s">
        <v>391</v>
      </c>
      <c r="G191" s="2" t="s">
        <v>392</v>
      </c>
      <c r="H191" s="2" t="s">
        <v>393</v>
      </c>
      <c r="I191" s="2" t="s">
        <v>394</v>
      </c>
      <c r="J191" s="2" t="s">
        <v>395</v>
      </c>
      <c r="K191" s="2" t="s">
        <v>396</v>
      </c>
      <c r="L191" s="2" t="s">
        <v>397</v>
      </c>
      <c r="M191" s="2" t="s">
        <v>398</v>
      </c>
      <c r="N191" s="2" t="s">
        <v>399</v>
      </c>
    </row>
    <row r="192" spans="1:17" x14ac:dyDescent="0.25">
      <c r="A192" s="2" t="s">
        <v>531</v>
      </c>
      <c r="C192" s="2" t="s">
        <v>400</v>
      </c>
      <c r="D192" s="2" t="s">
        <v>401</v>
      </c>
      <c r="E192" s="2" t="s">
        <v>402</v>
      </c>
      <c r="F192" s="2" t="s">
        <v>403</v>
      </c>
      <c r="G192" s="2" t="s">
        <v>404</v>
      </c>
      <c r="H192" s="2" t="s">
        <v>405</v>
      </c>
      <c r="I192" s="2" t="s">
        <v>406</v>
      </c>
      <c r="J192" s="2" t="s">
        <v>407</v>
      </c>
      <c r="K192" s="2" t="s">
        <v>408</v>
      </c>
    </row>
    <row r="193" spans="1:17" x14ac:dyDescent="0.25">
      <c r="A193" s="2" t="s">
        <v>532</v>
      </c>
      <c r="C193" s="2" t="s">
        <v>409</v>
      </c>
      <c r="D193" s="2" t="s">
        <v>410</v>
      </c>
      <c r="E193" s="2" t="s">
        <v>411</v>
      </c>
      <c r="F193" s="2" t="s">
        <v>412</v>
      </c>
      <c r="G193" s="2" t="s">
        <v>413</v>
      </c>
      <c r="H193" s="2" t="s">
        <v>414</v>
      </c>
      <c r="I193" s="2" t="s">
        <v>415</v>
      </c>
      <c r="J193" s="2" t="s">
        <v>416</v>
      </c>
      <c r="K193" s="2" t="s">
        <v>417</v>
      </c>
    </row>
    <row r="194" spans="1:17" x14ac:dyDescent="0.25">
      <c r="A194" s="2" t="s">
        <v>533</v>
      </c>
      <c r="C194" s="2" t="s">
        <v>418</v>
      </c>
      <c r="D194" s="2" t="s">
        <v>419</v>
      </c>
      <c r="E194" s="2" t="s">
        <v>420</v>
      </c>
      <c r="F194" s="2" t="s">
        <v>421</v>
      </c>
      <c r="G194" s="2" t="s">
        <v>422</v>
      </c>
      <c r="H194" s="2" t="s">
        <v>423</v>
      </c>
      <c r="I194" s="2" t="s">
        <v>424</v>
      </c>
      <c r="J194" s="2" t="s">
        <v>425</v>
      </c>
      <c r="K194" s="2" t="s">
        <v>426</v>
      </c>
    </row>
    <row r="195" spans="1:17" x14ac:dyDescent="0.25">
      <c r="A195" s="2" t="s">
        <v>534</v>
      </c>
      <c r="C195" s="2" t="s">
        <v>427</v>
      </c>
      <c r="D195" s="2" t="s">
        <v>428</v>
      </c>
      <c r="E195" s="2" t="s">
        <v>429</v>
      </c>
      <c r="F195" s="2" t="s">
        <v>430</v>
      </c>
      <c r="G195" s="2" t="s">
        <v>431</v>
      </c>
      <c r="H195" s="2" t="s">
        <v>432</v>
      </c>
      <c r="I195" s="2" t="s">
        <v>433</v>
      </c>
      <c r="J195" s="2" t="s">
        <v>434</v>
      </c>
      <c r="K195" s="2" t="s">
        <v>435</v>
      </c>
    </row>
    <row r="196" spans="1:17" x14ac:dyDescent="0.25">
      <c r="A196" s="2" t="s">
        <v>535</v>
      </c>
      <c r="C196" s="2" t="s">
        <v>436</v>
      </c>
      <c r="D196" s="2" t="s">
        <v>437</v>
      </c>
      <c r="E196" s="2" t="s">
        <v>438</v>
      </c>
      <c r="F196" s="2" t="s">
        <v>439</v>
      </c>
      <c r="G196" s="2" t="s">
        <v>440</v>
      </c>
      <c r="H196" s="2" t="s">
        <v>441</v>
      </c>
      <c r="I196" s="2" t="s">
        <v>442</v>
      </c>
      <c r="J196" s="2" t="s">
        <v>443</v>
      </c>
      <c r="K196" s="2" t="s">
        <v>444</v>
      </c>
    </row>
    <row r="197" spans="1:17" x14ac:dyDescent="0.25">
      <c r="A197" s="2" t="s">
        <v>536</v>
      </c>
      <c r="C197" s="2" t="s">
        <v>445</v>
      </c>
      <c r="D197" s="2" t="s">
        <v>446</v>
      </c>
      <c r="E197" s="2" t="s">
        <v>447</v>
      </c>
      <c r="F197" s="2" t="s">
        <v>448</v>
      </c>
      <c r="G197" s="2" t="s">
        <v>449</v>
      </c>
      <c r="H197" s="2" t="s">
        <v>450</v>
      </c>
      <c r="I197" s="2" t="s">
        <v>451</v>
      </c>
      <c r="J197" s="2" t="s">
        <v>452</v>
      </c>
      <c r="K197" s="2" t="s">
        <v>453</v>
      </c>
      <c r="L197" s="2" t="s">
        <v>487</v>
      </c>
      <c r="M197" s="2" t="s">
        <v>488</v>
      </c>
      <c r="N197" s="2" t="s">
        <v>489</v>
      </c>
      <c r="O197" s="2" t="s">
        <v>493</v>
      </c>
      <c r="P197" s="2" t="s">
        <v>494</v>
      </c>
    </row>
    <row r="198" spans="1:17" x14ac:dyDescent="0.25">
      <c r="A198" s="2" t="s">
        <v>537</v>
      </c>
      <c r="C198" s="2" t="s">
        <v>454</v>
      </c>
      <c r="D198" s="2" t="s">
        <v>455</v>
      </c>
      <c r="E198" s="2" t="s">
        <v>456</v>
      </c>
      <c r="F198" s="2" t="s">
        <v>457</v>
      </c>
      <c r="G198" s="2" t="s">
        <v>458</v>
      </c>
      <c r="H198" s="2" t="s">
        <v>459</v>
      </c>
      <c r="I198" s="2" t="s">
        <v>460</v>
      </c>
      <c r="J198" s="2" t="s">
        <v>461</v>
      </c>
      <c r="K198" s="2" t="s">
        <v>462</v>
      </c>
    </row>
    <row r="199" spans="1:17" x14ac:dyDescent="0.25">
      <c r="A199" s="2" t="s">
        <v>538</v>
      </c>
      <c r="C199" s="2" t="s">
        <v>463</v>
      </c>
      <c r="D199" s="2" t="s">
        <v>464</v>
      </c>
      <c r="E199" s="2" t="s">
        <v>465</v>
      </c>
      <c r="F199" s="2" t="s">
        <v>466</v>
      </c>
      <c r="G199" s="2" t="s">
        <v>467</v>
      </c>
      <c r="H199" s="2" t="s">
        <v>468</v>
      </c>
      <c r="I199" s="2" t="s">
        <v>469</v>
      </c>
      <c r="J199" s="2" t="s">
        <v>470</v>
      </c>
      <c r="K199" s="2" t="s">
        <v>471</v>
      </c>
      <c r="L199" s="2" t="s">
        <v>490</v>
      </c>
      <c r="M199" s="2" t="s">
        <v>491</v>
      </c>
      <c r="N199" s="2" t="s">
        <v>492</v>
      </c>
      <c r="Q199" s="2" t="s">
        <v>658</v>
      </c>
    </row>
    <row r="200" spans="1:17" x14ac:dyDescent="0.25">
      <c r="A200" s="2" t="s">
        <v>539</v>
      </c>
      <c r="C200" s="2" t="s">
        <v>472</v>
      </c>
      <c r="D200" s="2" t="s">
        <v>473</v>
      </c>
      <c r="E200" s="2" t="s">
        <v>474</v>
      </c>
      <c r="F200" s="2" t="s">
        <v>475</v>
      </c>
      <c r="G200" s="2" t="s">
        <v>476</v>
      </c>
    </row>
    <row r="201" spans="1:17" x14ac:dyDescent="0.25">
      <c r="A201" s="2" t="s">
        <v>540</v>
      </c>
      <c r="C201" s="2" t="s">
        <v>477</v>
      </c>
      <c r="D201" s="2" t="s">
        <v>478</v>
      </c>
      <c r="E201" s="2" t="s">
        <v>479</v>
      </c>
      <c r="F201" s="2" t="s">
        <v>480</v>
      </c>
      <c r="G201" s="2" t="s">
        <v>481</v>
      </c>
    </row>
    <row r="202" spans="1:17" x14ac:dyDescent="0.25">
      <c r="A202" s="2" t="s">
        <v>541</v>
      </c>
      <c r="C202" s="2" t="s">
        <v>482</v>
      </c>
      <c r="D202" s="2" t="s">
        <v>483</v>
      </c>
      <c r="E202" s="2" t="s">
        <v>484</v>
      </c>
      <c r="F202" s="2" t="s">
        <v>485</v>
      </c>
      <c r="G202" s="2" t="s">
        <v>486</v>
      </c>
    </row>
    <row r="203" spans="1:17" x14ac:dyDescent="0.25">
      <c r="A203" s="1" t="s">
        <v>549</v>
      </c>
    </row>
    <row r="204" spans="1:17" x14ac:dyDescent="0.25">
      <c r="A204" s="2" t="s">
        <v>570</v>
      </c>
      <c r="C204" s="2" t="s">
        <v>571</v>
      </c>
      <c r="D204" s="2" t="s">
        <v>572</v>
      </c>
      <c r="E204" s="2" t="s">
        <v>573</v>
      </c>
      <c r="F204" s="2" t="s">
        <v>574</v>
      </c>
      <c r="G204" s="2" t="s">
        <v>575</v>
      </c>
    </row>
    <row r="205" spans="1:17" x14ac:dyDescent="0.25">
      <c r="A205" s="2" t="s">
        <v>576</v>
      </c>
      <c r="C205" s="2" t="s">
        <v>577</v>
      </c>
      <c r="D205" s="2" t="s">
        <v>578</v>
      </c>
      <c r="E205" s="2" t="s">
        <v>579</v>
      </c>
      <c r="F205" s="2" t="s">
        <v>580</v>
      </c>
      <c r="G205" s="2" t="s">
        <v>581</v>
      </c>
    </row>
    <row r="206" spans="1:17" x14ac:dyDescent="0.25">
      <c r="A206" s="2" t="s">
        <v>582</v>
      </c>
      <c r="C206" s="2" t="s">
        <v>583</v>
      </c>
      <c r="D206" s="2" t="s">
        <v>584</v>
      </c>
      <c r="E206" s="2" t="s">
        <v>585</v>
      </c>
      <c r="F206" s="2" t="s">
        <v>586</v>
      </c>
      <c r="G206" s="2" t="s">
        <v>587</v>
      </c>
    </row>
    <row r="207" spans="1:17" x14ac:dyDescent="0.25">
      <c r="A207" s="2" t="s">
        <v>588</v>
      </c>
      <c r="C207" s="2" t="s">
        <v>589</v>
      </c>
      <c r="D207" s="2" t="s">
        <v>590</v>
      </c>
      <c r="E207" s="2" t="s">
        <v>591</v>
      </c>
      <c r="F207" s="2" t="s">
        <v>592</v>
      </c>
      <c r="G207" s="2" t="s">
        <v>593</v>
      </c>
    </row>
    <row r="208" spans="1:17" x14ac:dyDescent="0.25">
      <c r="A208" s="2" t="s">
        <v>594</v>
      </c>
      <c r="C208" s="2" t="s">
        <v>595</v>
      </c>
      <c r="D208" s="2" t="s">
        <v>596</v>
      </c>
      <c r="E208" s="2" t="s">
        <v>597</v>
      </c>
      <c r="F208" s="2" t="s">
        <v>598</v>
      </c>
      <c r="G208" s="2" t="s">
        <v>599</v>
      </c>
    </row>
    <row r="209" spans="1:7" x14ac:dyDescent="0.25">
      <c r="A209" s="2" t="s">
        <v>600</v>
      </c>
      <c r="C209" s="2" t="s">
        <v>601</v>
      </c>
      <c r="D209" s="2" t="s">
        <v>602</v>
      </c>
      <c r="E209" s="2" t="s">
        <v>603</v>
      </c>
      <c r="F209" s="2" t="s">
        <v>604</v>
      </c>
      <c r="G209" s="2" t="s">
        <v>605</v>
      </c>
    </row>
    <row r="210" spans="1:7" x14ac:dyDescent="0.25">
      <c r="A210" s="2" t="s">
        <v>606</v>
      </c>
      <c r="C210" s="2" t="s">
        <v>607</v>
      </c>
      <c r="D210" s="2" t="s">
        <v>608</v>
      </c>
      <c r="E210" s="2" t="s">
        <v>609</v>
      </c>
      <c r="F210" s="2" t="s">
        <v>610</v>
      </c>
      <c r="G210" s="2" t="s">
        <v>611</v>
      </c>
    </row>
    <row r="211" spans="1:7" x14ac:dyDescent="0.25">
      <c r="A211" s="2" t="s">
        <v>612</v>
      </c>
      <c r="C211" s="2" t="s">
        <v>617</v>
      </c>
      <c r="D211" s="2" t="s">
        <v>618</v>
      </c>
      <c r="E211" s="2" t="s">
        <v>619</v>
      </c>
      <c r="F211" s="2" t="s">
        <v>620</v>
      </c>
      <c r="G211" s="2" t="s">
        <v>621</v>
      </c>
    </row>
    <row r="212" spans="1:7" x14ac:dyDescent="0.25">
      <c r="A212" s="2" t="s">
        <v>622</v>
      </c>
      <c r="C212" s="2" t="s">
        <v>623</v>
      </c>
      <c r="D212" s="2" t="s">
        <v>624</v>
      </c>
      <c r="E212" s="2" t="s">
        <v>625</v>
      </c>
      <c r="F212" s="2" t="s">
        <v>626</v>
      </c>
      <c r="G212" s="2" t="s">
        <v>627</v>
      </c>
    </row>
    <row r="213" spans="1:7" x14ac:dyDescent="0.25">
      <c r="A213" s="1" t="s">
        <v>559</v>
      </c>
    </row>
    <row r="214" spans="1:7" x14ac:dyDescent="0.25">
      <c r="A214" s="2" t="s">
        <v>628</v>
      </c>
      <c r="C214" s="2" t="s">
        <v>629</v>
      </c>
      <c r="D214" s="2" t="s">
        <v>630</v>
      </c>
      <c r="E214" s="2" t="s">
        <v>631</v>
      </c>
      <c r="F214" s="2" t="s">
        <v>632</v>
      </c>
      <c r="G214" s="2" t="s">
        <v>633</v>
      </c>
    </row>
    <row r="215" spans="1:7" x14ac:dyDescent="0.25">
      <c r="A215" s="2" t="s">
        <v>634</v>
      </c>
      <c r="C215" s="2" t="s">
        <v>635</v>
      </c>
      <c r="D215" s="2" t="s">
        <v>636</v>
      </c>
      <c r="E215" s="2" t="s">
        <v>637</v>
      </c>
      <c r="F215" s="2" t="s">
        <v>638</v>
      </c>
      <c r="G215" s="2" t="s">
        <v>639</v>
      </c>
    </row>
    <row r="216" spans="1:7" x14ac:dyDescent="0.25">
      <c r="A216" s="2" t="s">
        <v>640</v>
      </c>
      <c r="C216" s="2" t="s">
        <v>641</v>
      </c>
      <c r="D216" s="2" t="s">
        <v>642</v>
      </c>
      <c r="E216" s="2" t="s">
        <v>643</v>
      </c>
      <c r="F216" s="2" t="s">
        <v>644</v>
      </c>
      <c r="G216" s="2" t="s">
        <v>645</v>
      </c>
    </row>
    <row r="217" spans="1:7" x14ac:dyDescent="0.25">
      <c r="A217" s="2" t="s">
        <v>646</v>
      </c>
      <c r="C217" s="2" t="s">
        <v>647</v>
      </c>
      <c r="D217" s="2" t="s">
        <v>648</v>
      </c>
      <c r="E217" s="2" t="s">
        <v>649</v>
      </c>
      <c r="F217" s="2" t="s">
        <v>650</v>
      </c>
      <c r="G217" s="2" t="s">
        <v>651</v>
      </c>
    </row>
    <row r="218" spans="1:7" x14ac:dyDescent="0.25">
      <c r="A218" s="2" t="s">
        <v>652</v>
      </c>
      <c r="C218" s="2" t="s">
        <v>653</v>
      </c>
      <c r="D218" s="2" t="s">
        <v>654</v>
      </c>
      <c r="E218" s="2" t="s">
        <v>655</v>
      </c>
      <c r="F218" s="2" t="s">
        <v>656</v>
      </c>
      <c r="G218" s="2" t="s">
        <v>657</v>
      </c>
    </row>
    <row r="219" spans="1:7" x14ac:dyDescent="0.25">
      <c r="A219" s="2" t="s">
        <v>659</v>
      </c>
      <c r="C219" s="2" t="s">
        <v>660</v>
      </c>
      <c r="D219" s="2" t="s">
        <v>661</v>
      </c>
      <c r="E219" s="2" t="s">
        <v>662</v>
      </c>
      <c r="F219" s="2" t="s">
        <v>663</v>
      </c>
      <c r="G219" s="2" t="s">
        <v>664</v>
      </c>
    </row>
    <row r="220" spans="1:7" x14ac:dyDescent="0.25">
      <c r="A220" s="2" t="s">
        <v>665</v>
      </c>
      <c r="C220" s="2" t="s">
        <v>666</v>
      </c>
      <c r="D220" s="2" t="s">
        <v>667</v>
      </c>
      <c r="E220" s="2" t="s">
        <v>668</v>
      </c>
      <c r="F220" s="2" t="s">
        <v>669</v>
      </c>
      <c r="G220" s="2" t="s">
        <v>670</v>
      </c>
    </row>
    <row r="221" spans="1:7" x14ac:dyDescent="0.25">
      <c r="A221" s="2" t="s">
        <v>671</v>
      </c>
      <c r="C221" s="2" t="s">
        <v>672</v>
      </c>
      <c r="D221" s="2" t="s">
        <v>673</v>
      </c>
      <c r="E221" s="2" t="s">
        <v>674</v>
      </c>
      <c r="F221" s="2" t="s">
        <v>675</v>
      </c>
      <c r="G221" s="2" t="s">
        <v>676</v>
      </c>
    </row>
    <row r="222" spans="1:7" x14ac:dyDescent="0.25">
      <c r="A222" s="2" t="s">
        <v>677</v>
      </c>
      <c r="C222" s="2" t="s">
        <v>681</v>
      </c>
      <c r="D222" s="2" t="s">
        <v>682</v>
      </c>
      <c r="E222" s="2" t="s">
        <v>683</v>
      </c>
      <c r="F222" s="2" t="s">
        <v>684</v>
      </c>
      <c r="G222" s="2" t="s">
        <v>685</v>
      </c>
    </row>
    <row r="223" spans="1:7" x14ac:dyDescent="0.25">
      <c r="A223" s="1" t="s">
        <v>686</v>
      </c>
    </row>
    <row r="224" spans="1:7" x14ac:dyDescent="0.25">
      <c r="A224" s="2" t="s">
        <v>733</v>
      </c>
      <c r="C224" s="2" t="s">
        <v>695</v>
      </c>
      <c r="D224" s="2" t="s">
        <v>696</v>
      </c>
      <c r="E224" s="2" t="s">
        <v>697</v>
      </c>
      <c r="F224" s="2" t="s">
        <v>698</v>
      </c>
      <c r="G224" s="2" t="s">
        <v>699</v>
      </c>
    </row>
    <row r="225" spans="1:17" x14ac:dyDescent="0.25">
      <c r="A225" s="2" t="s">
        <v>734</v>
      </c>
      <c r="C225" s="2" t="s">
        <v>700</v>
      </c>
      <c r="D225" s="2" t="s">
        <v>701</v>
      </c>
      <c r="E225" s="2" t="s">
        <v>702</v>
      </c>
      <c r="F225" s="2" t="s">
        <v>703</v>
      </c>
    </row>
    <row r="226" spans="1:17" x14ac:dyDescent="0.25">
      <c r="A226" s="2" t="s">
        <v>735</v>
      </c>
      <c r="C226" s="2" t="s">
        <v>704</v>
      </c>
      <c r="D226" s="2" t="s">
        <v>705</v>
      </c>
      <c r="E226" s="2" t="s">
        <v>706</v>
      </c>
      <c r="F226" s="2" t="s">
        <v>707</v>
      </c>
    </row>
    <row r="227" spans="1:17" x14ac:dyDescent="0.25">
      <c r="A227" s="2" t="s">
        <v>736</v>
      </c>
      <c r="C227" s="2" t="s">
        <v>708</v>
      </c>
      <c r="D227" s="2" t="s">
        <v>709</v>
      </c>
      <c r="E227" s="2" t="s">
        <v>710</v>
      </c>
      <c r="F227" s="2" t="s">
        <v>711</v>
      </c>
      <c r="G227" s="2" t="s">
        <v>712</v>
      </c>
    </row>
    <row r="228" spans="1:17" x14ac:dyDescent="0.25">
      <c r="A228" s="2" t="s">
        <v>737</v>
      </c>
      <c r="C228" s="2" t="s">
        <v>713</v>
      </c>
      <c r="D228" s="2" t="s">
        <v>714</v>
      </c>
      <c r="E228" s="2" t="s">
        <v>715</v>
      </c>
      <c r="F228" s="2" t="s">
        <v>716</v>
      </c>
      <c r="G228" s="2" t="s">
        <v>717</v>
      </c>
    </row>
    <row r="229" spans="1:17" x14ac:dyDescent="0.25">
      <c r="A229" s="2" t="s">
        <v>1078</v>
      </c>
      <c r="C229" s="2" t="s">
        <v>1623</v>
      </c>
      <c r="D229" s="2" t="s">
        <v>1624</v>
      </c>
      <c r="E229" s="2" t="s">
        <v>1625</v>
      </c>
      <c r="F229" s="2" t="s">
        <v>1626</v>
      </c>
      <c r="G229" s="2" t="s">
        <v>1627</v>
      </c>
    </row>
    <row r="230" spans="1:17" x14ac:dyDescent="0.25">
      <c r="A230" s="2" t="s">
        <v>738</v>
      </c>
      <c r="C230" s="2" t="s">
        <v>718</v>
      </c>
      <c r="D230" s="2" t="s">
        <v>719</v>
      </c>
      <c r="E230" s="2" t="s">
        <v>720</v>
      </c>
      <c r="F230" s="2" t="s">
        <v>721</v>
      </c>
      <c r="G230" s="2" t="s">
        <v>722</v>
      </c>
    </row>
    <row r="231" spans="1:17" x14ac:dyDescent="0.25">
      <c r="A231" s="2" t="s">
        <v>739</v>
      </c>
      <c r="C231" s="2" t="s">
        <v>723</v>
      </c>
      <c r="D231" s="2" t="s">
        <v>724</v>
      </c>
      <c r="E231" s="2" t="s">
        <v>725</v>
      </c>
      <c r="F231" s="2" t="s">
        <v>726</v>
      </c>
      <c r="G231" s="2" t="s">
        <v>727</v>
      </c>
    </row>
    <row r="232" spans="1:17" x14ac:dyDescent="0.25">
      <c r="A232" s="2" t="s">
        <v>740</v>
      </c>
      <c r="C232" s="2" t="s">
        <v>728</v>
      </c>
      <c r="D232" s="2" t="s">
        <v>729</v>
      </c>
      <c r="E232" s="2" t="s">
        <v>730</v>
      </c>
      <c r="F232" s="2" t="s">
        <v>731</v>
      </c>
      <c r="G232" s="2" t="s">
        <v>732</v>
      </c>
    </row>
    <row r="233" spans="1:17" s="1" customFormat="1" x14ac:dyDescent="0.25">
      <c r="A233" s="2"/>
      <c r="B233" s="2"/>
      <c r="C233" s="2"/>
      <c r="D233" s="2"/>
      <c r="E233" s="2"/>
      <c r="F233" s="2"/>
      <c r="G233" s="2"/>
      <c r="H233" s="2"/>
      <c r="I233" s="2"/>
      <c r="J233" s="2"/>
      <c r="K233" s="2"/>
      <c r="L233" s="2"/>
      <c r="M233" s="2"/>
      <c r="N233" s="2"/>
      <c r="O233" s="2"/>
      <c r="P233" s="2"/>
      <c r="Q233" s="2"/>
    </row>
    <row r="234" spans="1:17" s="1" customFormat="1" x14ac:dyDescent="0.25">
      <c r="A234" s="1" t="s">
        <v>857</v>
      </c>
      <c r="C234" s="1" t="s">
        <v>198</v>
      </c>
      <c r="D234" s="1" t="s">
        <v>116</v>
      </c>
      <c r="E234" s="1" t="s">
        <v>858</v>
      </c>
      <c r="F234" s="1" t="s">
        <v>859</v>
      </c>
      <c r="G234" s="1" t="s">
        <v>860</v>
      </c>
      <c r="H234" s="1" t="s">
        <v>861</v>
      </c>
      <c r="I234" s="1" t="s">
        <v>862</v>
      </c>
      <c r="J234" s="1" t="s">
        <v>135</v>
      </c>
      <c r="K234" s="1" t="s">
        <v>863</v>
      </c>
    </row>
    <row r="235" spans="1:17" s="1" customFormat="1" x14ac:dyDescent="0.25">
      <c r="A235" s="1" t="s">
        <v>542</v>
      </c>
    </row>
    <row r="236" spans="1:17" s="1" customFormat="1" x14ac:dyDescent="0.25">
      <c r="A236" s="2" t="s">
        <v>89</v>
      </c>
      <c r="B236" s="2" t="s">
        <v>1025</v>
      </c>
    </row>
    <row r="237" spans="1:17" s="1" customFormat="1" x14ac:dyDescent="0.25">
      <c r="A237" s="2" t="s">
        <v>90</v>
      </c>
      <c r="B237" s="2" t="s">
        <v>1026</v>
      </c>
    </row>
    <row r="238" spans="1:17" s="1" customFormat="1" x14ac:dyDescent="0.25">
      <c r="A238" s="2" t="s">
        <v>91</v>
      </c>
      <c r="B238" s="2" t="s">
        <v>1030</v>
      </c>
    </row>
    <row r="239" spans="1:17" s="1" customFormat="1" x14ac:dyDescent="0.25">
      <c r="A239" s="2" t="s">
        <v>92</v>
      </c>
      <c r="B239" s="2" t="s">
        <v>1031</v>
      </c>
    </row>
    <row r="240" spans="1:17" s="1" customFormat="1" x14ac:dyDescent="0.25">
      <c r="A240" s="14" t="s">
        <v>87</v>
      </c>
      <c r="E240" s="2" t="s">
        <v>1044</v>
      </c>
      <c r="F240" s="2" t="s">
        <v>1045</v>
      </c>
      <c r="G240" s="2" t="s">
        <v>1046</v>
      </c>
    </row>
    <row r="241" spans="1:17" x14ac:dyDescent="0.25">
      <c r="A241" s="14" t="s">
        <v>88</v>
      </c>
      <c r="B241" s="1"/>
      <c r="C241" s="1"/>
      <c r="D241" s="1"/>
      <c r="E241" s="2" t="s">
        <v>1047</v>
      </c>
      <c r="F241" s="2" t="s">
        <v>1048</v>
      </c>
      <c r="G241" s="2" t="s">
        <v>1049</v>
      </c>
      <c r="H241" s="1"/>
      <c r="I241" s="1"/>
      <c r="J241" s="1"/>
      <c r="K241" s="1"/>
      <c r="L241" s="1"/>
      <c r="M241" s="1"/>
      <c r="N241" s="1"/>
      <c r="O241" s="1"/>
      <c r="P241" s="1"/>
      <c r="Q241" s="1"/>
    </row>
    <row r="242" spans="1:17" x14ac:dyDescent="0.25">
      <c r="A242" s="14" t="s">
        <v>864</v>
      </c>
      <c r="C242" s="2" t="s">
        <v>813</v>
      </c>
      <c r="D242" s="2" t="s">
        <v>865</v>
      </c>
      <c r="E242" s="2" t="s">
        <v>866</v>
      </c>
      <c r="F242" s="2" t="s">
        <v>867</v>
      </c>
      <c r="G242" s="2" t="s">
        <v>868</v>
      </c>
      <c r="H242" s="2" t="s">
        <v>869</v>
      </c>
      <c r="I242" s="2" t="s">
        <v>870</v>
      </c>
      <c r="J242" s="2" t="s">
        <v>871</v>
      </c>
      <c r="K242" s="2" t="s">
        <v>872</v>
      </c>
    </row>
    <row r="243" spans="1:17" x14ac:dyDescent="0.25">
      <c r="A243" s="14" t="s">
        <v>873</v>
      </c>
      <c r="C243" s="2" t="s">
        <v>814</v>
      </c>
      <c r="D243" s="2" t="s">
        <v>874</v>
      </c>
      <c r="E243" s="2" t="s">
        <v>875</v>
      </c>
      <c r="F243" s="2" t="s">
        <v>876</v>
      </c>
      <c r="G243" s="2" t="s">
        <v>877</v>
      </c>
      <c r="H243" s="2" t="s">
        <v>878</v>
      </c>
    </row>
    <row r="244" spans="1:17" x14ac:dyDescent="0.25">
      <c r="A244" s="14" t="s">
        <v>879</v>
      </c>
      <c r="C244" s="2" t="s">
        <v>815</v>
      </c>
      <c r="D244" s="2" t="s">
        <v>880</v>
      </c>
      <c r="E244" s="2" t="s">
        <v>881</v>
      </c>
      <c r="F244" s="2" t="s">
        <v>882</v>
      </c>
      <c r="G244" s="2" t="s">
        <v>883</v>
      </c>
      <c r="H244" s="2" t="s">
        <v>884</v>
      </c>
    </row>
    <row r="245" spans="1:17" x14ac:dyDescent="0.25">
      <c r="A245" s="14" t="s">
        <v>885</v>
      </c>
      <c r="C245" s="2" t="s">
        <v>816</v>
      </c>
      <c r="D245" s="2" t="s">
        <v>886</v>
      </c>
      <c r="E245" s="2" t="s">
        <v>887</v>
      </c>
      <c r="F245" s="2" t="s">
        <v>888</v>
      </c>
      <c r="G245" s="2" t="s">
        <v>889</v>
      </c>
      <c r="H245" s="2" t="s">
        <v>890</v>
      </c>
    </row>
    <row r="246" spans="1:17" x14ac:dyDescent="0.25">
      <c r="A246" s="14" t="s">
        <v>891</v>
      </c>
      <c r="C246" s="2" t="s">
        <v>817</v>
      </c>
      <c r="D246" s="2" t="s">
        <v>892</v>
      </c>
      <c r="E246" s="2" t="s">
        <v>893</v>
      </c>
      <c r="F246" s="2" t="s">
        <v>894</v>
      </c>
      <c r="G246" s="2" t="s">
        <v>895</v>
      </c>
      <c r="H246" s="2" t="s">
        <v>896</v>
      </c>
    </row>
    <row r="247" spans="1:17" x14ac:dyDescent="0.25">
      <c r="A247" s="14" t="s">
        <v>818</v>
      </c>
      <c r="C247" s="2" t="s">
        <v>818</v>
      </c>
      <c r="D247" s="2" t="s">
        <v>897</v>
      </c>
      <c r="E247" s="2" t="s">
        <v>898</v>
      </c>
      <c r="F247" s="2" t="s">
        <v>899</v>
      </c>
      <c r="G247" s="2" t="s">
        <v>900</v>
      </c>
      <c r="H247" s="2" t="s">
        <v>901</v>
      </c>
    </row>
    <row r="248" spans="1:17" x14ac:dyDescent="0.25">
      <c r="A248" s="14"/>
      <c r="C248" s="2" t="s">
        <v>1265</v>
      </c>
    </row>
    <row r="249" spans="1:17" x14ac:dyDescent="0.25">
      <c r="A249" s="14" t="s">
        <v>1263</v>
      </c>
      <c r="C249" s="2" t="s">
        <v>1266</v>
      </c>
    </row>
    <row r="250" spans="1:17" x14ac:dyDescent="0.25">
      <c r="A250" s="14" t="s">
        <v>1264</v>
      </c>
      <c r="C250" s="2" t="s">
        <v>1267</v>
      </c>
    </row>
    <row r="251" spans="1:17" s="1" customFormat="1" x14ac:dyDescent="0.25">
      <c r="A251" s="1" t="s">
        <v>549</v>
      </c>
      <c r="B251" s="2"/>
      <c r="C251" s="2"/>
      <c r="D251" s="2"/>
      <c r="E251" s="2"/>
      <c r="F251" s="2"/>
      <c r="G251" s="2"/>
      <c r="H251" s="2"/>
      <c r="I251" s="2"/>
      <c r="J251" s="2"/>
      <c r="K251" s="2"/>
      <c r="L251" s="2"/>
      <c r="M251" s="2"/>
      <c r="N251" s="2"/>
      <c r="O251" s="2"/>
      <c r="P251" s="2"/>
      <c r="Q251" s="2"/>
    </row>
    <row r="252" spans="1:17" s="1" customFormat="1" x14ac:dyDescent="0.25">
      <c r="A252" s="2" t="s">
        <v>89</v>
      </c>
      <c r="B252" s="2" t="s">
        <v>1032</v>
      </c>
    </row>
    <row r="253" spans="1:17" s="1" customFormat="1" x14ac:dyDescent="0.25">
      <c r="A253" s="2" t="s">
        <v>90</v>
      </c>
      <c r="B253" s="2" t="s">
        <v>1033</v>
      </c>
    </row>
    <row r="254" spans="1:17" s="1" customFormat="1" x14ac:dyDescent="0.25">
      <c r="A254" s="2" t="s">
        <v>91</v>
      </c>
      <c r="B254" s="2" t="s">
        <v>1034</v>
      </c>
    </row>
    <row r="255" spans="1:17" s="1" customFormat="1" x14ac:dyDescent="0.25">
      <c r="A255" s="2" t="s">
        <v>92</v>
      </c>
      <c r="B255" s="2" t="s">
        <v>93</v>
      </c>
    </row>
    <row r="256" spans="1:17" s="1" customFormat="1" x14ac:dyDescent="0.25">
      <c r="A256" s="14" t="s">
        <v>87</v>
      </c>
      <c r="E256" s="2" t="s">
        <v>75</v>
      </c>
      <c r="F256" s="2" t="s">
        <v>77</v>
      </c>
      <c r="G256" s="2" t="s">
        <v>79</v>
      </c>
    </row>
    <row r="257" spans="1:17" x14ac:dyDescent="0.25">
      <c r="A257" s="14" t="s">
        <v>88</v>
      </c>
      <c r="B257" s="1"/>
      <c r="C257" s="1"/>
      <c r="D257" s="1"/>
      <c r="E257" s="2" t="s">
        <v>76</v>
      </c>
      <c r="F257" s="2" t="s">
        <v>78</v>
      </c>
      <c r="G257" s="2" t="s">
        <v>80</v>
      </c>
      <c r="H257" s="1"/>
      <c r="I257" s="1"/>
      <c r="J257" s="1"/>
      <c r="K257" s="1"/>
      <c r="L257" s="1"/>
      <c r="M257" s="1"/>
      <c r="N257" s="1"/>
      <c r="O257" s="1"/>
      <c r="P257" s="1"/>
      <c r="Q257" s="1"/>
    </row>
    <row r="258" spans="1:17" x14ac:dyDescent="0.25">
      <c r="A258" s="14" t="s">
        <v>903</v>
      </c>
      <c r="C258" s="2" t="s">
        <v>902</v>
      </c>
      <c r="D258" s="2" t="s">
        <v>904</v>
      </c>
      <c r="E258" s="2" t="s">
        <v>905</v>
      </c>
      <c r="F258" s="2" t="s">
        <v>906</v>
      </c>
      <c r="G258" s="2" t="s">
        <v>907</v>
      </c>
      <c r="H258" s="2" t="s">
        <v>908</v>
      </c>
      <c r="I258" s="2" t="s">
        <v>909</v>
      </c>
      <c r="J258" s="2" t="s">
        <v>910</v>
      </c>
      <c r="K258" s="2" t="s">
        <v>911</v>
      </c>
    </row>
    <row r="259" spans="1:17" x14ac:dyDescent="0.25">
      <c r="A259" s="14" t="s">
        <v>913</v>
      </c>
      <c r="C259" s="2" t="s">
        <v>912</v>
      </c>
      <c r="D259" s="2" t="s">
        <v>914</v>
      </c>
      <c r="E259" s="2" t="s">
        <v>915</v>
      </c>
      <c r="F259" s="2" t="s">
        <v>916</v>
      </c>
      <c r="G259" s="2" t="s">
        <v>917</v>
      </c>
    </row>
    <row r="260" spans="1:17" x14ac:dyDescent="0.25">
      <c r="A260" s="14" t="s">
        <v>919</v>
      </c>
      <c r="C260" s="2" t="s">
        <v>918</v>
      </c>
      <c r="D260" s="2" t="s">
        <v>920</v>
      </c>
      <c r="E260" s="2" t="s">
        <v>921</v>
      </c>
      <c r="F260" s="2" t="s">
        <v>922</v>
      </c>
      <c r="G260" s="2" t="s">
        <v>923</v>
      </c>
    </row>
    <row r="261" spans="1:17" x14ac:dyDescent="0.25">
      <c r="A261" s="14" t="s">
        <v>925</v>
      </c>
      <c r="C261" s="2" t="s">
        <v>924</v>
      </c>
      <c r="D261" s="2" t="s">
        <v>926</v>
      </c>
      <c r="E261" s="2" t="s">
        <v>927</v>
      </c>
      <c r="F261" s="2" t="s">
        <v>928</v>
      </c>
      <c r="G261" s="2" t="s">
        <v>929</v>
      </c>
    </row>
    <row r="262" spans="1:17" x14ac:dyDescent="0.25">
      <c r="A262" s="14" t="s">
        <v>931</v>
      </c>
      <c r="C262" s="2" t="s">
        <v>930</v>
      </c>
      <c r="D262" s="2" t="s">
        <v>932</v>
      </c>
      <c r="E262" s="2" t="s">
        <v>933</v>
      </c>
      <c r="F262" s="2" t="s">
        <v>934</v>
      </c>
      <c r="G262" s="2" t="s">
        <v>935</v>
      </c>
    </row>
    <row r="263" spans="1:17" x14ac:dyDescent="0.25">
      <c r="A263" s="14" t="s">
        <v>937</v>
      </c>
      <c r="C263" s="2" t="s">
        <v>936</v>
      </c>
      <c r="D263" s="2" t="s">
        <v>938</v>
      </c>
      <c r="E263" s="2" t="s">
        <v>939</v>
      </c>
      <c r="F263" s="2" t="s">
        <v>940</v>
      </c>
      <c r="G263" s="2" t="s">
        <v>941</v>
      </c>
    </row>
    <row r="264" spans="1:17" s="1" customFormat="1" x14ac:dyDescent="0.25">
      <c r="A264" s="1" t="s">
        <v>559</v>
      </c>
      <c r="B264" s="2"/>
      <c r="C264" s="2"/>
      <c r="D264" s="2"/>
      <c r="E264" s="2"/>
      <c r="F264" s="2"/>
      <c r="G264" s="2"/>
      <c r="H264" s="2"/>
      <c r="I264" s="2"/>
      <c r="J264" s="2"/>
      <c r="K264" s="2"/>
      <c r="L264" s="2"/>
      <c r="M264" s="2"/>
      <c r="N264" s="2"/>
      <c r="O264" s="2"/>
      <c r="P264" s="2"/>
      <c r="Q264" s="2"/>
    </row>
    <row r="265" spans="1:17" s="1" customFormat="1" x14ac:dyDescent="0.25">
      <c r="A265" s="2" t="s">
        <v>89</v>
      </c>
      <c r="B265" s="2" t="s">
        <v>1035</v>
      </c>
    </row>
    <row r="266" spans="1:17" s="1" customFormat="1" x14ac:dyDescent="0.25">
      <c r="A266" s="2" t="s">
        <v>90</v>
      </c>
      <c r="B266" s="2" t="s">
        <v>1036</v>
      </c>
    </row>
    <row r="267" spans="1:17" s="1" customFormat="1" x14ac:dyDescent="0.25">
      <c r="A267" s="2" t="s">
        <v>91</v>
      </c>
      <c r="B267" s="2" t="s">
        <v>1037</v>
      </c>
    </row>
    <row r="268" spans="1:17" s="1" customFormat="1" x14ac:dyDescent="0.25">
      <c r="A268" s="2" t="s">
        <v>92</v>
      </c>
      <c r="B268" s="2" t="s">
        <v>94</v>
      </c>
    </row>
    <row r="269" spans="1:17" s="1" customFormat="1" x14ac:dyDescent="0.25">
      <c r="A269" s="14" t="s">
        <v>87</v>
      </c>
      <c r="E269" s="2" t="s">
        <v>85</v>
      </c>
      <c r="F269" s="2" t="s">
        <v>83</v>
      </c>
      <c r="G269" s="2" t="s">
        <v>81</v>
      </c>
    </row>
    <row r="270" spans="1:17" x14ac:dyDescent="0.25">
      <c r="A270" s="14" t="s">
        <v>88</v>
      </c>
      <c r="B270" s="1"/>
      <c r="C270" s="1"/>
      <c r="D270" s="1"/>
      <c r="E270" s="2" t="s">
        <v>86</v>
      </c>
      <c r="F270" s="2" t="s">
        <v>84</v>
      </c>
      <c r="G270" s="2" t="s">
        <v>82</v>
      </c>
      <c r="H270" s="1"/>
      <c r="I270" s="1"/>
      <c r="J270" s="1"/>
      <c r="K270" s="1"/>
      <c r="L270" s="1"/>
      <c r="M270" s="1"/>
      <c r="N270" s="1"/>
      <c r="O270" s="1"/>
      <c r="P270" s="1"/>
      <c r="Q270" s="1"/>
    </row>
    <row r="271" spans="1:17" x14ac:dyDescent="0.25">
      <c r="A271" s="14" t="s">
        <v>943</v>
      </c>
      <c r="C271" s="2" t="s">
        <v>942</v>
      </c>
      <c r="D271" s="2" t="s">
        <v>944</v>
      </c>
      <c r="E271" s="2" t="s">
        <v>945</v>
      </c>
      <c r="F271" s="2" t="s">
        <v>946</v>
      </c>
      <c r="G271" s="2" t="s">
        <v>947</v>
      </c>
      <c r="H271" s="2" t="s">
        <v>948</v>
      </c>
      <c r="I271" s="2" t="s">
        <v>951</v>
      </c>
      <c r="J271" s="2" t="s">
        <v>952</v>
      </c>
      <c r="K271" s="2" t="s">
        <v>953</v>
      </c>
    </row>
    <row r="272" spans="1:17" x14ac:dyDescent="0.25">
      <c r="A272" s="14" t="s">
        <v>955</v>
      </c>
      <c r="C272" s="2" t="s">
        <v>954</v>
      </c>
      <c r="D272" s="2" t="s">
        <v>956</v>
      </c>
      <c r="E272" s="2" t="s">
        <v>957</v>
      </c>
      <c r="F272" s="2" t="s">
        <v>958</v>
      </c>
      <c r="G272" s="2" t="s">
        <v>959</v>
      </c>
    </row>
    <row r="273" spans="1:17" x14ac:dyDescent="0.25">
      <c r="A273" s="14" t="s">
        <v>961</v>
      </c>
      <c r="C273" s="2" t="s">
        <v>960</v>
      </c>
      <c r="D273" s="2" t="s">
        <v>962</v>
      </c>
      <c r="E273" s="2" t="s">
        <v>963</v>
      </c>
      <c r="F273" s="2" t="s">
        <v>964</v>
      </c>
      <c r="G273" s="2" t="s">
        <v>965</v>
      </c>
    </row>
    <row r="274" spans="1:17" x14ac:dyDescent="0.25">
      <c r="A274" s="14" t="s">
        <v>967</v>
      </c>
      <c r="C274" s="2" t="s">
        <v>966</v>
      </c>
      <c r="D274" s="2" t="s">
        <v>968</v>
      </c>
      <c r="E274" s="2" t="s">
        <v>969</v>
      </c>
      <c r="F274" s="2" t="s">
        <v>970</v>
      </c>
      <c r="G274" s="2" t="s">
        <v>971</v>
      </c>
    </row>
    <row r="275" spans="1:17" x14ac:dyDescent="0.25">
      <c r="A275" s="14" t="s">
        <v>973</v>
      </c>
      <c r="C275" s="2" t="s">
        <v>972</v>
      </c>
      <c r="D275" s="2" t="s">
        <v>974</v>
      </c>
      <c r="E275" s="2" t="s">
        <v>975</v>
      </c>
      <c r="F275" s="2" t="s">
        <v>976</v>
      </c>
      <c r="G275" s="2" t="s">
        <v>977</v>
      </c>
    </row>
    <row r="276" spans="1:17" x14ac:dyDescent="0.25">
      <c r="A276" s="14" t="s">
        <v>979</v>
      </c>
      <c r="C276" s="2" t="s">
        <v>978</v>
      </c>
      <c r="D276" s="2" t="s">
        <v>980</v>
      </c>
      <c r="E276" s="2" t="s">
        <v>981</v>
      </c>
      <c r="F276" s="2" t="s">
        <v>982</v>
      </c>
      <c r="G276" s="2" t="s">
        <v>983</v>
      </c>
    </row>
    <row r="277" spans="1:17" s="1" customFormat="1" x14ac:dyDescent="0.25">
      <c r="A277" s="1" t="s">
        <v>984</v>
      </c>
      <c r="B277" s="2"/>
      <c r="C277" s="2"/>
      <c r="D277" s="2"/>
      <c r="E277" s="2"/>
      <c r="F277" s="2"/>
      <c r="G277" s="2"/>
      <c r="H277" s="2"/>
      <c r="I277" s="2"/>
      <c r="J277" s="2"/>
      <c r="K277" s="2"/>
      <c r="L277" s="2"/>
      <c r="M277" s="2"/>
      <c r="N277" s="2"/>
      <c r="O277" s="2"/>
      <c r="P277" s="2"/>
      <c r="Q277" s="2"/>
    </row>
    <row r="278" spans="1:17" s="1" customFormat="1" x14ac:dyDescent="0.25">
      <c r="A278" s="2" t="s">
        <v>89</v>
      </c>
      <c r="B278" s="2" t="s">
        <v>1027</v>
      </c>
    </row>
    <row r="279" spans="1:17" s="1" customFormat="1" x14ac:dyDescent="0.25">
      <c r="A279" s="2" t="s">
        <v>90</v>
      </c>
      <c r="B279" s="2" t="s">
        <v>1028</v>
      </c>
    </row>
    <row r="280" spans="1:17" s="1" customFormat="1" x14ac:dyDescent="0.25">
      <c r="A280" s="2" t="s">
        <v>91</v>
      </c>
      <c r="B280" s="2" t="s">
        <v>1029</v>
      </c>
    </row>
    <row r="281" spans="1:17" s="1" customFormat="1" x14ac:dyDescent="0.25">
      <c r="A281" s="2" t="s">
        <v>92</v>
      </c>
      <c r="B281" s="2" t="s">
        <v>95</v>
      </c>
    </row>
    <row r="282" spans="1:17" s="1" customFormat="1" x14ac:dyDescent="0.25">
      <c r="A282" s="14" t="s">
        <v>87</v>
      </c>
      <c r="E282" s="2" t="s">
        <v>1038</v>
      </c>
      <c r="F282" s="2" t="s">
        <v>1039</v>
      </c>
      <c r="G282" s="2" t="s">
        <v>1040</v>
      </c>
    </row>
    <row r="283" spans="1:17" x14ac:dyDescent="0.25">
      <c r="A283" s="14" t="s">
        <v>88</v>
      </c>
      <c r="B283" s="1"/>
      <c r="C283" s="1"/>
      <c r="D283" s="1"/>
      <c r="E283" s="2" t="s">
        <v>1041</v>
      </c>
      <c r="F283" s="2" t="s">
        <v>1042</v>
      </c>
      <c r="G283" s="2" t="s">
        <v>1043</v>
      </c>
      <c r="H283" s="1"/>
      <c r="I283" s="1"/>
      <c r="J283" s="1"/>
      <c r="K283" s="1"/>
      <c r="L283" s="1"/>
      <c r="M283" s="1"/>
      <c r="N283" s="1"/>
      <c r="O283" s="1"/>
      <c r="P283" s="1"/>
      <c r="Q283" s="1"/>
    </row>
    <row r="284" spans="1:17" x14ac:dyDescent="0.25">
      <c r="A284" s="14" t="s">
        <v>986</v>
      </c>
      <c r="C284" s="2" t="s">
        <v>985</v>
      </c>
      <c r="D284" s="2" t="s">
        <v>987</v>
      </c>
      <c r="E284" s="2" t="s">
        <v>988</v>
      </c>
      <c r="F284" s="2" t="s">
        <v>989</v>
      </c>
      <c r="G284" s="2" t="s">
        <v>990</v>
      </c>
      <c r="H284" s="2" t="s">
        <v>991</v>
      </c>
      <c r="I284" s="2" t="s">
        <v>992</v>
      </c>
      <c r="J284" s="2" t="s">
        <v>993</v>
      </c>
      <c r="K284" s="2" t="s">
        <v>994</v>
      </c>
    </row>
    <row r="285" spans="1:17" x14ac:dyDescent="0.25">
      <c r="A285" s="14" t="s">
        <v>996</v>
      </c>
      <c r="C285" s="2" t="s">
        <v>995</v>
      </c>
      <c r="D285" s="2" t="s">
        <v>997</v>
      </c>
      <c r="E285" s="2" t="s">
        <v>998</v>
      </c>
      <c r="F285" s="2" t="s">
        <v>999</v>
      </c>
      <c r="G285" s="2" t="s">
        <v>1000</v>
      </c>
    </row>
    <row r="286" spans="1:17" x14ac:dyDescent="0.25">
      <c r="A286" s="14" t="s">
        <v>1002</v>
      </c>
      <c r="C286" s="2" t="s">
        <v>1001</v>
      </c>
      <c r="D286" s="2" t="s">
        <v>1003</v>
      </c>
      <c r="E286" s="2" t="s">
        <v>1004</v>
      </c>
      <c r="F286" s="2" t="s">
        <v>1005</v>
      </c>
      <c r="G286" s="2" t="s">
        <v>1006</v>
      </c>
    </row>
    <row r="287" spans="1:17" x14ac:dyDescent="0.25">
      <c r="A287" s="14" t="s">
        <v>1008</v>
      </c>
      <c r="C287" s="2" t="s">
        <v>1007</v>
      </c>
      <c r="D287" s="2" t="s">
        <v>1009</v>
      </c>
      <c r="E287" s="2" t="s">
        <v>1010</v>
      </c>
      <c r="F287" s="2" t="s">
        <v>1011</v>
      </c>
      <c r="G287" s="2" t="s">
        <v>1012</v>
      </c>
    </row>
    <row r="288" spans="1:17" x14ac:dyDescent="0.25">
      <c r="A288" s="14" t="s">
        <v>1014</v>
      </c>
      <c r="C288" s="2" t="s">
        <v>1013</v>
      </c>
      <c r="D288" s="2" t="s">
        <v>1015</v>
      </c>
      <c r="E288" s="2" t="s">
        <v>1016</v>
      </c>
      <c r="F288" s="2" t="s">
        <v>1017</v>
      </c>
      <c r="G288" s="2" t="s">
        <v>1018</v>
      </c>
    </row>
    <row r="289" spans="1:17" x14ac:dyDescent="0.25">
      <c r="A289" s="14" t="s">
        <v>1020</v>
      </c>
      <c r="C289" s="2" t="s">
        <v>1019</v>
      </c>
      <c r="D289" s="2" t="s">
        <v>1021</v>
      </c>
      <c r="E289" s="2" t="s">
        <v>1022</v>
      </c>
      <c r="F289" s="2" t="s">
        <v>1023</v>
      </c>
      <c r="G289" s="2" t="s">
        <v>1024</v>
      </c>
    </row>
    <row r="291" spans="1:17" s="1" customFormat="1" x14ac:dyDescent="0.25">
      <c r="B291" s="2"/>
      <c r="C291" s="2" t="s">
        <v>746</v>
      </c>
      <c r="D291" s="2" t="s">
        <v>499</v>
      </c>
      <c r="E291" s="2" t="s">
        <v>1075</v>
      </c>
      <c r="F291" s="2" t="s">
        <v>119</v>
      </c>
      <c r="G291" s="2" t="s">
        <v>118</v>
      </c>
      <c r="H291" s="2"/>
      <c r="I291" s="2"/>
      <c r="J291" s="2"/>
      <c r="K291" s="2"/>
      <c r="L291" s="2"/>
      <c r="M291" s="2"/>
      <c r="N291" s="2"/>
      <c r="O291" s="2"/>
      <c r="P291" s="2"/>
      <c r="Q291" s="2"/>
    </row>
    <row r="292" spans="1:17" s="1" customFormat="1" x14ac:dyDescent="0.25">
      <c r="A292" s="1" t="s">
        <v>1072</v>
      </c>
      <c r="C292" s="1" t="s">
        <v>755</v>
      </c>
      <c r="D292" s="1" t="s">
        <v>1073</v>
      </c>
      <c r="E292" s="1" t="s">
        <v>1076</v>
      </c>
      <c r="F292" s="1" t="s">
        <v>1074</v>
      </c>
      <c r="G292" s="1" t="s">
        <v>1071</v>
      </c>
    </row>
    <row r="293" spans="1:17" x14ac:dyDescent="0.25">
      <c r="A293" s="1" t="s">
        <v>542</v>
      </c>
      <c r="B293" s="1"/>
      <c r="C293" s="1"/>
      <c r="D293" s="1"/>
      <c r="E293" s="1"/>
      <c r="F293" s="1"/>
      <c r="G293" s="1"/>
      <c r="H293" s="1"/>
      <c r="I293" s="1"/>
      <c r="J293" s="1"/>
      <c r="K293" s="1"/>
      <c r="L293" s="1"/>
      <c r="M293" s="1"/>
      <c r="N293" s="1"/>
      <c r="O293" s="1"/>
      <c r="P293" s="1"/>
      <c r="Q293" s="1"/>
    </row>
    <row r="294" spans="1:17" x14ac:dyDescent="0.25">
      <c r="A294" s="2" t="s">
        <v>1329</v>
      </c>
      <c r="C294" s="2" t="s">
        <v>1330</v>
      </c>
      <c r="D294" s="2" t="s">
        <v>24</v>
      </c>
      <c r="F294" s="2" t="s">
        <v>1631</v>
      </c>
    </row>
    <row r="295" spans="1:17" x14ac:dyDescent="0.25">
      <c r="A295" s="2" t="s">
        <v>1331</v>
      </c>
      <c r="C295" s="2" t="s">
        <v>1332</v>
      </c>
      <c r="D295" s="2" t="s">
        <v>25</v>
      </c>
      <c r="F295" s="2" t="s">
        <v>1632</v>
      </c>
      <c r="G295" s="2" t="s">
        <v>1633</v>
      </c>
    </row>
    <row r="296" spans="1:17" x14ac:dyDescent="0.25">
      <c r="A296" s="2" t="s">
        <v>1333</v>
      </c>
      <c r="C296" s="2" t="s">
        <v>1334</v>
      </c>
      <c r="D296" s="2" t="s">
        <v>28</v>
      </c>
    </row>
    <row r="297" spans="1:17" x14ac:dyDescent="0.25">
      <c r="A297" s="2" t="s">
        <v>1335</v>
      </c>
      <c r="C297" s="2" t="s">
        <v>1336</v>
      </c>
      <c r="D297" s="2" t="s">
        <v>30</v>
      </c>
    </row>
    <row r="298" spans="1:17" x14ac:dyDescent="0.25">
      <c r="A298" s="2" t="s">
        <v>1337</v>
      </c>
      <c r="C298" s="2" t="s">
        <v>1338</v>
      </c>
      <c r="D298" s="2" t="s">
        <v>31</v>
      </c>
      <c r="F298" s="2" t="s">
        <v>1634</v>
      </c>
    </row>
    <row r="299" spans="1:17" x14ac:dyDescent="0.25">
      <c r="A299" s="2" t="s">
        <v>1339</v>
      </c>
      <c r="C299" s="2" t="s">
        <v>1340</v>
      </c>
      <c r="E299" s="2" t="s">
        <v>33</v>
      </c>
    </row>
    <row r="300" spans="1:17" x14ac:dyDescent="0.25">
      <c r="A300" s="2" t="s">
        <v>1341</v>
      </c>
      <c r="C300" s="2" t="s">
        <v>1342</v>
      </c>
      <c r="E300" s="2" t="s">
        <v>32</v>
      </c>
    </row>
    <row r="301" spans="1:17" x14ac:dyDescent="0.25">
      <c r="A301" s="2" t="s">
        <v>1343</v>
      </c>
      <c r="C301" s="2" t="s">
        <v>1344</v>
      </c>
      <c r="D301" s="2" t="s">
        <v>29</v>
      </c>
    </row>
    <row r="302" spans="1:17" x14ac:dyDescent="0.25">
      <c r="A302" s="2" t="s">
        <v>1345</v>
      </c>
      <c r="C302" s="2" t="s">
        <v>1346</v>
      </c>
      <c r="D302" s="2" t="s">
        <v>26</v>
      </c>
    </row>
    <row r="303" spans="1:17" x14ac:dyDescent="0.25">
      <c r="A303" s="2" t="s">
        <v>1347</v>
      </c>
      <c r="C303" s="2" t="s">
        <v>1348</v>
      </c>
      <c r="E303" s="2" t="s">
        <v>34</v>
      </c>
    </row>
    <row r="304" spans="1:17" x14ac:dyDescent="0.25">
      <c r="A304" s="2" t="s">
        <v>1349</v>
      </c>
      <c r="C304" s="2" t="s">
        <v>1350</v>
      </c>
      <c r="E304" s="2" t="s">
        <v>35</v>
      </c>
    </row>
    <row r="305" spans="1:6" x14ac:dyDescent="0.25">
      <c r="A305" s="2" t="s">
        <v>1351</v>
      </c>
      <c r="C305" s="2" t="s">
        <v>1352</v>
      </c>
      <c r="E305" s="2" t="s">
        <v>36</v>
      </c>
    </row>
    <row r="306" spans="1:6" x14ac:dyDescent="0.25">
      <c r="A306" s="2" t="s">
        <v>1353</v>
      </c>
      <c r="C306" s="2" t="s">
        <v>1354</v>
      </c>
      <c r="D306" s="2" t="s">
        <v>27</v>
      </c>
    </row>
    <row r="307" spans="1:6" x14ac:dyDescent="0.25">
      <c r="A307" s="2" t="s">
        <v>1355</v>
      </c>
      <c r="C307" s="2" t="s">
        <v>1356</v>
      </c>
      <c r="D307" s="2" t="s">
        <v>37</v>
      </c>
    </row>
    <row r="308" spans="1:6" x14ac:dyDescent="0.25">
      <c r="A308" s="2" t="s">
        <v>1357</v>
      </c>
      <c r="C308" s="2" t="s">
        <v>1358</v>
      </c>
      <c r="D308" s="2" t="s">
        <v>38</v>
      </c>
    </row>
    <row r="309" spans="1:6" x14ac:dyDescent="0.25">
      <c r="A309" s="1" t="s">
        <v>549</v>
      </c>
    </row>
    <row r="310" spans="1:6" x14ac:dyDescent="0.25">
      <c r="A310" s="2" t="s">
        <v>1359</v>
      </c>
      <c r="C310" s="2" t="s">
        <v>1360</v>
      </c>
      <c r="D310" s="2" t="s">
        <v>1548</v>
      </c>
    </row>
    <row r="311" spans="1:6" x14ac:dyDescent="0.25">
      <c r="A311" s="2" t="s">
        <v>1361</v>
      </c>
      <c r="C311" s="2" t="s">
        <v>1362</v>
      </c>
      <c r="D311" s="2" t="s">
        <v>1549</v>
      </c>
      <c r="F311" s="2" t="s">
        <v>1635</v>
      </c>
    </row>
    <row r="312" spans="1:6" x14ac:dyDescent="0.25">
      <c r="A312" s="2" t="s">
        <v>1363</v>
      </c>
      <c r="C312" s="2" t="s">
        <v>1364</v>
      </c>
      <c r="D312" s="2" t="s">
        <v>1595</v>
      </c>
    </row>
    <row r="313" spans="1:6" x14ac:dyDescent="0.25">
      <c r="A313" s="2" t="s">
        <v>1365</v>
      </c>
      <c r="C313" s="2" t="s">
        <v>1366</v>
      </c>
      <c r="D313" s="2" t="s">
        <v>1550</v>
      </c>
    </row>
    <row r="314" spans="1:6" x14ac:dyDescent="0.25">
      <c r="A314" s="2" t="s">
        <v>1367</v>
      </c>
      <c r="C314" s="2" t="s">
        <v>1368</v>
      </c>
      <c r="E314" s="2" t="s">
        <v>1552</v>
      </c>
    </row>
    <row r="315" spans="1:6" x14ac:dyDescent="0.25">
      <c r="A315" s="2" t="s">
        <v>1369</v>
      </c>
      <c r="C315" s="2" t="s">
        <v>1370</v>
      </c>
      <c r="D315" s="2" t="s">
        <v>1553</v>
      </c>
    </row>
    <row r="316" spans="1:6" x14ac:dyDescent="0.25">
      <c r="A316" s="2" t="s">
        <v>1371</v>
      </c>
      <c r="C316" s="2" t="s">
        <v>1372</v>
      </c>
      <c r="D316" s="2" t="s">
        <v>1554</v>
      </c>
      <c r="F316" s="2" t="s">
        <v>1636</v>
      </c>
    </row>
    <row r="317" spans="1:6" x14ac:dyDescent="0.25">
      <c r="A317" s="2" t="s">
        <v>1373</v>
      </c>
      <c r="C317" s="2" t="s">
        <v>1374</v>
      </c>
      <c r="E317" s="2" t="s">
        <v>1556</v>
      </c>
    </row>
    <row r="318" spans="1:6" x14ac:dyDescent="0.25">
      <c r="A318" s="2" t="s">
        <v>1375</v>
      </c>
      <c r="C318" s="2" t="s">
        <v>1376</v>
      </c>
      <c r="E318" s="2" t="s">
        <v>1555</v>
      </c>
    </row>
    <row r="319" spans="1:6" x14ac:dyDescent="0.25">
      <c r="A319" s="2" t="s">
        <v>1377</v>
      </c>
      <c r="C319" s="2" t="s">
        <v>1378</v>
      </c>
      <c r="D319" s="2" t="s">
        <v>1551</v>
      </c>
    </row>
    <row r="320" spans="1:6" x14ac:dyDescent="0.25">
      <c r="A320" s="2" t="s">
        <v>1379</v>
      </c>
      <c r="C320" s="2" t="s">
        <v>1380</v>
      </c>
      <c r="D320" s="2" t="s">
        <v>1596</v>
      </c>
    </row>
    <row r="321" spans="1:6" x14ac:dyDescent="0.25">
      <c r="A321" s="2" t="s">
        <v>1381</v>
      </c>
      <c r="C321" s="2" t="s">
        <v>1382</v>
      </c>
      <c r="E321" s="2" t="s">
        <v>1599</v>
      </c>
    </row>
    <row r="322" spans="1:6" x14ac:dyDescent="0.25">
      <c r="A322" s="2" t="s">
        <v>1383</v>
      </c>
      <c r="C322" s="2" t="s">
        <v>1384</v>
      </c>
      <c r="E322" s="2" t="s">
        <v>1602</v>
      </c>
    </row>
    <row r="323" spans="1:6" x14ac:dyDescent="0.25">
      <c r="A323" s="2" t="s">
        <v>1385</v>
      </c>
      <c r="C323" s="2" t="s">
        <v>1386</v>
      </c>
      <c r="E323" s="2" t="s">
        <v>1557</v>
      </c>
    </row>
    <row r="324" spans="1:6" x14ac:dyDescent="0.25">
      <c r="A324" s="2" t="s">
        <v>1387</v>
      </c>
      <c r="C324" s="2" t="s">
        <v>1388</v>
      </c>
      <c r="D324" s="2" t="s">
        <v>1597</v>
      </c>
    </row>
    <row r="325" spans="1:6" x14ac:dyDescent="0.25">
      <c r="A325" s="2" t="s">
        <v>1389</v>
      </c>
      <c r="C325" s="2" t="s">
        <v>1390</v>
      </c>
      <c r="D325" s="2" t="s">
        <v>1558</v>
      </c>
    </row>
    <row r="326" spans="1:6" x14ac:dyDescent="0.25">
      <c r="A326" s="2" t="s">
        <v>1391</v>
      </c>
      <c r="C326" s="2" t="s">
        <v>1392</v>
      </c>
      <c r="D326" s="2" t="s">
        <v>1559</v>
      </c>
    </row>
    <row r="327" spans="1:6" x14ac:dyDescent="0.25">
      <c r="A327" s="1" t="s">
        <v>559</v>
      </c>
    </row>
    <row r="328" spans="1:6" x14ac:dyDescent="0.25">
      <c r="A328" s="2" t="s">
        <v>1393</v>
      </c>
      <c r="C328" s="2" t="s">
        <v>1394</v>
      </c>
      <c r="D328" s="2" t="s">
        <v>1565</v>
      </c>
    </row>
    <row r="329" spans="1:6" x14ac:dyDescent="0.25">
      <c r="A329" s="2" t="s">
        <v>1395</v>
      </c>
      <c r="C329" s="2" t="s">
        <v>1396</v>
      </c>
      <c r="D329" s="2" t="s">
        <v>1566</v>
      </c>
      <c r="F329" s="2" t="s">
        <v>1637</v>
      </c>
    </row>
    <row r="330" spans="1:6" x14ac:dyDescent="0.25">
      <c r="A330" s="2" t="s">
        <v>1397</v>
      </c>
      <c r="C330" s="2" t="s">
        <v>1398</v>
      </c>
      <c r="D330" s="2" t="s">
        <v>1611</v>
      </c>
    </row>
    <row r="331" spans="1:6" x14ac:dyDescent="0.25">
      <c r="A331" s="2" t="s">
        <v>1399</v>
      </c>
      <c r="C331" s="2" t="s">
        <v>1400</v>
      </c>
      <c r="D331" s="2" t="s">
        <v>1567</v>
      </c>
    </row>
    <row r="332" spans="1:6" x14ac:dyDescent="0.25">
      <c r="A332" s="2" t="s">
        <v>1401</v>
      </c>
      <c r="C332" s="2" t="s">
        <v>1402</v>
      </c>
      <c r="E332" s="2" t="s">
        <v>1569</v>
      </c>
    </row>
    <row r="333" spans="1:6" x14ac:dyDescent="0.25">
      <c r="A333" s="2" t="s">
        <v>1403</v>
      </c>
      <c r="C333" s="2" t="s">
        <v>1404</v>
      </c>
      <c r="D333" s="2" t="s">
        <v>1570</v>
      </c>
    </row>
    <row r="334" spans="1:6" x14ac:dyDescent="0.25">
      <c r="A334" s="2" t="s">
        <v>1405</v>
      </c>
      <c r="C334" s="2" t="s">
        <v>1406</v>
      </c>
      <c r="D334" s="2" t="s">
        <v>1571</v>
      </c>
      <c r="F334" s="2" t="s">
        <v>1638</v>
      </c>
    </row>
    <row r="335" spans="1:6" x14ac:dyDescent="0.25">
      <c r="A335" s="2" t="s">
        <v>1407</v>
      </c>
      <c r="C335" s="2" t="s">
        <v>1408</v>
      </c>
      <c r="E335" s="2" t="s">
        <v>1573</v>
      </c>
    </row>
    <row r="336" spans="1:6" x14ac:dyDescent="0.25">
      <c r="A336" s="2" t="s">
        <v>1409</v>
      </c>
      <c r="C336" s="2" t="s">
        <v>1410</v>
      </c>
      <c r="E336" s="2" t="s">
        <v>1572</v>
      </c>
    </row>
    <row r="337" spans="1:5" x14ac:dyDescent="0.25">
      <c r="A337" s="2" t="s">
        <v>1411</v>
      </c>
      <c r="C337" s="2" t="s">
        <v>1412</v>
      </c>
      <c r="D337" s="2" t="s">
        <v>1568</v>
      </c>
    </row>
    <row r="338" spans="1:5" x14ac:dyDescent="0.25">
      <c r="A338" s="2" t="s">
        <v>1413</v>
      </c>
      <c r="C338" s="2" t="s">
        <v>1414</v>
      </c>
      <c r="D338" s="2" t="s">
        <v>1612</v>
      </c>
    </row>
    <row r="339" spans="1:5" x14ac:dyDescent="0.25">
      <c r="A339" s="2" t="s">
        <v>1415</v>
      </c>
      <c r="C339" s="2" t="s">
        <v>1416</v>
      </c>
      <c r="E339" s="2" t="s">
        <v>1600</v>
      </c>
    </row>
    <row r="340" spans="1:5" x14ac:dyDescent="0.25">
      <c r="A340" s="2" t="s">
        <v>1417</v>
      </c>
      <c r="C340" s="2" t="s">
        <v>1418</v>
      </c>
      <c r="E340" s="2" t="s">
        <v>1250</v>
      </c>
    </row>
    <row r="341" spans="1:5" x14ac:dyDescent="0.25">
      <c r="A341" s="2" t="s">
        <v>1419</v>
      </c>
      <c r="C341" s="2" t="s">
        <v>1420</v>
      </c>
      <c r="E341" s="2" t="s">
        <v>1574</v>
      </c>
    </row>
    <row r="342" spans="1:5" x14ac:dyDescent="0.25">
      <c r="A342" s="2" t="s">
        <v>1421</v>
      </c>
      <c r="C342" s="2" t="s">
        <v>1422</v>
      </c>
      <c r="D342" s="2" t="s">
        <v>1613</v>
      </c>
    </row>
    <row r="343" spans="1:5" x14ac:dyDescent="0.25">
      <c r="A343" s="2" t="s">
        <v>1423</v>
      </c>
      <c r="C343" s="2" t="s">
        <v>1424</v>
      </c>
      <c r="D343" s="2" t="s">
        <v>1575</v>
      </c>
    </row>
    <row r="344" spans="1:5" x14ac:dyDescent="0.25">
      <c r="A344" s="2" t="s">
        <v>1425</v>
      </c>
      <c r="C344" s="2" t="s">
        <v>1426</v>
      </c>
      <c r="D344" s="2" t="s">
        <v>1576</v>
      </c>
    </row>
    <row r="345" spans="1:5" x14ac:dyDescent="0.25">
      <c r="A345" s="1" t="s">
        <v>686</v>
      </c>
    </row>
    <row r="346" spans="1:5" x14ac:dyDescent="0.25">
      <c r="A346" s="2" t="s">
        <v>1427</v>
      </c>
      <c r="C346" s="2" t="s">
        <v>1428</v>
      </c>
      <c r="D346" s="2" t="s">
        <v>1614</v>
      </c>
    </row>
    <row r="347" spans="1:5" x14ac:dyDescent="0.25">
      <c r="A347" s="2" t="s">
        <v>1429</v>
      </c>
      <c r="C347" s="2" t="s">
        <v>1430</v>
      </c>
      <c r="D347" s="2" t="s">
        <v>1615</v>
      </c>
    </row>
    <row r="348" spans="1:5" x14ac:dyDescent="0.25">
      <c r="A348" s="2" t="s">
        <v>1431</v>
      </c>
      <c r="C348" s="2" t="s">
        <v>1432</v>
      </c>
      <c r="D348" s="2" t="s">
        <v>1621</v>
      </c>
    </row>
    <row r="349" spans="1:5" x14ac:dyDescent="0.25">
      <c r="A349" s="2" t="s">
        <v>1433</v>
      </c>
      <c r="C349" s="2" t="s">
        <v>1434</v>
      </c>
      <c r="D349" s="2" t="s">
        <v>1435</v>
      </c>
    </row>
    <row r="350" spans="1:5" x14ac:dyDescent="0.25">
      <c r="A350" s="2" t="s">
        <v>1436</v>
      </c>
      <c r="C350" s="2" t="s">
        <v>1437</v>
      </c>
      <c r="E350" s="2" t="s">
        <v>1516</v>
      </c>
    </row>
    <row r="351" spans="1:5" x14ac:dyDescent="0.25">
      <c r="A351" s="2" t="s">
        <v>1438</v>
      </c>
      <c r="C351" s="2" t="s">
        <v>1439</v>
      </c>
      <c r="D351" s="2" t="s">
        <v>1617</v>
      </c>
    </row>
    <row r="352" spans="1:5" x14ac:dyDescent="0.25">
      <c r="A352" s="2" t="s">
        <v>1440</v>
      </c>
      <c r="C352" s="2" t="s">
        <v>1441</v>
      </c>
      <c r="D352" s="2" t="s">
        <v>1618</v>
      </c>
    </row>
    <row r="353" spans="1:5" x14ac:dyDescent="0.25">
      <c r="A353" s="2" t="s">
        <v>1442</v>
      </c>
      <c r="C353" s="2" t="s">
        <v>1443</v>
      </c>
      <c r="E353" s="2" t="s">
        <v>1518</v>
      </c>
    </row>
    <row r="354" spans="1:5" x14ac:dyDescent="0.25">
      <c r="A354" s="2" t="s">
        <v>1444</v>
      </c>
      <c r="C354" s="2" t="s">
        <v>1445</v>
      </c>
      <c r="E354" s="2" t="s">
        <v>1517</v>
      </c>
    </row>
    <row r="355" spans="1:5" x14ac:dyDescent="0.25">
      <c r="A355" s="2" t="s">
        <v>1446</v>
      </c>
      <c r="C355" s="2" t="s">
        <v>1447</v>
      </c>
      <c r="D355" s="2" t="s">
        <v>1616</v>
      </c>
    </row>
    <row r="356" spans="1:5" x14ac:dyDescent="0.25">
      <c r="A356" s="2" t="s">
        <v>1448</v>
      </c>
      <c r="C356" s="2" t="s">
        <v>1449</v>
      </c>
      <c r="D356" s="2" t="s">
        <v>0</v>
      </c>
    </row>
    <row r="357" spans="1:5" x14ac:dyDescent="0.25">
      <c r="A357" s="2" t="s">
        <v>1450</v>
      </c>
      <c r="C357" s="2" t="s">
        <v>1451</v>
      </c>
      <c r="E357" s="2" t="s">
        <v>1601</v>
      </c>
    </row>
    <row r="358" spans="1:5" x14ac:dyDescent="0.25">
      <c r="A358" s="2" t="s">
        <v>1452</v>
      </c>
      <c r="C358" s="2" t="s">
        <v>1453</v>
      </c>
      <c r="E358" s="2" t="s">
        <v>1542</v>
      </c>
    </row>
    <row r="359" spans="1:5" x14ac:dyDescent="0.25">
      <c r="A359" s="2" t="s">
        <v>1454</v>
      </c>
      <c r="C359" s="2" t="s">
        <v>1455</v>
      </c>
      <c r="E359" s="2" t="s">
        <v>1519</v>
      </c>
    </row>
    <row r="360" spans="1:5" x14ac:dyDescent="0.25">
      <c r="A360" s="2" t="s">
        <v>1456</v>
      </c>
      <c r="C360" s="2" t="s">
        <v>1457</v>
      </c>
      <c r="D360" s="2" t="s">
        <v>1</v>
      </c>
    </row>
    <row r="361" spans="1:5" x14ac:dyDescent="0.25">
      <c r="A361" s="2" t="s">
        <v>1458</v>
      </c>
      <c r="C361" s="2" t="s">
        <v>1459</v>
      </c>
      <c r="D361" s="2" t="s">
        <v>1619</v>
      </c>
    </row>
    <row r="362" spans="1:5" x14ac:dyDescent="0.25">
      <c r="A362" s="2" t="s">
        <v>1460</v>
      </c>
      <c r="C362" s="2" t="s">
        <v>1461</v>
      </c>
      <c r="D362" s="2" t="s">
        <v>1620</v>
      </c>
    </row>
    <row r="364" spans="1:5" x14ac:dyDescent="0.25">
      <c r="A364" s="1" t="s">
        <v>67</v>
      </c>
    </row>
    <row r="365" spans="1:5" x14ac:dyDescent="0.25">
      <c r="A365" s="2" t="s">
        <v>1463</v>
      </c>
      <c r="B365" s="2" t="s">
        <v>1111</v>
      </c>
    </row>
    <row r="366" spans="1:5" x14ac:dyDescent="0.25">
      <c r="A366" s="2" t="s">
        <v>1464</v>
      </c>
      <c r="B366" s="2" t="s">
        <v>1112</v>
      </c>
      <c r="C366" s="2" t="s">
        <v>549</v>
      </c>
      <c r="D366" s="2" t="s">
        <v>559</v>
      </c>
      <c r="E366" s="2" t="s">
        <v>1231</v>
      </c>
    </row>
    <row r="367" spans="1:5" x14ac:dyDescent="0.25">
      <c r="A367" s="2" t="s">
        <v>1561</v>
      </c>
      <c r="B367" s="2" t="s">
        <v>1163</v>
      </c>
      <c r="C367" s="2" t="s">
        <v>1591</v>
      </c>
      <c r="D367" s="2" t="s">
        <v>1607</v>
      </c>
      <c r="E367" s="2" t="s">
        <v>1465</v>
      </c>
    </row>
    <row r="368" spans="1:5" x14ac:dyDescent="0.25">
      <c r="A368" s="2" t="s">
        <v>1466</v>
      </c>
      <c r="B368" s="2" t="s">
        <v>1164</v>
      </c>
      <c r="C368" s="2" t="s">
        <v>1592</v>
      </c>
      <c r="D368" s="2" t="s">
        <v>1608</v>
      </c>
    </row>
    <row r="369" spans="1:7" x14ac:dyDescent="0.25">
      <c r="A369" s="2" t="s">
        <v>1467</v>
      </c>
      <c r="B369" s="2" t="s">
        <v>1165</v>
      </c>
    </row>
    <row r="370" spans="1:7" x14ac:dyDescent="0.25">
      <c r="A370" s="2" t="s">
        <v>1562</v>
      </c>
      <c r="B370" s="2" t="s">
        <v>1166</v>
      </c>
      <c r="C370" s="2" t="s">
        <v>1593</v>
      </c>
      <c r="D370" s="2" t="s">
        <v>1609</v>
      </c>
    </row>
    <row r="371" spans="1:7" x14ac:dyDescent="0.25">
      <c r="A371" s="2" t="s">
        <v>1563</v>
      </c>
      <c r="B371" s="2" t="s">
        <v>1167</v>
      </c>
      <c r="C371" s="2" t="s">
        <v>1594</v>
      </c>
      <c r="D371" s="2" t="s">
        <v>1610</v>
      </c>
    </row>
    <row r="372" spans="1:7" x14ac:dyDescent="0.25">
      <c r="A372" s="2" t="s">
        <v>1564</v>
      </c>
      <c r="B372" s="2" t="s">
        <v>1168</v>
      </c>
    </row>
    <row r="373" spans="1:7" x14ac:dyDescent="0.25">
      <c r="A373" s="2" t="s">
        <v>1468</v>
      </c>
      <c r="B373" s="2" t="s">
        <v>1169</v>
      </c>
    </row>
    <row r="374" spans="1:7" x14ac:dyDescent="0.25">
      <c r="A374" s="2" t="s">
        <v>1469</v>
      </c>
      <c r="B374" s="2" t="s">
        <v>1170</v>
      </c>
    </row>
    <row r="375" spans="1:7" x14ac:dyDescent="0.25">
      <c r="A375" s="2" t="s">
        <v>1508</v>
      </c>
      <c r="B375" s="2" t="s">
        <v>1171</v>
      </c>
    </row>
    <row r="376" spans="1:7" x14ac:dyDescent="0.25">
      <c r="A376" s="2" t="s">
        <v>1509</v>
      </c>
      <c r="B376" s="2" t="s">
        <v>1172</v>
      </c>
    </row>
    <row r="377" spans="1:7" x14ac:dyDescent="0.25">
      <c r="A377" s="2" t="s">
        <v>1510</v>
      </c>
      <c r="B377" s="2" t="s">
        <v>1173</v>
      </c>
    </row>
    <row r="378" spans="1:7" x14ac:dyDescent="0.25">
      <c r="A378" s="2" t="s">
        <v>1511</v>
      </c>
      <c r="B378" s="2" t="s">
        <v>1174</v>
      </c>
    </row>
    <row r="379" spans="1:7" x14ac:dyDescent="0.25">
      <c r="A379" s="2" t="s">
        <v>1512</v>
      </c>
      <c r="B379" s="2" t="s">
        <v>1175</v>
      </c>
    </row>
    <row r="380" spans="1:7" x14ac:dyDescent="0.25">
      <c r="A380" s="2" t="s">
        <v>1470</v>
      </c>
      <c r="B380" s="2" t="s">
        <v>1176</v>
      </c>
    </row>
    <row r="381" spans="1:7" x14ac:dyDescent="0.25">
      <c r="A381" s="2" t="s">
        <v>1507</v>
      </c>
      <c r="B381" s="2" t="s">
        <v>1177</v>
      </c>
    </row>
    <row r="382" spans="1:7" x14ac:dyDescent="0.25">
      <c r="A382" s="2" t="s">
        <v>1240</v>
      </c>
      <c r="B382" s="2" t="s">
        <v>1178</v>
      </c>
    </row>
    <row r="383" spans="1:7" x14ac:dyDescent="0.25">
      <c r="A383" s="2" t="s">
        <v>1241</v>
      </c>
      <c r="B383" s="2" t="s">
        <v>1179</v>
      </c>
    </row>
    <row r="384" spans="1:7" x14ac:dyDescent="0.25">
      <c r="A384" s="2" t="s">
        <v>1242</v>
      </c>
      <c r="B384" s="2" t="s">
        <v>1180</v>
      </c>
      <c r="C384" s="1" t="s">
        <v>68</v>
      </c>
      <c r="D384" s="1" t="s">
        <v>69</v>
      </c>
      <c r="E384" s="1" t="s">
        <v>70</v>
      </c>
      <c r="F384" s="1" t="s">
        <v>73</v>
      </c>
      <c r="G384" s="1" t="s">
        <v>74</v>
      </c>
    </row>
    <row r="385" spans="1:17" x14ac:dyDescent="0.25">
      <c r="A385" s="2" t="s">
        <v>1471</v>
      </c>
      <c r="C385" s="14" t="s">
        <v>1113</v>
      </c>
      <c r="D385" s="14" t="s">
        <v>1123</v>
      </c>
      <c r="E385" s="14" t="s">
        <v>1133</v>
      </c>
      <c r="F385" s="14" t="s">
        <v>1143</v>
      </c>
      <c r="G385" s="14" t="s">
        <v>1153</v>
      </c>
    </row>
    <row r="386" spans="1:17" x14ac:dyDescent="0.25">
      <c r="A386" s="2" t="s">
        <v>1472</v>
      </c>
      <c r="B386" s="15" t="s">
        <v>1690</v>
      </c>
      <c r="C386" s="14" t="s">
        <v>1114</v>
      </c>
      <c r="D386" s="14" t="s">
        <v>1124</v>
      </c>
      <c r="E386" s="14" t="s">
        <v>1134</v>
      </c>
      <c r="F386" s="14" t="s">
        <v>1144</v>
      </c>
      <c r="G386" s="14" t="s">
        <v>1154</v>
      </c>
    </row>
    <row r="387" spans="1:17" x14ac:dyDescent="0.25">
      <c r="A387" s="2" t="s">
        <v>1473</v>
      </c>
      <c r="C387" s="14" t="s">
        <v>1115</v>
      </c>
      <c r="D387" s="14" t="s">
        <v>1125</v>
      </c>
      <c r="E387" s="14" t="s">
        <v>1135</v>
      </c>
      <c r="F387" s="14" t="s">
        <v>1145</v>
      </c>
      <c r="G387" s="14" t="s">
        <v>1155</v>
      </c>
    </row>
    <row r="388" spans="1:17" x14ac:dyDescent="0.25">
      <c r="A388" s="2" t="s">
        <v>1474</v>
      </c>
      <c r="C388" s="14" t="s">
        <v>1116</v>
      </c>
      <c r="D388" s="14" t="s">
        <v>1126</v>
      </c>
      <c r="E388" s="14" t="s">
        <v>1136</v>
      </c>
      <c r="F388" s="14" t="s">
        <v>1146</v>
      </c>
      <c r="G388" s="14" t="s">
        <v>1156</v>
      </c>
    </row>
    <row r="389" spans="1:17" x14ac:dyDescent="0.25">
      <c r="A389" s="2" t="s">
        <v>1475</v>
      </c>
      <c r="C389" s="14" t="s">
        <v>1117</v>
      </c>
      <c r="D389" s="14" t="s">
        <v>1127</v>
      </c>
      <c r="E389" s="14" t="s">
        <v>1137</v>
      </c>
      <c r="F389" s="14" t="s">
        <v>1147</v>
      </c>
      <c r="G389" s="14" t="s">
        <v>1157</v>
      </c>
    </row>
    <row r="390" spans="1:17" x14ac:dyDescent="0.25">
      <c r="A390" s="2" t="s">
        <v>1476</v>
      </c>
      <c r="C390" s="14" t="s">
        <v>1118</v>
      </c>
      <c r="D390" s="14" t="s">
        <v>1128</v>
      </c>
      <c r="E390" s="14" t="s">
        <v>1138</v>
      </c>
      <c r="F390" s="14" t="s">
        <v>1148</v>
      </c>
      <c r="G390" s="14" t="s">
        <v>1158</v>
      </c>
    </row>
    <row r="391" spans="1:17" x14ac:dyDescent="0.25">
      <c r="A391" s="2" t="s">
        <v>1477</v>
      </c>
      <c r="C391" s="14" t="s">
        <v>1119</v>
      </c>
      <c r="D391" s="14" t="s">
        <v>1129</v>
      </c>
      <c r="E391" s="14" t="s">
        <v>1139</v>
      </c>
      <c r="F391" s="14" t="s">
        <v>1149</v>
      </c>
      <c r="G391" s="14" t="s">
        <v>1159</v>
      </c>
    </row>
    <row r="392" spans="1:17" x14ac:dyDescent="0.25">
      <c r="A392" s="2" t="s">
        <v>1478</v>
      </c>
      <c r="C392" s="14" t="s">
        <v>1120</v>
      </c>
      <c r="D392" s="14" t="s">
        <v>1130</v>
      </c>
      <c r="E392" s="14" t="s">
        <v>1140</v>
      </c>
      <c r="F392" s="14" t="s">
        <v>1150</v>
      </c>
      <c r="G392" s="14" t="s">
        <v>1160</v>
      </c>
    </row>
    <row r="393" spans="1:17" x14ac:dyDescent="0.25">
      <c r="A393" s="2" t="s">
        <v>1479</v>
      </c>
      <c r="C393" s="14" t="s">
        <v>1121</v>
      </c>
      <c r="D393" s="14" t="s">
        <v>1131</v>
      </c>
      <c r="E393" s="14" t="s">
        <v>1141</v>
      </c>
      <c r="F393" s="14" t="s">
        <v>1151</v>
      </c>
      <c r="G393" s="14" t="s">
        <v>1161</v>
      </c>
    </row>
    <row r="394" spans="1:17" x14ac:dyDescent="0.25">
      <c r="A394" s="2" t="s">
        <v>1480</v>
      </c>
      <c r="C394" s="14" t="s">
        <v>1122</v>
      </c>
      <c r="D394" s="14" t="s">
        <v>1132</v>
      </c>
      <c r="E394" s="14" t="s">
        <v>1142</v>
      </c>
      <c r="F394" s="14" t="s">
        <v>1152</v>
      </c>
      <c r="G394" s="14" t="s">
        <v>1162</v>
      </c>
    </row>
    <row r="396" spans="1:17" s="1" customFormat="1" x14ac:dyDescent="0.25">
      <c r="A396" s="2"/>
      <c r="B396" s="2"/>
      <c r="C396" s="2"/>
      <c r="D396" s="2"/>
      <c r="E396" s="2"/>
      <c r="F396" s="2"/>
      <c r="G396" s="2"/>
      <c r="H396" s="2"/>
      <c r="I396" s="2"/>
      <c r="J396" s="2"/>
      <c r="K396" s="2"/>
      <c r="L396" s="2"/>
      <c r="M396" s="2"/>
      <c r="N396" s="2"/>
      <c r="O396" s="2"/>
      <c r="P396" s="2"/>
      <c r="Q396" s="2"/>
    </row>
    <row r="397" spans="1:17" x14ac:dyDescent="0.25">
      <c r="A397" s="1" t="s">
        <v>60</v>
      </c>
      <c r="B397" s="1"/>
      <c r="C397" s="1"/>
      <c r="D397" s="1"/>
      <c r="E397" s="1"/>
      <c r="F397" s="1"/>
      <c r="G397" s="1"/>
      <c r="H397" s="1"/>
      <c r="I397" s="1"/>
      <c r="J397" s="1"/>
      <c r="K397" s="1"/>
      <c r="L397" s="1"/>
      <c r="M397" s="1"/>
      <c r="N397" s="1"/>
      <c r="O397" s="1"/>
      <c r="P397" s="1"/>
      <c r="Q397" s="1"/>
    </row>
    <row r="398" spans="1:17" x14ac:dyDescent="0.25">
      <c r="A398" s="2" t="s">
        <v>1481</v>
      </c>
      <c r="B398" s="2" t="s">
        <v>1197</v>
      </c>
    </row>
    <row r="399" spans="1:17" x14ac:dyDescent="0.25">
      <c r="A399" s="2" t="s">
        <v>1482</v>
      </c>
      <c r="B399" s="2" t="s">
        <v>1181</v>
      </c>
    </row>
    <row r="400" spans="1:17" x14ac:dyDescent="0.25">
      <c r="A400" s="2" t="s">
        <v>1483</v>
      </c>
      <c r="B400" s="2" t="s">
        <v>1198</v>
      </c>
    </row>
    <row r="401" spans="1:2" x14ac:dyDescent="0.25">
      <c r="A401" s="2" t="s">
        <v>1484</v>
      </c>
      <c r="B401" s="2" t="s">
        <v>1199</v>
      </c>
    </row>
    <row r="402" spans="1:2" x14ac:dyDescent="0.25">
      <c r="A402" s="2" t="s">
        <v>1485</v>
      </c>
      <c r="B402" s="2" t="s">
        <v>1182</v>
      </c>
    </row>
    <row r="403" spans="1:2" x14ac:dyDescent="0.25">
      <c r="A403" s="2" t="s">
        <v>1486</v>
      </c>
      <c r="B403" s="2" t="s">
        <v>1200</v>
      </c>
    </row>
    <row r="404" spans="1:2" x14ac:dyDescent="0.25">
      <c r="A404" s="2" t="s">
        <v>1487</v>
      </c>
      <c r="B404" s="2" t="s">
        <v>1183</v>
      </c>
    </row>
    <row r="405" spans="1:2" x14ac:dyDescent="0.25">
      <c r="A405" s="2" t="s">
        <v>950</v>
      </c>
      <c r="B405" s="2" t="s">
        <v>949</v>
      </c>
    </row>
    <row r="406" spans="1:2" x14ac:dyDescent="0.25">
      <c r="A406" s="2" t="s">
        <v>1488</v>
      </c>
      <c r="B406" s="2" t="s">
        <v>1184</v>
      </c>
    </row>
    <row r="407" spans="1:2" x14ac:dyDescent="0.25">
      <c r="A407" s="2" t="s">
        <v>1489</v>
      </c>
      <c r="B407" s="2" t="s">
        <v>1185</v>
      </c>
    </row>
    <row r="408" spans="1:2" x14ac:dyDescent="0.25">
      <c r="A408" s="2" t="s">
        <v>1490</v>
      </c>
      <c r="B408" s="2" t="s">
        <v>1186</v>
      </c>
    </row>
    <row r="409" spans="1:2" x14ac:dyDescent="0.25">
      <c r="A409" s="2" t="s">
        <v>1491</v>
      </c>
      <c r="B409" s="2" t="s">
        <v>1187</v>
      </c>
    </row>
    <row r="410" spans="1:2" x14ac:dyDescent="0.25">
      <c r="A410" s="2" t="s">
        <v>1524</v>
      </c>
      <c r="B410" s="2" t="s">
        <v>1188</v>
      </c>
    </row>
    <row r="411" spans="1:2" x14ac:dyDescent="0.25">
      <c r="A411" s="2" t="s">
        <v>1525</v>
      </c>
      <c r="B411" s="2" t="s">
        <v>1189</v>
      </c>
    </row>
    <row r="412" spans="1:2" x14ac:dyDescent="0.25">
      <c r="A412" s="2" t="s">
        <v>1526</v>
      </c>
      <c r="B412" s="2" t="s">
        <v>1190</v>
      </c>
    </row>
    <row r="413" spans="1:2" x14ac:dyDescent="0.25">
      <c r="A413" s="2" t="s">
        <v>1527</v>
      </c>
      <c r="B413" s="2" t="s">
        <v>1191</v>
      </c>
    </row>
    <row r="414" spans="1:2" x14ac:dyDescent="0.25">
      <c r="A414" s="2" t="s">
        <v>1528</v>
      </c>
      <c r="B414" s="2" t="s">
        <v>1192</v>
      </c>
    </row>
    <row r="415" spans="1:2" x14ac:dyDescent="0.25">
      <c r="A415" s="2" t="s">
        <v>1529</v>
      </c>
      <c r="B415" s="2" t="s">
        <v>1193</v>
      </c>
    </row>
    <row r="416" spans="1:2" x14ac:dyDescent="0.25">
      <c r="A416" s="2" t="s">
        <v>1530</v>
      </c>
      <c r="B416" s="2" t="s">
        <v>1194</v>
      </c>
    </row>
    <row r="417" spans="1:3" x14ac:dyDescent="0.25">
      <c r="A417" s="2" t="s">
        <v>1531</v>
      </c>
      <c r="B417" s="2" t="s">
        <v>1195</v>
      </c>
    </row>
    <row r="418" spans="1:3" x14ac:dyDescent="0.25">
      <c r="A418" s="2" t="s">
        <v>1532</v>
      </c>
      <c r="B418" s="2" t="s">
        <v>1196</v>
      </c>
    </row>
    <row r="419" spans="1:3" x14ac:dyDescent="0.25">
      <c r="A419" s="2" t="s">
        <v>1579</v>
      </c>
      <c r="B419" s="2" t="s">
        <v>9</v>
      </c>
    </row>
    <row r="420" spans="1:3" x14ac:dyDescent="0.25">
      <c r="A420" s="2" t="s">
        <v>1580</v>
      </c>
      <c r="B420" s="2" t="s">
        <v>10</v>
      </c>
    </row>
    <row r="421" spans="1:3" x14ac:dyDescent="0.25">
      <c r="A421" s="2" t="s">
        <v>1586</v>
      </c>
      <c r="B421" s="2" t="s">
        <v>1583</v>
      </c>
    </row>
    <row r="423" spans="1:3" x14ac:dyDescent="0.25">
      <c r="A423" s="1" t="s">
        <v>1640</v>
      </c>
      <c r="C423" s="1" t="s">
        <v>1645</v>
      </c>
    </row>
    <row r="424" spans="1:3" x14ac:dyDescent="0.25">
      <c r="A424" s="2" t="s">
        <v>1642</v>
      </c>
      <c r="B424" s="2" t="s">
        <v>1643</v>
      </c>
    </row>
    <row r="425" spans="1:3" x14ac:dyDescent="0.25">
      <c r="A425" s="2" t="s">
        <v>1657</v>
      </c>
      <c r="B425" s="2" t="s">
        <v>1659</v>
      </c>
    </row>
    <row r="426" spans="1:3" x14ac:dyDescent="0.25">
      <c r="A426" s="2" t="s">
        <v>1658</v>
      </c>
      <c r="B426" s="2" t="s">
        <v>1660</v>
      </c>
    </row>
    <row r="427" spans="1:3" x14ac:dyDescent="0.25">
      <c r="A427" s="2" t="s">
        <v>1641</v>
      </c>
      <c r="C427" s="2" t="s">
        <v>1644</v>
      </c>
    </row>
    <row r="428" spans="1:3" x14ac:dyDescent="0.25">
      <c r="A428" s="2" t="s">
        <v>1646</v>
      </c>
      <c r="B428" s="2" t="s">
        <v>1651</v>
      </c>
    </row>
    <row r="429" spans="1:3" x14ac:dyDescent="0.25">
      <c r="A429" s="2" t="s">
        <v>1647</v>
      </c>
      <c r="B429" s="2" t="s">
        <v>1661</v>
      </c>
    </row>
    <row r="430" spans="1:3" x14ac:dyDescent="0.25">
      <c r="A430" s="2" t="s">
        <v>1648</v>
      </c>
      <c r="B430" s="2" t="s">
        <v>1652</v>
      </c>
    </row>
    <row r="431" spans="1:3" x14ac:dyDescent="0.25">
      <c r="A431" s="2" t="s">
        <v>1649</v>
      </c>
      <c r="B431" s="2" t="s">
        <v>1653</v>
      </c>
    </row>
    <row r="432" spans="1:3" x14ac:dyDescent="0.25">
      <c r="A432" s="2" t="s">
        <v>1650</v>
      </c>
      <c r="B432" s="2" t="s">
        <v>1654</v>
      </c>
    </row>
    <row r="433" spans="1:5" x14ac:dyDescent="0.25">
      <c r="A433" s="2" t="s">
        <v>1655</v>
      </c>
      <c r="B433" s="2" t="s">
        <v>1656</v>
      </c>
    </row>
    <row r="434" spans="1:5" x14ac:dyDescent="0.25">
      <c r="A434" s="2" t="s">
        <v>1662</v>
      </c>
      <c r="B434" s="2" t="s">
        <v>1664</v>
      </c>
    </row>
    <row r="435" spans="1:5" x14ac:dyDescent="0.25">
      <c r="A435" s="2" t="s">
        <v>1663</v>
      </c>
      <c r="B435" s="2" t="s">
        <v>1665</v>
      </c>
    </row>
    <row r="436" spans="1:5" x14ac:dyDescent="0.25">
      <c r="A436" s="2" t="s">
        <v>1667</v>
      </c>
      <c r="B436" s="2" t="s">
        <v>1666</v>
      </c>
    </row>
    <row r="437" spans="1:5" x14ac:dyDescent="0.25">
      <c r="A437" s="2" t="s">
        <v>1668</v>
      </c>
      <c r="B437" s="2" t="s">
        <v>1669</v>
      </c>
    </row>
    <row r="438" spans="1:5" x14ac:dyDescent="0.25">
      <c r="A438" s="2" t="s">
        <v>1670</v>
      </c>
      <c r="B438" s="2" t="s">
        <v>1672</v>
      </c>
    </row>
    <row r="439" spans="1:5" x14ac:dyDescent="0.25">
      <c r="A439" s="2" t="s">
        <v>1671</v>
      </c>
      <c r="B439" s="2" t="s">
        <v>1673</v>
      </c>
    </row>
    <row r="440" spans="1:5" x14ac:dyDescent="0.25">
      <c r="A440" s="2" t="s">
        <v>1675</v>
      </c>
      <c r="B440" s="2" t="s">
        <v>1674</v>
      </c>
    </row>
    <row r="441" spans="1:5" x14ac:dyDescent="0.25">
      <c r="A441" s="2" t="s">
        <v>1676</v>
      </c>
      <c r="B441" s="2" t="s">
        <v>1677</v>
      </c>
    </row>
    <row r="442" spans="1:5" x14ac:dyDescent="0.25">
      <c r="A442" s="2" t="s">
        <v>1679</v>
      </c>
      <c r="B442" s="2" t="s">
        <v>1678</v>
      </c>
    </row>
    <row r="443" spans="1:5" x14ac:dyDescent="0.25">
      <c r="A443" s="2" t="s">
        <v>1680</v>
      </c>
      <c r="B443" s="2" t="s">
        <v>1681</v>
      </c>
    </row>
    <row r="444" spans="1:5" x14ac:dyDescent="0.25">
      <c r="A444" s="2" t="s">
        <v>1683</v>
      </c>
      <c r="B444" s="2" t="s">
        <v>1682</v>
      </c>
    </row>
    <row r="445" spans="1:5" x14ac:dyDescent="0.25">
      <c r="A445" s="2" t="s">
        <v>1685</v>
      </c>
      <c r="B445" s="2" t="s">
        <v>1684</v>
      </c>
    </row>
    <row r="446" spans="1:5" x14ac:dyDescent="0.25">
      <c r="A446" s="2" t="s">
        <v>1688</v>
      </c>
      <c r="B446" s="2" t="s">
        <v>1689</v>
      </c>
    </row>
    <row r="448" spans="1:5" x14ac:dyDescent="0.25">
      <c r="A448" s="1" t="s">
        <v>1691</v>
      </c>
      <c r="C448" s="1" t="s">
        <v>754</v>
      </c>
      <c r="D448" s="1" t="s">
        <v>755</v>
      </c>
      <c r="E448" s="1" t="s">
        <v>248</v>
      </c>
    </row>
    <row r="449" spans="1:5" x14ac:dyDescent="0.25">
      <c r="A449" s="2" t="s">
        <v>1692</v>
      </c>
      <c r="C449" s="2" t="s">
        <v>1693</v>
      </c>
      <c r="D449" s="2" t="s">
        <v>1694</v>
      </c>
    </row>
    <row r="450" spans="1:5" x14ac:dyDescent="0.25">
      <c r="A450" s="2" t="s">
        <v>1695</v>
      </c>
      <c r="C450" s="2" t="s">
        <v>1696</v>
      </c>
      <c r="D450" s="2" t="s">
        <v>1697</v>
      </c>
    </row>
    <row r="451" spans="1:5" x14ac:dyDescent="0.25">
      <c r="A451" s="2" t="s">
        <v>1698</v>
      </c>
      <c r="C451" s="2" t="s">
        <v>1701</v>
      </c>
      <c r="D451" s="2" t="s">
        <v>1700</v>
      </c>
      <c r="E451" s="2" t="s">
        <v>1699</v>
      </c>
    </row>
    <row r="453" spans="1:5" x14ac:dyDescent="0.25">
      <c r="A453" s="1" t="s">
        <v>1702</v>
      </c>
    </row>
    <row r="454" spans="1:5" x14ac:dyDescent="0.25">
      <c r="A454" s="2" t="s">
        <v>1708</v>
      </c>
      <c r="B454" s="2" t="s">
        <v>1703</v>
      </c>
    </row>
    <row r="455" spans="1:5" x14ac:dyDescent="0.25">
      <c r="A455" s="2" t="s">
        <v>1709</v>
      </c>
      <c r="B455" s="2" t="s">
        <v>1704</v>
      </c>
    </row>
    <row r="456" spans="1:5" x14ac:dyDescent="0.25">
      <c r="A456" s="2" t="s">
        <v>1710</v>
      </c>
      <c r="B456" s="2" t="s">
        <v>1705</v>
      </c>
    </row>
    <row r="457" spans="1:5" x14ac:dyDescent="0.25">
      <c r="A457" s="2" t="s">
        <v>1711</v>
      </c>
      <c r="B457" s="2" t="s">
        <v>1706</v>
      </c>
    </row>
    <row r="458" spans="1:5" x14ac:dyDescent="0.25">
      <c r="A458" s="2" t="s">
        <v>1712</v>
      </c>
      <c r="B458" s="2" t="s">
        <v>1707</v>
      </c>
    </row>
    <row r="460" spans="1:5" x14ac:dyDescent="0.25">
      <c r="A460" s="1" t="s">
        <v>1789</v>
      </c>
      <c r="C460" s="1" t="s">
        <v>754</v>
      </c>
      <c r="D460" s="1" t="s">
        <v>755</v>
      </c>
      <c r="E460" s="1" t="s">
        <v>248</v>
      </c>
    </row>
    <row r="461" spans="1:5" x14ac:dyDescent="0.25">
      <c r="A461" s="2" t="s">
        <v>1714</v>
      </c>
      <c r="C461" s="2" t="s">
        <v>1715</v>
      </c>
      <c r="D461" s="2" t="s">
        <v>1716</v>
      </c>
    </row>
    <row r="462" spans="1:5" x14ac:dyDescent="0.25">
      <c r="A462" s="2" t="s">
        <v>1717</v>
      </c>
      <c r="C462" s="2" t="s">
        <v>1718</v>
      </c>
      <c r="D462" s="2" t="s">
        <v>1719</v>
      </c>
    </row>
    <row r="463" spans="1:5" x14ac:dyDescent="0.25">
      <c r="A463" s="2" t="s">
        <v>1720</v>
      </c>
      <c r="C463" s="2" t="s">
        <v>1721</v>
      </c>
      <c r="D463" s="2" t="s">
        <v>1722</v>
      </c>
    </row>
    <row r="464" spans="1:5" x14ac:dyDescent="0.25">
      <c r="A464" s="2" t="s">
        <v>1723</v>
      </c>
      <c r="C464" s="2" t="s">
        <v>1724</v>
      </c>
      <c r="D464" s="2" t="s">
        <v>1725</v>
      </c>
      <c r="E464" s="2" t="s">
        <v>1726</v>
      </c>
    </row>
    <row r="465" spans="1:5" x14ac:dyDescent="0.25">
      <c r="A465" s="2" t="s">
        <v>1727</v>
      </c>
      <c r="C465" s="2" t="s">
        <v>1728</v>
      </c>
      <c r="D465" s="2" t="s">
        <v>1729</v>
      </c>
      <c r="E465" s="2" t="s">
        <v>1730</v>
      </c>
    </row>
    <row r="466" spans="1:5" x14ac:dyDescent="0.25">
      <c r="A466" s="2" t="s">
        <v>1731</v>
      </c>
      <c r="C466" s="2" t="s">
        <v>1732</v>
      </c>
      <c r="D466" s="2" t="s">
        <v>1733</v>
      </c>
    </row>
    <row r="467" spans="1:5" x14ac:dyDescent="0.25">
      <c r="A467" s="2" t="s">
        <v>1734</v>
      </c>
      <c r="D467" s="2" t="s">
        <v>1735</v>
      </c>
      <c r="E467" s="2" t="s">
        <v>1736</v>
      </c>
    </row>
    <row r="468" spans="1:5" x14ac:dyDescent="0.25">
      <c r="A468" s="2" t="s">
        <v>1737</v>
      </c>
      <c r="B468" s="2" t="s">
        <v>1738</v>
      </c>
    </row>
    <row r="469" spans="1:5" x14ac:dyDescent="0.25">
      <c r="A469" s="2" t="s">
        <v>1739</v>
      </c>
      <c r="B469" s="2" t="s">
        <v>1740</v>
      </c>
    </row>
    <row r="470" spans="1:5" x14ac:dyDescent="0.25">
      <c r="A470" s="2" t="s">
        <v>1741</v>
      </c>
      <c r="B470" s="2" t="s">
        <v>1742</v>
      </c>
    </row>
    <row r="471" spans="1:5" x14ac:dyDescent="0.25">
      <c r="A471" s="2" t="s">
        <v>1743</v>
      </c>
      <c r="B471" s="2" t="s">
        <v>1744</v>
      </c>
    </row>
    <row r="472" spans="1:5" x14ac:dyDescent="0.25">
      <c r="A472" s="2" t="s">
        <v>1745</v>
      </c>
      <c r="C472" s="2" t="s">
        <v>1746</v>
      </c>
      <c r="D472" s="2" t="s">
        <v>1747</v>
      </c>
    </row>
    <row r="473" spans="1:5" x14ac:dyDescent="0.25">
      <c r="A473" s="2" t="s">
        <v>1748</v>
      </c>
      <c r="C473" s="2" t="s">
        <v>1749</v>
      </c>
      <c r="D473" s="2" t="s">
        <v>1750</v>
      </c>
      <c r="E473" s="2" t="s">
        <v>1751</v>
      </c>
    </row>
    <row r="474" spans="1:5" x14ac:dyDescent="0.25">
      <c r="A474" s="2" t="s">
        <v>1698</v>
      </c>
      <c r="C474" s="2" t="s">
        <v>1701</v>
      </c>
      <c r="D474" s="2" t="s">
        <v>1700</v>
      </c>
      <c r="E474" s="2" t="s">
        <v>1699</v>
      </c>
    </row>
    <row r="475" spans="1:5" x14ac:dyDescent="0.25">
      <c r="A475" s="2" t="s">
        <v>1752</v>
      </c>
      <c r="C475" s="2" t="s">
        <v>1753</v>
      </c>
      <c r="D475" s="2" t="s">
        <v>1754</v>
      </c>
    </row>
    <row r="476" spans="1:5" x14ac:dyDescent="0.25">
      <c r="A476" s="2" t="s">
        <v>1755</v>
      </c>
      <c r="B476" s="2" t="s">
        <v>1756</v>
      </c>
    </row>
    <row r="477" spans="1:5" x14ac:dyDescent="0.25">
      <c r="A477" s="2" t="s">
        <v>1757</v>
      </c>
      <c r="B477" s="2" t="s">
        <v>1758</v>
      </c>
    </row>
    <row r="478" spans="1:5" x14ac:dyDescent="0.25">
      <c r="A478" s="2" t="s">
        <v>1759</v>
      </c>
      <c r="B478" s="2" t="s">
        <v>1760</v>
      </c>
    </row>
    <row r="479" spans="1:5" x14ac:dyDescent="0.25">
      <c r="A479" s="2" t="s">
        <v>1761</v>
      </c>
      <c r="B479" s="2" t="s">
        <v>1762</v>
      </c>
    </row>
    <row r="480" spans="1:5" x14ac:dyDescent="0.25">
      <c r="A480" s="2" t="s">
        <v>1763</v>
      </c>
      <c r="B480" s="2" t="s">
        <v>1764</v>
      </c>
    </row>
    <row r="481" spans="1:5" x14ac:dyDescent="0.25">
      <c r="A481" s="2" t="s">
        <v>1765</v>
      </c>
      <c r="D481" s="2" t="s">
        <v>1766</v>
      </c>
      <c r="E481" s="2" t="s">
        <v>1767</v>
      </c>
    </row>
    <row r="482" spans="1:5" x14ac:dyDescent="0.25">
      <c r="A482" s="2" t="s">
        <v>1768</v>
      </c>
      <c r="B482" s="2" t="s">
        <v>1769</v>
      </c>
    </row>
    <row r="483" spans="1:5" x14ac:dyDescent="0.25">
      <c r="A483" s="2" t="s">
        <v>1770</v>
      </c>
      <c r="B483" s="2" t="s">
        <v>1771</v>
      </c>
    </row>
    <row r="484" spans="1:5" x14ac:dyDescent="0.25">
      <c r="A484" s="2" t="s">
        <v>1772</v>
      </c>
      <c r="B484" s="2" t="s">
        <v>1773</v>
      </c>
    </row>
    <row r="485" spans="1:5" x14ac:dyDescent="0.25">
      <c r="A485" s="2" t="s">
        <v>1774</v>
      </c>
      <c r="B485" s="2" t="s">
        <v>1775</v>
      </c>
    </row>
    <row r="486" spans="1:5" x14ac:dyDescent="0.25">
      <c r="A486" s="2" t="s">
        <v>1776</v>
      </c>
      <c r="D486" s="2" t="s">
        <v>1777</v>
      </c>
      <c r="E486" s="2" t="s">
        <v>1778</v>
      </c>
    </row>
    <row r="487" spans="1:5" x14ac:dyDescent="0.25">
      <c r="A487" s="2" t="s">
        <v>1779</v>
      </c>
      <c r="B487" s="2" t="s">
        <v>1780</v>
      </c>
    </row>
    <row r="488" spans="1:5" x14ac:dyDescent="0.25">
      <c r="A488" s="2" t="s">
        <v>1781</v>
      </c>
      <c r="B488" s="2" t="s">
        <v>1782</v>
      </c>
    </row>
    <row r="489" spans="1:5" x14ac:dyDescent="0.25">
      <c r="A489" s="2" t="s">
        <v>1783</v>
      </c>
      <c r="B489" s="2" t="s">
        <v>1784</v>
      </c>
    </row>
    <row r="490" spans="1:5" x14ac:dyDescent="0.25">
      <c r="A490" s="2" t="s">
        <v>1785</v>
      </c>
      <c r="B490" s="2" t="s">
        <v>1786</v>
      </c>
    </row>
    <row r="491" spans="1:5" x14ac:dyDescent="0.25">
      <c r="A491" s="2" t="s">
        <v>1787</v>
      </c>
      <c r="D491" s="2" t="s">
        <v>1788</v>
      </c>
    </row>
    <row r="493" spans="1:5" x14ac:dyDescent="0.25">
      <c r="A493" s="1" t="s">
        <v>1795</v>
      </c>
      <c r="C493" s="1" t="s">
        <v>754</v>
      </c>
      <c r="D493" s="1" t="s">
        <v>755</v>
      </c>
      <c r="E493" s="1" t="s">
        <v>248</v>
      </c>
    </row>
    <row r="494" spans="1:5" x14ac:dyDescent="0.25">
      <c r="A494" s="2" t="s">
        <v>1796</v>
      </c>
      <c r="C494" s="2" t="s">
        <v>1799</v>
      </c>
      <c r="D494" s="2" t="s">
        <v>1800</v>
      </c>
      <c r="E494" s="2" t="s">
        <v>1801</v>
      </c>
    </row>
    <row r="495" spans="1:5" x14ac:dyDescent="0.25">
      <c r="A495" s="2" t="s">
        <v>1797</v>
      </c>
      <c r="C495" s="2" t="s">
        <v>1802</v>
      </c>
      <c r="D495" s="2" t="s">
        <v>1803</v>
      </c>
      <c r="E495" s="2" t="s">
        <v>1804</v>
      </c>
    </row>
    <row r="496" spans="1:5" x14ac:dyDescent="0.25">
      <c r="A496" s="2" t="s">
        <v>1798</v>
      </c>
      <c r="C496" s="2" t="s">
        <v>1805</v>
      </c>
      <c r="D496" s="2" t="s">
        <v>1806</v>
      </c>
    </row>
  </sheetData>
  <phoneticPr fontId="2"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6"/>
  <sheetViews>
    <sheetView workbookViewId="0">
      <pane xSplit="2" ySplit="5" topLeftCell="C6" activePane="bottomRight" state="frozen"/>
      <selection pane="topRight" activeCell="C1" sqref="C1"/>
      <selection pane="bottomLeft" activeCell="A6" sqref="A6"/>
      <selection pane="bottomRight" activeCell="G8" sqref="G8"/>
    </sheetView>
  </sheetViews>
  <sheetFormatPr defaultRowHeight="15" x14ac:dyDescent="0.25"/>
  <cols>
    <col min="1" max="1" width="10.140625" style="2" customWidth="1"/>
    <col min="2" max="2" width="6.85546875" style="2" customWidth="1"/>
    <col min="3" max="3" width="12.7109375" style="1" bestFit="1" customWidth="1"/>
    <col min="4" max="5" width="9.28515625" style="2" bestFit="1" customWidth="1"/>
    <col min="6" max="6" width="12.5703125" style="2" customWidth="1"/>
    <col min="7" max="7" width="14.28515625" style="2" bestFit="1" customWidth="1"/>
    <col min="8" max="16384" width="9.140625" style="2"/>
  </cols>
  <sheetData>
    <row r="1" spans="1:7" x14ac:dyDescent="0.25">
      <c r="A1" s="1" t="s">
        <v>613</v>
      </c>
      <c r="B1" s="1">
        <v>0</v>
      </c>
      <c r="C1" s="2" t="s">
        <v>751</v>
      </c>
      <c r="D1" s="2" t="s">
        <v>748</v>
      </c>
      <c r="E1" s="2" t="s">
        <v>749</v>
      </c>
      <c r="F1" s="2" t="s">
        <v>747</v>
      </c>
      <c r="G1" s="2" t="s">
        <v>750</v>
      </c>
    </row>
    <row r="2" spans="1:7" s="1" customFormat="1" x14ac:dyDescent="0.25"/>
    <row r="3" spans="1:7" s="1" customFormat="1" x14ac:dyDescent="0.25">
      <c r="C3" s="1" t="s">
        <v>137</v>
      </c>
      <c r="D3" s="17" t="s">
        <v>543</v>
      </c>
      <c r="F3" s="2" t="str">
        <f>_xll.xlqAAII($D$3,"name",,$B$1)</f>
        <v>Microsoft Corporation</v>
      </c>
    </row>
    <row r="4" spans="1:7" s="1" customFormat="1" x14ac:dyDescent="0.25"/>
    <row r="5" spans="1:7" s="1" customFormat="1" x14ac:dyDescent="0.25">
      <c r="D5" s="1" t="s">
        <v>741</v>
      </c>
      <c r="E5" s="1" t="s">
        <v>742</v>
      </c>
      <c r="F5" s="1" t="s">
        <v>743</v>
      </c>
      <c r="G5" s="1" t="s">
        <v>744</v>
      </c>
    </row>
    <row r="6" spans="1:7" x14ac:dyDescent="0.25">
      <c r="C6" s="1" t="s">
        <v>745</v>
      </c>
    </row>
    <row r="7" spans="1:7" x14ac:dyDescent="0.25">
      <c r="A7" s="2" t="s">
        <v>746</v>
      </c>
      <c r="B7" s="2">
        <v>1</v>
      </c>
      <c r="C7" s="30">
        <f>_xll.xlqAAII($D$3,C$1&amp;$A7,$B7,$B$1)</f>
        <v>43465</v>
      </c>
      <c r="D7" s="25">
        <f>_xll.xlqAAII($D$3,D$1&amp;$A7,$B7,$B$1)</f>
        <v>116.18</v>
      </c>
      <c r="E7" s="25">
        <f>_xll.xlqAAII($D$3,E$1&amp;$A7,$B7,$B$1)</f>
        <v>83.83</v>
      </c>
      <c r="F7" s="25">
        <f>_xll.xlqAAII($D$3,F$1&amp;$A7,$B7,$B$1)</f>
        <v>101.57</v>
      </c>
      <c r="G7" s="25">
        <f>_xll.xlqAAII($D$3,G$1&amp;$A7,$B7,$B$1)</f>
        <v>7929390.9330000002</v>
      </c>
    </row>
    <row r="8" spans="1:7" x14ac:dyDescent="0.25">
      <c r="A8" s="2" t="s">
        <v>746</v>
      </c>
      <c r="B8" s="2">
        <v>2</v>
      </c>
      <c r="C8" s="30">
        <f>_xll.xlqAAII($D$3,C$1&amp;$A8,$B8,$B$1)</f>
        <v>43098</v>
      </c>
      <c r="D8" s="25">
        <f>_xll.xlqAAII($D$3,D$1&amp;$A8,$B8,$B$1)</f>
        <v>87.5</v>
      </c>
      <c r="E8" s="25">
        <f>_xll.xlqAAII($D$3,E$1&amp;$A8,$B8,$B$1)</f>
        <v>61.95</v>
      </c>
      <c r="F8" s="25">
        <f>_xll.xlqAAII($D$3,F$1&amp;$A8,$B8,$B$1)</f>
        <v>85.54</v>
      </c>
      <c r="G8" s="25">
        <f>_xll.xlqAAII($D$3,G$1&amp;$A8,$B8,$B$1)</f>
        <v>5631915.0120000001</v>
      </c>
    </row>
    <row r="9" spans="1:7" x14ac:dyDescent="0.25">
      <c r="A9" s="2" t="s">
        <v>746</v>
      </c>
      <c r="B9" s="2">
        <v>3</v>
      </c>
      <c r="C9" s="30">
        <f>_xll.xlqAAII($D$3,C$1&amp;$A9,$B9,$B$1)</f>
        <v>42734</v>
      </c>
      <c r="D9" s="25">
        <f>_xll.xlqAAII($D$3,D$1&amp;$A9,$B9,$B$1)</f>
        <v>64.099999999999994</v>
      </c>
      <c r="E9" s="25">
        <f>_xll.xlqAAII($D$3,E$1&amp;$A9,$B9,$B$1)</f>
        <v>48.034999999999997</v>
      </c>
      <c r="F9" s="25">
        <f>_xll.xlqAAII($D$3,F$1&amp;$A9,$B9,$B$1)</f>
        <v>62.14</v>
      </c>
      <c r="G9" s="25">
        <f>_xll.xlqAAII($D$3,G$1&amp;$A9,$B9,$B$1)</f>
        <v>7820699.6869999999</v>
      </c>
    </row>
    <row r="10" spans="1:7" x14ac:dyDescent="0.25">
      <c r="A10" s="2" t="s">
        <v>746</v>
      </c>
      <c r="B10" s="2">
        <v>4</v>
      </c>
      <c r="C10" s="30">
        <f>_xll.xlqAAII($D$3,C$1&amp;$A10,$B10,$B$1)</f>
        <v>42369</v>
      </c>
      <c r="D10" s="25">
        <f>_xll.xlqAAII($D$3,D$1&amp;$A10,$B10,$B$1)</f>
        <v>56.85</v>
      </c>
      <c r="E10" s="25">
        <f>_xll.xlqAAII($D$3,E$1&amp;$A10,$B10,$B$1)</f>
        <v>39.72</v>
      </c>
      <c r="F10" s="25">
        <f>_xll.xlqAAII($D$3,F$1&amp;$A10,$B10,$B$1)</f>
        <v>55.48</v>
      </c>
      <c r="G10" s="25">
        <f>_xll.xlqAAII($D$3,G$1&amp;$A10,$B10,$B$1)</f>
        <v>9060335.8719999995</v>
      </c>
    </row>
    <row r="11" spans="1:7" x14ac:dyDescent="0.25">
      <c r="A11" s="2" t="s">
        <v>746</v>
      </c>
      <c r="B11" s="2">
        <v>5</v>
      </c>
      <c r="C11" s="30">
        <f>_xll.xlqAAII($D$3,C$1&amp;$A11,$B11,$B$1)</f>
        <v>42004</v>
      </c>
      <c r="D11" s="25">
        <f>_xll.xlqAAII($D$3,D$1&amp;$A11,$B11,$B$1)</f>
        <v>50.045000000000002</v>
      </c>
      <c r="E11" s="25">
        <f>_xll.xlqAAII($D$3,E$1&amp;$A11,$B11,$B$1)</f>
        <v>34.630000000000003</v>
      </c>
      <c r="F11" s="25">
        <f>_xll.xlqAAII($D$3,F$1&amp;$A11,$B11,$B$1)</f>
        <v>46.45</v>
      </c>
      <c r="G11" s="25">
        <f>_xll.xlqAAII($D$3,G$1&amp;$A11,$B11,$B$1)</f>
        <v>8414785.4460000005</v>
      </c>
    </row>
    <row r="12" spans="1:7" x14ac:dyDescent="0.25">
      <c r="A12" s="2" t="s">
        <v>746</v>
      </c>
      <c r="B12" s="2">
        <v>6</v>
      </c>
      <c r="C12" s="30">
        <f>_xll.xlqAAII($D$3,C$1&amp;$A12,$B12,$B$1)</f>
        <v>41639</v>
      </c>
      <c r="D12" s="25">
        <f>_xll.xlqAAII($D$3,D$1&amp;$A12,$B12,$B$1)</f>
        <v>38.979999999999997</v>
      </c>
      <c r="E12" s="25">
        <f>_xll.xlqAAII($D$3,E$1&amp;$A12,$B12,$B$1)</f>
        <v>26.28</v>
      </c>
      <c r="F12" s="25">
        <f>_xll.xlqAAII($D$3,F$1&amp;$A12,$B12,$B$1)</f>
        <v>37.409999999999997</v>
      </c>
      <c r="G12" s="25">
        <f>_xll.xlqAAII($D$3,G$1&amp;$A12,$B12,$B$1)</f>
        <v>12253928.752</v>
      </c>
    </row>
    <row r="13" spans="1:7" x14ac:dyDescent="0.25">
      <c r="A13" s="2" t="s">
        <v>746</v>
      </c>
      <c r="B13" s="2">
        <v>7</v>
      </c>
      <c r="C13" s="30">
        <f>_xll.xlqAAII($D$3,C$1&amp;$A13,$B13,$B$1)</f>
        <v>41274</v>
      </c>
      <c r="D13" s="25">
        <f>_xll.xlqAAII($D$3,D$1&amp;$A13,$B13,$B$1)</f>
        <v>32.950000000000003</v>
      </c>
      <c r="E13" s="25">
        <f>_xll.xlqAAII($D$3,E$1&amp;$A13,$B13,$B$1)</f>
        <v>26.26</v>
      </c>
      <c r="F13" s="25">
        <f>_xll.xlqAAII($D$3,F$1&amp;$A13,$B13,$B$1)</f>
        <v>26.71</v>
      </c>
      <c r="G13" s="25">
        <f>_xll.xlqAAII($D$3,G$1&amp;$A13,$B13,$B$1)</f>
        <v>11984793.742000001</v>
      </c>
    </row>
    <row r="14" spans="1:7" x14ac:dyDescent="0.25">
      <c r="C14" s="30"/>
    </row>
    <row r="15" spans="1:7" x14ac:dyDescent="0.25">
      <c r="C15" s="1" t="s">
        <v>752</v>
      </c>
    </row>
    <row r="16" spans="1:7" x14ac:dyDescent="0.25">
      <c r="A16" s="2" t="s">
        <v>753</v>
      </c>
      <c r="B16" s="2">
        <v>1</v>
      </c>
      <c r="C16" s="30">
        <f>_xll.xlqAAII($D$3,C$1&amp;$A16,$B16,$B$1)</f>
        <v>43658</v>
      </c>
      <c r="D16" s="25">
        <f>_xll.xlqAAII($D$3,D$1&amp;$A16,$B16,$B$1)</f>
        <v>139.22</v>
      </c>
      <c r="E16" s="25">
        <f>_xll.xlqAAII($D$3,E$1&amp;$A16,$B16,$B$1)</f>
        <v>134.97</v>
      </c>
      <c r="F16" s="25">
        <f>_xll.xlqAAII($D$3,F$1&amp;$A16,$B16,$B$1)</f>
        <v>138.9</v>
      </c>
      <c r="G16" s="25">
        <f>_xll.xlqAAII($D$3,G$1&amp;$A16,$B16,$B$1)</f>
        <v>171401.39499999999</v>
      </c>
    </row>
    <row r="17" spans="1:7" x14ac:dyDescent="0.25">
      <c r="A17" s="2" t="s">
        <v>753</v>
      </c>
      <c r="B17" s="2">
        <v>2</v>
      </c>
      <c r="C17" s="30">
        <f>_xll.xlqAAII($D$3,C$1&amp;$A17,$B17,$B$1)</f>
        <v>43644</v>
      </c>
      <c r="D17" s="25">
        <f>_xll.xlqAAII($D$3,D$1&amp;$A17,$B17,$B$1)</f>
        <v>138.4</v>
      </c>
      <c r="E17" s="25">
        <f>_xll.xlqAAII($D$3,E$1&amp;$A17,$B17,$B$1)</f>
        <v>119.01</v>
      </c>
      <c r="F17" s="25">
        <f>_xll.xlqAAII($D$3,F$1&amp;$A17,$B17,$B$1)</f>
        <v>133.96</v>
      </c>
      <c r="G17" s="25">
        <f>_xll.xlqAAII($D$3,G$1&amp;$A17,$B17,$B$1)</f>
        <v>508324.446</v>
      </c>
    </row>
    <row r="18" spans="1:7" x14ac:dyDescent="0.25">
      <c r="A18" s="2" t="s">
        <v>753</v>
      </c>
      <c r="B18" s="2">
        <v>3</v>
      </c>
      <c r="C18" s="30">
        <f>_xll.xlqAAII($D$3,C$1&amp;$A18,$B18,$B$1)</f>
        <v>43616</v>
      </c>
      <c r="D18" s="25">
        <f>_xll.xlqAAII($D$3,D$1&amp;$A18,$B18,$B$1)</f>
        <v>130.65</v>
      </c>
      <c r="E18" s="25">
        <f>_xll.xlqAAII($D$3,E$1&amp;$A18,$B18,$B$1)</f>
        <v>123.04</v>
      </c>
      <c r="F18" s="25">
        <f>_xll.xlqAAII($D$3,F$1&amp;$A18,$B18,$B$1)</f>
        <v>123.68</v>
      </c>
      <c r="G18" s="25">
        <f>_xll.xlqAAII($D$3,G$1&amp;$A18,$B18,$B$1)</f>
        <v>547218.46</v>
      </c>
    </row>
    <row r="19" spans="1:7" x14ac:dyDescent="0.25">
      <c r="A19" s="2" t="s">
        <v>753</v>
      </c>
      <c r="B19" s="2">
        <v>4</v>
      </c>
      <c r="C19" s="30">
        <f>_xll.xlqAAII($D$3,C$1&amp;$A19,$B19,$B$1)</f>
        <v>43585</v>
      </c>
      <c r="D19" s="25">
        <f>_xll.xlqAAII($D$3,D$1&amp;$A19,$B19,$B$1)</f>
        <v>131.37</v>
      </c>
      <c r="E19" s="25">
        <f>_xll.xlqAAII($D$3,E$1&amp;$A19,$B19,$B$1)</f>
        <v>118.1</v>
      </c>
      <c r="F19" s="25">
        <f>_xll.xlqAAII($D$3,F$1&amp;$A19,$B19,$B$1)</f>
        <v>130.6</v>
      </c>
      <c r="G19" s="25">
        <f>_xll.xlqAAII($D$3,G$1&amp;$A19,$B19,$B$1)</f>
        <v>433157.87</v>
      </c>
    </row>
    <row r="20" spans="1:7" x14ac:dyDescent="0.25">
      <c r="A20" s="2" t="s">
        <v>753</v>
      </c>
      <c r="B20" s="2">
        <v>5</v>
      </c>
      <c r="C20" s="30">
        <f>_xll.xlqAAII($D$3,C$1&amp;$A20,$B20,$B$1)</f>
        <v>43553</v>
      </c>
      <c r="D20" s="25">
        <f>_xll.xlqAAII($D$3,D$1&amp;$A20,$B20,$B$1)</f>
        <v>120.82</v>
      </c>
      <c r="E20" s="25">
        <f>_xll.xlqAAII($D$3,E$1&amp;$A20,$B20,$B$1)</f>
        <v>108.8</v>
      </c>
      <c r="F20" s="25">
        <f>_xll.xlqAAII($D$3,F$1&amp;$A20,$B20,$B$1)</f>
        <v>117.94</v>
      </c>
      <c r="G20" s="25">
        <f>_xll.xlqAAII($D$3,G$1&amp;$A20,$B20,$B$1)</f>
        <v>589045.34699999995</v>
      </c>
    </row>
    <row r="21" spans="1:7" x14ac:dyDescent="0.25">
      <c r="A21" s="2" t="s">
        <v>753</v>
      </c>
      <c r="B21" s="2">
        <v>6</v>
      </c>
      <c r="C21" s="30">
        <f>_xll.xlqAAII($D$3,C$1&amp;$A21,$B21,$B$1)</f>
        <v>43524</v>
      </c>
      <c r="D21" s="25">
        <f>_xll.xlqAAII($D$3,D$1&amp;$A21,$B21,$B$1)</f>
        <v>113.24</v>
      </c>
      <c r="E21" s="25">
        <f>_xll.xlqAAII($D$3,E$1&amp;$A21,$B21,$B$1)</f>
        <v>102.35</v>
      </c>
      <c r="F21" s="25">
        <f>_xll.xlqAAII($D$3,F$1&amp;$A21,$B21,$B$1)</f>
        <v>112.03</v>
      </c>
      <c r="G21" s="25">
        <f>_xll.xlqAAII($D$3,G$1&amp;$A21,$B21,$B$1)</f>
        <v>469095.97399999999</v>
      </c>
    </row>
    <row r="22" spans="1:7" x14ac:dyDescent="0.25">
      <c r="A22" s="2" t="s">
        <v>753</v>
      </c>
      <c r="B22" s="2">
        <v>7</v>
      </c>
      <c r="C22" s="30">
        <f>_xll.xlqAAII($D$3,C$1&amp;$A22,$B22,$B$1)</f>
        <v>43496</v>
      </c>
      <c r="D22" s="25">
        <f>_xll.xlqAAII($D$3,D$1&amp;$A22,$B22,$B$1)</f>
        <v>107.9</v>
      </c>
      <c r="E22" s="25">
        <f>_xll.xlqAAII($D$3,E$1&amp;$A22,$B22,$B$1)</f>
        <v>97.2</v>
      </c>
      <c r="F22" s="25">
        <f>_xll.xlqAAII($D$3,F$1&amp;$A22,$B22,$B$1)</f>
        <v>104.43</v>
      </c>
      <c r="G22" s="25">
        <f>_xll.xlqAAII($D$3,G$1&amp;$A22,$B22,$B$1)</f>
        <v>714204.79500000004</v>
      </c>
    </row>
    <row r="23" spans="1:7" x14ac:dyDescent="0.25">
      <c r="A23" s="2" t="s">
        <v>753</v>
      </c>
      <c r="B23" s="2">
        <v>8</v>
      </c>
      <c r="C23" s="30">
        <f>_xll.xlqAAII($D$3,C$1&amp;$A23,$B23,$B$1)</f>
        <v>43465</v>
      </c>
      <c r="D23" s="25">
        <f>_xll.xlqAAII($D$3,D$1&amp;$A23,$B23,$B$1)</f>
        <v>113.42</v>
      </c>
      <c r="E23" s="25">
        <f>_xll.xlqAAII($D$3,E$1&amp;$A23,$B23,$B$1)</f>
        <v>93.96</v>
      </c>
      <c r="F23" s="25">
        <f>_xll.xlqAAII($D$3,F$1&amp;$A23,$B23,$B$1)</f>
        <v>101.57</v>
      </c>
      <c r="G23" s="25">
        <f>_xll.xlqAAII($D$3,G$1&amp;$A23,$B23,$B$1)</f>
        <v>944287.64500000002</v>
      </c>
    </row>
    <row r="24" spans="1:7" x14ac:dyDescent="0.25">
      <c r="A24" s="2" t="s">
        <v>753</v>
      </c>
      <c r="B24" s="2">
        <v>9</v>
      </c>
      <c r="C24" s="30">
        <f>_xll.xlqAAII($D$3,C$1&amp;$A24,$B24,$B$1)</f>
        <v>43434</v>
      </c>
      <c r="D24" s="25">
        <f>_xll.xlqAAII($D$3,D$1&amp;$A24,$B24,$B$1)</f>
        <v>112.24</v>
      </c>
      <c r="E24" s="25">
        <f>_xll.xlqAAII($D$3,E$1&amp;$A24,$B24,$B$1)</f>
        <v>99.352999999999994</v>
      </c>
      <c r="F24" s="25">
        <f>_xll.xlqAAII($D$3,F$1&amp;$A24,$B24,$B$1)</f>
        <v>110.89</v>
      </c>
      <c r="G24" s="25">
        <f>_xll.xlqAAII($D$3,G$1&amp;$A24,$B24,$B$1)</f>
        <v>720228.65</v>
      </c>
    </row>
    <row r="25" spans="1:7" x14ac:dyDescent="0.25">
      <c r="A25" s="2" t="s">
        <v>753</v>
      </c>
      <c r="B25" s="2">
        <v>10</v>
      </c>
      <c r="C25" s="30">
        <f>_xll.xlqAAII($D$3,C$1&amp;$A25,$B25,$B$1)</f>
        <v>43404</v>
      </c>
      <c r="D25" s="25">
        <f>_xll.xlqAAII($D$3,D$1&amp;$A25,$B25,$B$1)</f>
        <v>116.18</v>
      </c>
      <c r="E25" s="25">
        <f>_xll.xlqAAII($D$3,E$1&amp;$A25,$B25,$B$1)</f>
        <v>100.11</v>
      </c>
      <c r="F25" s="25">
        <f>_xll.xlqAAII($D$3,F$1&amp;$A25,$B25,$B$1)</f>
        <v>106.81</v>
      </c>
      <c r="G25" s="25">
        <f>_xll.xlqAAII($D$3,G$1&amp;$A25,$B25,$B$1)</f>
        <v>927547.97199999995</v>
      </c>
    </row>
    <row r="26" spans="1:7" x14ac:dyDescent="0.25">
      <c r="A26" s="2" t="s">
        <v>753</v>
      </c>
      <c r="B26" s="2">
        <v>11</v>
      </c>
      <c r="C26" s="30">
        <f>_xll.xlqAAII($D$3,C$1&amp;$A26,$B26,$B$1)</f>
        <v>43371</v>
      </c>
      <c r="D26" s="25">
        <f>_xll.xlqAAII($D$3,D$1&amp;$A26,$B26,$B$1)</f>
        <v>115.29</v>
      </c>
      <c r="E26" s="25">
        <f>_xll.xlqAAII($D$3,E$1&amp;$A26,$B26,$B$1)</f>
        <v>107.23</v>
      </c>
      <c r="F26" s="25">
        <f>_xll.xlqAAII($D$3,F$1&amp;$A26,$B26,$B$1)</f>
        <v>114.37</v>
      </c>
      <c r="G26" s="25">
        <f>_xll.xlqAAII($D$3,G$1&amp;$A26,$B26,$B$1)</f>
        <v>480255.67200000002</v>
      </c>
    </row>
    <row r="27" spans="1:7" x14ac:dyDescent="0.25">
      <c r="A27" s="2" t="s">
        <v>753</v>
      </c>
      <c r="B27" s="2">
        <v>12</v>
      </c>
      <c r="C27" s="30">
        <f>_xll.xlqAAII($D$3,C$1&amp;$A27,$B27,$B$1)</f>
        <v>43343</v>
      </c>
      <c r="D27" s="25">
        <f>_xll.xlqAAII($D$3,D$1&amp;$A27,$B27,$B$1)</f>
        <v>112.777</v>
      </c>
      <c r="E27" s="25">
        <f>_xll.xlqAAII($D$3,E$1&amp;$A27,$B27,$B$1)</f>
        <v>104.84</v>
      </c>
      <c r="F27" s="25">
        <f>_xll.xlqAAII($D$3,F$1&amp;$A27,$B27,$B$1)</f>
        <v>112.33</v>
      </c>
      <c r="G27" s="25">
        <f>_xll.xlqAAII($D$3,G$1&amp;$A27,$B27,$B$1)</f>
        <v>456630.72499999998</v>
      </c>
    </row>
    <row r="28" spans="1:7" x14ac:dyDescent="0.25">
      <c r="A28" s="2" t="s">
        <v>753</v>
      </c>
      <c r="B28" s="2">
        <v>13</v>
      </c>
      <c r="C28" s="30">
        <f>_xll.xlqAAII($D$3,C$1&amp;$A28,$B28,$B$1)</f>
        <v>43312</v>
      </c>
      <c r="D28" s="25">
        <f>_xll.xlqAAII($D$3,D$1&amp;$A28,$B28,$B$1)</f>
        <v>111.15</v>
      </c>
      <c r="E28" s="25">
        <f>_xll.xlqAAII($D$3,E$1&amp;$A28,$B28,$B$1)</f>
        <v>98</v>
      </c>
      <c r="F28" s="25">
        <f>_xll.xlqAAII($D$3,F$1&amp;$A28,$B28,$B$1)</f>
        <v>106.08</v>
      </c>
      <c r="G28" s="25">
        <f>_xll.xlqAAII($D$3,G$1&amp;$A28,$B28,$B$1)</f>
        <v>569501.58100000001</v>
      </c>
    </row>
    <row r="29" spans="1:7" x14ac:dyDescent="0.25">
      <c r="A29" s="2" t="s">
        <v>753</v>
      </c>
      <c r="B29" s="2">
        <v>14</v>
      </c>
      <c r="C29" s="30">
        <f>_xll.xlqAAII($D$3,C$1&amp;$A29,$B29,$B$1)</f>
        <v>43280</v>
      </c>
      <c r="D29" s="25">
        <f>_xll.xlqAAII($D$3,D$1&amp;$A29,$B29,$B$1)</f>
        <v>102.69</v>
      </c>
      <c r="E29" s="25">
        <f>_xll.xlqAAII($D$3,E$1&amp;$A29,$B29,$B$1)</f>
        <v>97.26</v>
      </c>
      <c r="F29" s="25">
        <f>_xll.xlqAAII($D$3,F$1&amp;$A29,$B29,$B$1)</f>
        <v>98.61</v>
      </c>
      <c r="G29" s="25">
        <f>_xll.xlqAAII($D$3,G$1&amp;$A29,$B29,$B$1)</f>
        <v>602585.32499999995</v>
      </c>
    </row>
    <row r="30" spans="1:7" x14ac:dyDescent="0.25">
      <c r="A30" s="2" t="s">
        <v>753</v>
      </c>
      <c r="B30" s="2">
        <v>15</v>
      </c>
      <c r="C30" s="30">
        <f>_xll.xlqAAII($D$3,C$1&amp;$A30,$B30,$B$1)</f>
        <v>43251</v>
      </c>
      <c r="D30" s="25">
        <f>_xll.xlqAAII($D$3,D$1&amp;$A30,$B30,$B$1)</f>
        <v>99.99</v>
      </c>
      <c r="E30" s="25">
        <f>_xll.xlqAAII($D$3,E$1&amp;$A30,$B30,$B$1)</f>
        <v>92.45</v>
      </c>
      <c r="F30" s="25">
        <f>_xll.xlqAAII($D$3,F$1&amp;$A30,$B30,$B$1)</f>
        <v>98.84</v>
      </c>
      <c r="G30" s="25">
        <f>_xll.xlqAAII($D$3,G$1&amp;$A30,$B30,$B$1)</f>
        <v>509418.12699999998</v>
      </c>
    </row>
    <row r="31" spans="1:7" x14ac:dyDescent="0.25">
      <c r="A31" s="2" t="s">
        <v>753</v>
      </c>
      <c r="B31" s="2">
        <v>16</v>
      </c>
      <c r="C31" s="30">
        <f>_xll.xlqAAII($D$3,C$1&amp;$A31,$B31,$B$1)</f>
        <v>43220</v>
      </c>
      <c r="D31" s="25">
        <f>_xll.xlqAAII($D$3,D$1&amp;$A31,$B31,$B$1)</f>
        <v>97.9</v>
      </c>
      <c r="E31" s="25">
        <f>_xll.xlqAAII($D$3,E$1&amp;$A31,$B31,$B$1)</f>
        <v>87.51</v>
      </c>
      <c r="F31" s="25">
        <f>_xll.xlqAAII($D$3,F$1&amp;$A31,$B31,$B$1)</f>
        <v>93.52</v>
      </c>
      <c r="G31" s="25">
        <f>_xll.xlqAAII($D$3,G$1&amp;$A31,$B31,$B$1)</f>
        <v>668258.57900000003</v>
      </c>
    </row>
    <row r="32" spans="1:7" x14ac:dyDescent="0.25">
      <c r="A32" s="2" t="s">
        <v>753</v>
      </c>
      <c r="B32" s="2">
        <v>17</v>
      </c>
      <c r="C32" s="30">
        <f>_xll.xlqAAII($D$3,C$1&amp;$A32,$B32,$B$1)</f>
        <v>43188</v>
      </c>
      <c r="D32" s="25">
        <f>_xll.xlqAAII($D$3,D$1&amp;$A32,$B32,$B$1)</f>
        <v>97.24</v>
      </c>
      <c r="E32" s="25">
        <f>_xll.xlqAAII($D$3,E$1&amp;$A32,$B32,$B$1)</f>
        <v>87.08</v>
      </c>
      <c r="F32" s="25">
        <f>_xll.xlqAAII($D$3,F$1&amp;$A32,$B32,$B$1)</f>
        <v>91.27</v>
      </c>
      <c r="G32" s="25">
        <f>_xll.xlqAAII($D$3,G$1&amp;$A32,$B32,$B$1)</f>
        <v>750754.89800000004</v>
      </c>
    </row>
    <row r="33" spans="1:7" x14ac:dyDescent="0.25">
      <c r="A33" s="2" t="s">
        <v>753</v>
      </c>
      <c r="B33" s="2">
        <v>18</v>
      </c>
      <c r="C33" s="30">
        <f>_xll.xlqAAII($D$3,C$1&amp;$A33,$B33,$B$1)</f>
        <v>43159</v>
      </c>
      <c r="D33" s="25">
        <f>_xll.xlqAAII($D$3,D$1&amp;$A33,$B33,$B$1)</f>
        <v>96.07</v>
      </c>
      <c r="E33" s="25">
        <f>_xll.xlqAAII($D$3,E$1&amp;$A33,$B33,$B$1)</f>
        <v>83.83</v>
      </c>
      <c r="F33" s="25">
        <f>_xll.xlqAAII($D$3,F$1&amp;$A33,$B33,$B$1)</f>
        <v>93.77</v>
      </c>
      <c r="G33" s="25">
        <f>_xll.xlqAAII($D$3,G$1&amp;$A33,$B33,$B$1)</f>
        <v>725663.24199999997</v>
      </c>
    </row>
    <row r="34" spans="1:7" x14ac:dyDescent="0.25">
      <c r="A34" s="2" t="s">
        <v>753</v>
      </c>
      <c r="B34" s="2">
        <v>19</v>
      </c>
      <c r="C34" s="30">
        <f>_xll.xlqAAII($D$3,C$1&amp;$A34,$B34,$B$1)</f>
        <v>43131</v>
      </c>
      <c r="D34" s="25">
        <f>_xll.xlqAAII($D$3,D$1&amp;$A34,$B34,$B$1)</f>
        <v>95.45</v>
      </c>
      <c r="E34" s="25">
        <f>_xll.xlqAAII($D$3,E$1&amp;$A34,$B34,$B$1)</f>
        <v>85.5</v>
      </c>
      <c r="F34" s="25">
        <f>_xll.xlqAAII($D$3,F$1&amp;$A34,$B34,$B$1)</f>
        <v>95.01</v>
      </c>
      <c r="G34" s="25">
        <f>_xll.xlqAAII($D$3,G$1&amp;$A34,$B34,$B$1)</f>
        <v>574258.51699999999</v>
      </c>
    </row>
    <row r="35" spans="1:7" x14ac:dyDescent="0.25">
      <c r="A35" s="2" t="s">
        <v>753</v>
      </c>
      <c r="B35" s="2">
        <v>20</v>
      </c>
      <c r="C35" s="30">
        <f>_xll.xlqAAII($D$3,C$1&amp;$A35,$B35,$B$1)</f>
        <v>43098</v>
      </c>
      <c r="D35" s="25">
        <f>_xll.xlqAAII($D$3,D$1&amp;$A35,$B35,$B$1)</f>
        <v>87.5</v>
      </c>
      <c r="E35" s="25">
        <f>_xll.xlqAAII($D$3,E$1&amp;$A35,$B35,$B$1)</f>
        <v>80.7</v>
      </c>
      <c r="F35" s="25">
        <f>_xll.xlqAAII($D$3,F$1&amp;$A35,$B35,$B$1)</f>
        <v>85.54</v>
      </c>
      <c r="G35" s="25">
        <f>_xll.xlqAAII($D$3,G$1&amp;$A35,$B35,$B$1)</f>
        <v>466203.34299999999</v>
      </c>
    </row>
    <row r="36" spans="1:7" x14ac:dyDescent="0.25">
      <c r="A36" s="2" t="s">
        <v>753</v>
      </c>
      <c r="B36" s="2">
        <v>21</v>
      </c>
      <c r="C36" s="30">
        <f>_xll.xlqAAII($D$3,C$1&amp;$A36,$B36,$B$1)</f>
        <v>43069</v>
      </c>
      <c r="D36" s="25">
        <f>_xll.xlqAAII($D$3,D$1&amp;$A36,$B36,$B$1)</f>
        <v>85.06</v>
      </c>
      <c r="E36" s="25">
        <f>_xll.xlqAAII($D$3,E$1&amp;$A36,$B36,$B$1)</f>
        <v>82.24</v>
      </c>
      <c r="F36" s="25">
        <f>_xll.xlqAAII($D$3,F$1&amp;$A36,$B36,$B$1)</f>
        <v>84.17</v>
      </c>
      <c r="G36" s="25">
        <f>_xll.xlqAAII($D$3,G$1&amp;$A36,$B36,$B$1)</f>
        <v>421925.86900000001</v>
      </c>
    </row>
    <row r="37" spans="1:7" x14ac:dyDescent="0.25">
      <c r="A37" s="2" t="s">
        <v>753</v>
      </c>
      <c r="B37" s="2">
        <v>22</v>
      </c>
      <c r="C37" s="30">
        <f>_xll.xlqAAII($D$3,C$1&amp;$A37,$B37,$B$1)</f>
        <v>43039</v>
      </c>
      <c r="D37" s="25">
        <f>_xll.xlqAAII($D$3,D$1&amp;$A37,$B37,$B$1)</f>
        <v>86.2</v>
      </c>
      <c r="E37" s="25">
        <f>_xll.xlqAAII($D$3,E$1&amp;$A37,$B37,$B$1)</f>
        <v>73.709999999999994</v>
      </c>
      <c r="F37" s="25">
        <f>_xll.xlqAAII($D$3,F$1&amp;$A37,$B37,$B$1)</f>
        <v>83.18</v>
      </c>
      <c r="G37" s="25">
        <f>_xll.xlqAAII($D$3,G$1&amp;$A37,$B37,$B$1)</f>
        <v>449949.98200000002</v>
      </c>
    </row>
    <row r="38" spans="1:7" x14ac:dyDescent="0.25">
      <c r="A38" s="2" t="s">
        <v>753</v>
      </c>
      <c r="B38" s="2">
        <v>23</v>
      </c>
      <c r="C38" s="30">
        <f>_xll.xlqAAII($D$3,C$1&amp;$A38,$B38,$B$1)</f>
        <v>43007</v>
      </c>
      <c r="D38" s="25">
        <f>_xll.xlqAAII($D$3,D$1&amp;$A38,$B38,$B$1)</f>
        <v>75.97</v>
      </c>
      <c r="E38" s="25">
        <f>_xll.xlqAAII($D$3,E$1&amp;$A38,$B38,$B$1)</f>
        <v>72.92</v>
      </c>
      <c r="F38" s="25">
        <f>_xll.xlqAAII($D$3,F$1&amp;$A38,$B38,$B$1)</f>
        <v>74.489999999999995</v>
      </c>
      <c r="G38" s="25">
        <f>_xll.xlqAAII($D$3,G$1&amp;$A38,$B38,$B$1)</f>
        <v>376670.21</v>
      </c>
    </row>
    <row r="39" spans="1:7" x14ac:dyDescent="0.25">
      <c r="A39" s="2" t="s">
        <v>753</v>
      </c>
      <c r="B39" s="2">
        <v>24</v>
      </c>
      <c r="C39" s="30">
        <f>_xll.xlqAAII($D$3,C$1&amp;$A39,$B39,$B$1)</f>
        <v>42978</v>
      </c>
      <c r="D39" s="25">
        <f>_xll.xlqAAII($D$3,D$1&amp;$A39,$B39,$B$1)</f>
        <v>74.959999999999994</v>
      </c>
      <c r="E39" s="25">
        <f>_xll.xlqAAII($D$3,E$1&amp;$A39,$B39,$B$1)</f>
        <v>71.28</v>
      </c>
      <c r="F39" s="25">
        <f>_xll.xlqAAII($D$3,F$1&amp;$A39,$B39,$B$1)</f>
        <v>74.77</v>
      </c>
      <c r="G39" s="25">
        <f>_xll.xlqAAII($D$3,G$1&amp;$A39,$B39,$B$1)</f>
        <v>442761.9</v>
      </c>
    </row>
    <row r="40" spans="1:7" x14ac:dyDescent="0.25">
      <c r="A40" s="2" t="s">
        <v>753</v>
      </c>
      <c r="B40" s="2">
        <v>25</v>
      </c>
      <c r="C40" s="30">
        <f>_xll.xlqAAII($D$3,C$1&amp;$A40,$B40,$B$1)</f>
        <v>42947</v>
      </c>
      <c r="D40" s="25">
        <f>_xll.xlqAAII($D$3,D$1&amp;$A40,$B40,$B$1)</f>
        <v>74.42</v>
      </c>
      <c r="E40" s="25">
        <f>_xll.xlqAAII($D$3,E$1&amp;$A40,$B40,$B$1)</f>
        <v>68.02</v>
      </c>
      <c r="F40" s="25">
        <f>_xll.xlqAAII($D$3,F$1&amp;$A40,$B40,$B$1)</f>
        <v>72.7</v>
      </c>
      <c r="G40" s="25">
        <f>_xll.xlqAAII($D$3,G$1&amp;$A40,$B40,$B$1)</f>
        <v>469851.28700000001</v>
      </c>
    </row>
    <row r="41" spans="1:7" x14ac:dyDescent="0.25">
      <c r="A41" s="2" t="s">
        <v>753</v>
      </c>
      <c r="B41" s="2">
        <v>26</v>
      </c>
      <c r="C41" s="30">
        <f>_xll.xlqAAII($D$3,C$1&amp;$A41,$B41,$B$1)</f>
        <v>42916</v>
      </c>
      <c r="D41" s="25">
        <f>_xll.xlqAAII($D$3,D$1&amp;$A41,$B41,$B$1)</f>
        <v>72.89</v>
      </c>
      <c r="E41" s="25">
        <f>_xll.xlqAAII($D$3,E$1&amp;$A41,$B41,$B$1)</f>
        <v>68.09</v>
      </c>
      <c r="F41" s="25">
        <f>_xll.xlqAAII($D$3,F$1&amp;$A41,$B41,$B$1)</f>
        <v>68.930000000000007</v>
      </c>
      <c r="G41" s="25">
        <f>_xll.xlqAAII($D$3,G$1&amp;$A41,$B41,$B$1)</f>
        <v>629716.62699999998</v>
      </c>
    </row>
    <row r="42" spans="1:7" x14ac:dyDescent="0.25">
      <c r="A42" s="2" t="s">
        <v>753</v>
      </c>
      <c r="B42" s="2">
        <v>27</v>
      </c>
      <c r="C42" s="30">
        <f>_xll.xlqAAII($D$3,C$1&amp;$A42,$B42,$B$1)</f>
        <v>42886</v>
      </c>
      <c r="D42" s="25">
        <f>_xll.xlqAAII($D$3,D$1&amp;$A42,$B42,$B$1)</f>
        <v>70.739999999999995</v>
      </c>
      <c r="E42" s="25">
        <f>_xll.xlqAAII($D$3,E$1&amp;$A42,$B42,$B$1)</f>
        <v>67.14</v>
      </c>
      <c r="F42" s="25">
        <f>_xll.xlqAAII($D$3,F$1&amp;$A42,$B42,$B$1)</f>
        <v>69.84</v>
      </c>
      <c r="G42" s="25">
        <f>_xll.xlqAAII($D$3,G$1&amp;$A42,$B42,$B$1)</f>
        <v>517291.49</v>
      </c>
    </row>
    <row r="43" spans="1:7" x14ac:dyDescent="0.25">
      <c r="A43" s="2" t="s">
        <v>753</v>
      </c>
      <c r="B43" s="2">
        <v>28</v>
      </c>
      <c r="C43" s="30">
        <f>_xll.xlqAAII($D$3,C$1&amp;$A43,$B43,$B$1)</f>
        <v>42853</v>
      </c>
      <c r="D43" s="25">
        <f>_xll.xlqAAII($D$3,D$1&amp;$A43,$B43,$B$1)</f>
        <v>69.14</v>
      </c>
      <c r="E43" s="25">
        <f>_xll.xlqAAII($D$3,E$1&amp;$A43,$B43,$B$1)</f>
        <v>64.849999999999994</v>
      </c>
      <c r="F43" s="25">
        <f>_xll.xlqAAII($D$3,F$1&amp;$A43,$B43,$B$1)</f>
        <v>68.459999999999994</v>
      </c>
      <c r="G43" s="25">
        <f>_xll.xlqAAII($D$3,G$1&amp;$A43,$B43,$B$1)</f>
        <v>433191.19099999999</v>
      </c>
    </row>
    <row r="44" spans="1:7" x14ac:dyDescent="0.25">
      <c r="A44" s="2" t="s">
        <v>753</v>
      </c>
      <c r="B44" s="2">
        <v>29</v>
      </c>
      <c r="C44" s="30">
        <f>_xll.xlqAAII($D$3,C$1&amp;$A44,$B44,$B$1)</f>
        <v>42825</v>
      </c>
      <c r="D44" s="25">
        <f>_xll.xlqAAII($D$3,D$1&amp;$A44,$B44,$B$1)</f>
        <v>66.19</v>
      </c>
      <c r="E44" s="25">
        <f>_xll.xlqAAII($D$3,E$1&amp;$A44,$B44,$B$1)</f>
        <v>63.62</v>
      </c>
      <c r="F44" s="25">
        <f>_xll.xlqAAII($D$3,F$1&amp;$A44,$B44,$B$1)</f>
        <v>65.86</v>
      </c>
      <c r="G44" s="25">
        <f>_xll.xlqAAII($D$3,G$1&amp;$A44,$B44,$B$1)</f>
        <v>489173.22499999998</v>
      </c>
    </row>
    <row r="45" spans="1:7" x14ac:dyDescent="0.25">
      <c r="A45" s="2" t="s">
        <v>753</v>
      </c>
      <c r="B45" s="2">
        <v>30</v>
      </c>
      <c r="C45" s="30">
        <f>_xll.xlqAAII($D$3,C$1&amp;$A45,$B45,$B$1)</f>
        <v>42794</v>
      </c>
      <c r="D45" s="25">
        <f>_xll.xlqAAII($D$3,D$1&amp;$A45,$B45,$B$1)</f>
        <v>65.239999999999995</v>
      </c>
      <c r="E45" s="25">
        <f>_xll.xlqAAII($D$3,E$1&amp;$A45,$B45,$B$1)</f>
        <v>62.75</v>
      </c>
      <c r="F45" s="25">
        <f>_xll.xlqAAII($D$3,F$1&amp;$A45,$B45,$B$1)</f>
        <v>63.98</v>
      </c>
      <c r="G45" s="25">
        <f>_xll.xlqAAII($D$3,G$1&amp;$A45,$B45,$B$1)</f>
        <v>440744.04800000001</v>
      </c>
    </row>
    <row r="46" spans="1:7" x14ac:dyDescent="0.25">
      <c r="A46" s="2" t="s">
        <v>753</v>
      </c>
      <c r="B46" s="2">
        <v>31</v>
      </c>
      <c r="C46" s="30">
        <f>_xll.xlqAAII($D$3,C$1&amp;$A46,$B46,$B$1)</f>
        <v>42766</v>
      </c>
      <c r="D46" s="25">
        <f>_xll.xlqAAII($D$3,D$1&amp;$A46,$B46,$B$1)</f>
        <v>65.91</v>
      </c>
      <c r="E46" s="25">
        <f>_xll.xlqAAII($D$3,E$1&amp;$A46,$B46,$B$1)</f>
        <v>61.95</v>
      </c>
      <c r="F46" s="25">
        <f>_xll.xlqAAII($D$3,F$1&amp;$A46,$B46,$B$1)</f>
        <v>64.650000000000006</v>
      </c>
      <c r="G46" s="25">
        <f>_xll.xlqAAII($D$3,G$1&amp;$A46,$B46,$B$1)</f>
        <v>494435.84000000003</v>
      </c>
    </row>
    <row r="47" spans="1:7" x14ac:dyDescent="0.25">
      <c r="A47" s="2" t="s">
        <v>753</v>
      </c>
      <c r="B47" s="2">
        <v>32</v>
      </c>
      <c r="C47" s="30">
        <f>_xll.xlqAAII($D$3,C$1&amp;$A47,$B47,$B$1)</f>
        <v>42734</v>
      </c>
      <c r="D47" s="25">
        <f>_xll.xlqAAII($D$3,D$1&amp;$A47,$B47,$B$1)</f>
        <v>64.099999999999994</v>
      </c>
      <c r="E47" s="25">
        <f>_xll.xlqAAII($D$3,E$1&amp;$A47,$B47,$B$1)</f>
        <v>58.8</v>
      </c>
      <c r="F47" s="25">
        <f>_xll.xlqAAII($D$3,F$1&amp;$A47,$B47,$B$1)</f>
        <v>62.14</v>
      </c>
      <c r="G47" s="25">
        <f>_xll.xlqAAII($D$3,G$1&amp;$A47,$B47,$B$1)</f>
        <v>513579.43400000001</v>
      </c>
    </row>
    <row r="48" spans="1:7" x14ac:dyDescent="0.25">
      <c r="A48" s="2" t="s">
        <v>753</v>
      </c>
      <c r="B48" s="2">
        <v>33</v>
      </c>
      <c r="C48" s="30">
        <f>_xll.xlqAAII($D$3,C$1&amp;$A48,$B48,$B$1)</f>
        <v>42704</v>
      </c>
      <c r="D48" s="25">
        <f>_xll.xlqAAII($D$3,D$1&amp;$A48,$B48,$B$1)</f>
        <v>61.41</v>
      </c>
      <c r="E48" s="25">
        <f>_xll.xlqAAII($D$3,E$1&amp;$A48,$B48,$B$1)</f>
        <v>57.28</v>
      </c>
      <c r="F48" s="25">
        <f>_xll.xlqAAII($D$3,F$1&amp;$A48,$B48,$B$1)</f>
        <v>60.26</v>
      </c>
      <c r="G48" s="25">
        <f>_xll.xlqAAII($D$3,G$1&amp;$A48,$B48,$B$1)</f>
        <v>613056.96900000004</v>
      </c>
    </row>
    <row r="49" spans="1:7" x14ac:dyDescent="0.25">
      <c r="A49" s="2" t="s">
        <v>753</v>
      </c>
      <c r="B49" s="2">
        <v>34</v>
      </c>
      <c r="C49" s="30">
        <f>_xll.xlqAAII($D$3,C$1&amp;$A49,$B49,$B$1)</f>
        <v>42674</v>
      </c>
      <c r="D49" s="25">
        <f>_xll.xlqAAII($D$3,D$1&amp;$A49,$B49,$B$1)</f>
        <v>61.37</v>
      </c>
      <c r="E49" s="25">
        <f>_xll.xlqAAII($D$3,E$1&amp;$A49,$B49,$B$1)</f>
        <v>56.314999999999998</v>
      </c>
      <c r="F49" s="25">
        <f>_xll.xlqAAII($D$3,F$1&amp;$A49,$B49,$B$1)</f>
        <v>59.92</v>
      </c>
      <c r="G49" s="25">
        <f>_xll.xlqAAII($D$3,G$1&amp;$A49,$B49,$B$1)</f>
        <v>614841.76500000001</v>
      </c>
    </row>
    <row r="50" spans="1:7" x14ac:dyDescent="0.25">
      <c r="A50" s="2" t="s">
        <v>753</v>
      </c>
      <c r="B50" s="2">
        <v>35</v>
      </c>
      <c r="C50" s="30">
        <f>_xll.xlqAAII($D$3,C$1&amp;$A50,$B50,$B$1)</f>
        <v>42643</v>
      </c>
      <c r="D50" s="25">
        <f>_xll.xlqAAII($D$3,D$1&amp;$A50,$B50,$B$1)</f>
        <v>58.19</v>
      </c>
      <c r="E50" s="25">
        <f>_xll.xlqAAII($D$3,E$1&amp;$A50,$B50,$B$1)</f>
        <v>55.61</v>
      </c>
      <c r="F50" s="25">
        <f>_xll.xlqAAII($D$3,F$1&amp;$A50,$B50,$B$1)</f>
        <v>57.6</v>
      </c>
      <c r="G50" s="25">
        <f>_xll.xlqAAII($D$3,G$1&amp;$A50,$B50,$B$1)</f>
        <v>526855.09</v>
      </c>
    </row>
    <row r="51" spans="1:7" x14ac:dyDescent="0.25">
      <c r="A51" s="2" t="s">
        <v>753</v>
      </c>
      <c r="B51" s="2">
        <v>36</v>
      </c>
      <c r="C51" s="30">
        <f>_xll.xlqAAII($D$3,C$1&amp;$A51,$B51,$B$1)</f>
        <v>42613</v>
      </c>
      <c r="D51" s="25">
        <f>_xll.xlqAAII($D$3,D$1&amp;$A51,$B51,$B$1)</f>
        <v>58.7</v>
      </c>
      <c r="E51" s="25">
        <f>_xll.xlqAAII($D$3,E$1&amp;$A51,$B51,$B$1)</f>
        <v>56.14</v>
      </c>
      <c r="F51" s="25">
        <f>_xll.xlqAAII($D$3,F$1&amp;$A51,$B51,$B$1)</f>
        <v>57.46</v>
      </c>
      <c r="G51" s="25">
        <f>_xll.xlqAAII($D$3,G$1&amp;$A51,$B51,$B$1)</f>
        <v>467079.01500000001</v>
      </c>
    </row>
    <row r="52" spans="1:7" x14ac:dyDescent="0.25">
      <c r="A52" s="2" t="s">
        <v>753</v>
      </c>
      <c r="B52" s="2">
        <v>37</v>
      </c>
      <c r="C52" s="30">
        <f>_xll.xlqAAII($D$3,C$1&amp;$A52,$B52,$B$1)</f>
        <v>42580</v>
      </c>
      <c r="D52" s="25">
        <f>_xll.xlqAAII($D$3,D$1&amp;$A52,$B52,$B$1)</f>
        <v>57.29</v>
      </c>
      <c r="E52" s="25">
        <f>_xll.xlqAAII($D$3,E$1&amp;$A52,$B52,$B$1)</f>
        <v>50.39</v>
      </c>
      <c r="F52" s="25">
        <f>_xll.xlqAAII($D$3,F$1&amp;$A52,$B52,$B$1)</f>
        <v>56.68</v>
      </c>
      <c r="G52" s="25">
        <f>_xll.xlqAAII($D$3,G$1&amp;$A52,$B52,$B$1)</f>
        <v>647587.65399999998</v>
      </c>
    </row>
    <row r="53" spans="1:7" x14ac:dyDescent="0.25">
      <c r="A53" s="2" t="s">
        <v>753</v>
      </c>
      <c r="B53" s="2">
        <v>38</v>
      </c>
      <c r="C53" s="30">
        <f>_xll.xlqAAII($D$3,C$1&amp;$A53,$B53,$B$1)</f>
        <v>42551</v>
      </c>
      <c r="D53" s="25">
        <f>_xll.xlqAAII($D$3,D$1&amp;$A53,$B53,$B$1)</f>
        <v>52.95</v>
      </c>
      <c r="E53" s="25">
        <f>_xll.xlqAAII($D$3,E$1&amp;$A53,$B53,$B$1)</f>
        <v>48.034999999999997</v>
      </c>
      <c r="F53" s="25">
        <f>_xll.xlqAAII($D$3,F$1&amp;$A53,$B53,$B$1)</f>
        <v>51.17</v>
      </c>
      <c r="G53" s="25">
        <f>_xll.xlqAAII($D$3,G$1&amp;$A53,$B53,$B$1)</f>
        <v>823987.54799999995</v>
      </c>
    </row>
    <row r="54" spans="1:7" x14ac:dyDescent="0.25">
      <c r="A54" s="2" t="s">
        <v>753</v>
      </c>
      <c r="B54" s="2">
        <v>39</v>
      </c>
      <c r="C54" s="30">
        <f>_xll.xlqAAII($D$3,C$1&amp;$A54,$B54,$B$1)</f>
        <v>42521</v>
      </c>
      <c r="D54" s="25">
        <f>_xll.xlqAAII($D$3,D$1&amp;$A54,$B54,$B$1)</f>
        <v>53</v>
      </c>
      <c r="E54" s="25">
        <f>_xll.xlqAAII($D$3,E$1&amp;$A54,$B54,$B$1)</f>
        <v>49.46</v>
      </c>
      <c r="F54" s="25">
        <f>_xll.xlqAAII($D$3,F$1&amp;$A54,$B54,$B$1)</f>
        <v>53</v>
      </c>
      <c r="G54" s="25">
        <f>_xll.xlqAAII($D$3,G$1&amp;$A54,$B54,$B$1)</f>
        <v>530869.35800000001</v>
      </c>
    </row>
    <row r="55" spans="1:7" x14ac:dyDescent="0.25">
      <c r="A55" s="2" t="s">
        <v>753</v>
      </c>
      <c r="B55" s="2">
        <v>40</v>
      </c>
      <c r="C55" s="30">
        <f>_xll.xlqAAII($D$3,C$1&amp;$A55,$B55,$B$1)</f>
        <v>42489</v>
      </c>
      <c r="D55" s="25">
        <f>_xll.xlqAAII($D$3,D$1&amp;$A55,$B55,$B$1)</f>
        <v>56.77</v>
      </c>
      <c r="E55" s="25">
        <f>_xll.xlqAAII($D$3,E$1&amp;$A55,$B55,$B$1)</f>
        <v>49.35</v>
      </c>
      <c r="F55" s="25">
        <f>_xll.xlqAAII($D$3,F$1&amp;$A55,$B55,$B$1)</f>
        <v>49.87</v>
      </c>
      <c r="G55" s="25">
        <f>_xll.xlqAAII($D$3,G$1&amp;$A55,$B55,$B$1)</f>
        <v>699025.63699999999</v>
      </c>
    </row>
    <row r="56" spans="1:7" x14ac:dyDescent="0.25">
      <c r="A56" s="2" t="s">
        <v>753</v>
      </c>
      <c r="B56" s="2">
        <v>41</v>
      </c>
      <c r="C56" s="30">
        <f>_xll.xlqAAII($D$3,C$1&amp;$A56,$B56,$B$1)</f>
        <v>42460</v>
      </c>
      <c r="D56" s="25">
        <f>_xll.xlqAAII($D$3,D$1&amp;$A56,$B56,$B$1)</f>
        <v>55.64</v>
      </c>
      <c r="E56" s="25">
        <f>_xll.xlqAAII($D$3,E$1&amp;$A56,$B56,$B$1)</f>
        <v>50.58</v>
      </c>
      <c r="F56" s="25">
        <f>_xll.xlqAAII($D$3,F$1&amp;$A56,$B56,$B$1)</f>
        <v>55.23</v>
      </c>
      <c r="G56" s="25">
        <f>_xll.xlqAAII($D$3,G$1&amp;$A56,$B56,$B$1)</f>
        <v>641131.94400000002</v>
      </c>
    </row>
    <row r="57" spans="1:7" x14ac:dyDescent="0.25">
      <c r="A57" s="2" t="s">
        <v>753</v>
      </c>
      <c r="B57" s="2">
        <v>42</v>
      </c>
      <c r="C57" s="30">
        <f>_xll.xlqAAII($D$3,C$1&amp;$A57,$B57,$B$1)</f>
        <v>42429</v>
      </c>
      <c r="D57" s="25">
        <f>_xll.xlqAAII($D$3,D$1&amp;$A57,$B57,$B$1)</f>
        <v>55.09</v>
      </c>
      <c r="E57" s="25">
        <f>_xll.xlqAAII($D$3,E$1&amp;$A57,$B57,$B$1)</f>
        <v>48.19</v>
      </c>
      <c r="F57" s="25">
        <f>_xll.xlqAAII($D$3,F$1&amp;$A57,$B57,$B$1)</f>
        <v>50.88</v>
      </c>
      <c r="G57" s="25">
        <f>_xll.xlqAAII($D$3,G$1&amp;$A57,$B57,$B$1)</f>
        <v>814770.78599999996</v>
      </c>
    </row>
    <row r="58" spans="1:7" x14ac:dyDescent="0.25">
      <c r="A58" s="2" t="s">
        <v>753</v>
      </c>
      <c r="B58" s="2">
        <v>43</v>
      </c>
      <c r="C58" s="30">
        <f>_xll.xlqAAII($D$3,C$1&amp;$A58,$B58,$B$1)</f>
        <v>42398</v>
      </c>
      <c r="D58" s="25">
        <f>_xll.xlqAAII($D$3,D$1&amp;$A58,$B58,$B$1)</f>
        <v>55.39</v>
      </c>
      <c r="E58" s="25">
        <f>_xll.xlqAAII($D$3,E$1&amp;$A58,$B58,$B$1)</f>
        <v>49.1</v>
      </c>
      <c r="F58" s="25">
        <f>_xll.xlqAAII($D$3,F$1&amp;$A58,$B58,$B$1)</f>
        <v>55.09</v>
      </c>
      <c r="G58" s="25">
        <f>_xll.xlqAAII($D$3,G$1&amp;$A58,$B58,$B$1)</f>
        <v>927914.48699999996</v>
      </c>
    </row>
    <row r="59" spans="1:7" x14ac:dyDescent="0.25">
      <c r="A59" s="2" t="s">
        <v>753</v>
      </c>
      <c r="B59" s="2">
        <v>44</v>
      </c>
      <c r="C59" s="30">
        <f>_xll.xlqAAII($D$3,C$1&amp;$A59,$B59,$B$1)</f>
        <v>42369</v>
      </c>
      <c r="D59" s="25">
        <f>_xll.xlqAAII($D$3,D$1&amp;$A59,$B59,$B$1)</f>
        <v>56.85</v>
      </c>
      <c r="E59" s="25">
        <f>_xll.xlqAAII($D$3,E$1&amp;$A59,$B59,$B$1)</f>
        <v>53.68</v>
      </c>
      <c r="F59" s="25">
        <f>_xll.xlqAAII($D$3,F$1&amp;$A59,$B59,$B$1)</f>
        <v>55.48</v>
      </c>
      <c r="G59" s="25">
        <f>_xll.xlqAAII($D$3,G$1&amp;$A59,$B59,$B$1)</f>
        <v>793070.03500000003</v>
      </c>
    </row>
    <row r="60" spans="1:7" x14ac:dyDescent="0.25">
      <c r="A60" s="2" t="s">
        <v>753</v>
      </c>
      <c r="B60" s="2">
        <v>45</v>
      </c>
      <c r="C60" s="30">
        <f>_xll.xlqAAII($D$3,C$1&amp;$A60,$B60,$B$1)</f>
        <v>42338</v>
      </c>
      <c r="D60" s="25">
        <f>_xll.xlqAAII($D$3,D$1&amp;$A60,$B60,$B$1)</f>
        <v>54.98</v>
      </c>
      <c r="E60" s="25">
        <f>_xll.xlqAAII($D$3,E$1&amp;$A60,$B60,$B$1)</f>
        <v>52.53</v>
      </c>
      <c r="F60" s="25">
        <f>_xll.xlqAAII($D$3,F$1&amp;$A60,$B60,$B$1)</f>
        <v>54.35</v>
      </c>
      <c r="G60" s="25">
        <f>_xll.xlqAAII($D$3,G$1&amp;$A60,$B60,$B$1)</f>
        <v>662626.72699999996</v>
      </c>
    </row>
    <row r="61" spans="1:7" x14ac:dyDescent="0.25">
      <c r="A61" s="2" t="s">
        <v>753</v>
      </c>
      <c r="B61" s="2">
        <v>46</v>
      </c>
      <c r="C61" s="30">
        <f>_xll.xlqAAII($D$3,C$1&amp;$A61,$B61,$B$1)</f>
        <v>42307</v>
      </c>
      <c r="D61" s="25">
        <f>_xll.xlqAAII($D$3,D$1&amp;$A61,$B61,$B$1)</f>
        <v>54.37</v>
      </c>
      <c r="E61" s="25">
        <f>_xll.xlqAAII($D$3,E$1&amp;$A61,$B61,$B$1)</f>
        <v>43.75</v>
      </c>
      <c r="F61" s="25">
        <f>_xll.xlqAAII($D$3,F$1&amp;$A61,$B61,$B$1)</f>
        <v>52.64</v>
      </c>
      <c r="G61" s="25">
        <f>_xll.xlqAAII($D$3,G$1&amp;$A61,$B61,$B$1)</f>
        <v>857330.68700000003</v>
      </c>
    </row>
    <row r="62" spans="1:7" x14ac:dyDescent="0.25">
      <c r="A62" s="2" t="s">
        <v>753</v>
      </c>
      <c r="B62" s="2">
        <v>47</v>
      </c>
      <c r="C62" s="30">
        <f>_xll.xlqAAII($D$3,C$1&amp;$A62,$B62,$B$1)</f>
        <v>42277</v>
      </c>
      <c r="D62" s="25">
        <f>_xll.xlqAAII($D$3,D$1&amp;$A62,$B62,$B$1)</f>
        <v>45</v>
      </c>
      <c r="E62" s="25">
        <f>_xll.xlqAAII($D$3,E$1&amp;$A62,$B62,$B$1)</f>
        <v>41.66</v>
      </c>
      <c r="F62" s="25">
        <f>_xll.xlqAAII($D$3,F$1&amp;$A62,$B62,$B$1)</f>
        <v>44.26</v>
      </c>
      <c r="G62" s="25">
        <f>_xll.xlqAAII($D$3,G$1&amp;$A62,$B62,$B$1)</f>
        <v>673079.85900000005</v>
      </c>
    </row>
    <row r="63" spans="1:7" x14ac:dyDescent="0.25">
      <c r="A63" s="2" t="s">
        <v>753</v>
      </c>
      <c r="B63" s="2">
        <v>48</v>
      </c>
      <c r="C63" s="30">
        <f>_xll.xlqAAII($D$3,C$1&amp;$A63,$B63,$B$1)</f>
        <v>42247</v>
      </c>
      <c r="D63" s="25">
        <f>_xll.xlqAAII($D$3,D$1&amp;$A63,$B63,$B$1)</f>
        <v>48.41</v>
      </c>
      <c r="E63" s="25">
        <f>_xll.xlqAAII($D$3,E$1&amp;$A63,$B63,$B$1)</f>
        <v>39.72</v>
      </c>
      <c r="F63" s="25">
        <f>_xll.xlqAAII($D$3,F$1&amp;$A63,$B63,$B$1)</f>
        <v>43.52</v>
      </c>
      <c r="G63" s="25">
        <f>_xll.xlqAAII($D$3,G$1&amp;$A63,$B63,$B$1)</f>
        <v>776497.51599999995</v>
      </c>
    </row>
    <row r="64" spans="1:7" x14ac:dyDescent="0.25">
      <c r="A64" s="2" t="s">
        <v>753</v>
      </c>
      <c r="B64" s="2">
        <v>49</v>
      </c>
      <c r="C64" s="30">
        <f>_xll.xlqAAII($D$3,C$1&amp;$A64,$B64,$B$1)</f>
        <v>42216</v>
      </c>
      <c r="D64" s="25">
        <f>_xll.xlqAAII($D$3,D$1&amp;$A64,$B64,$B$1)</f>
        <v>47.4</v>
      </c>
      <c r="E64" s="25">
        <f>_xll.xlqAAII($D$3,E$1&amp;$A64,$B64,$B$1)</f>
        <v>43.32</v>
      </c>
      <c r="F64" s="25">
        <f>_xll.xlqAAII($D$3,F$1&amp;$A64,$B64,$B$1)</f>
        <v>46.7</v>
      </c>
      <c r="G64" s="25">
        <f>_xll.xlqAAII($D$3,G$1&amp;$A64,$B64,$B$1)</f>
        <v>725458.11199999996</v>
      </c>
    </row>
    <row r="65" spans="1:7" x14ac:dyDescent="0.25">
      <c r="A65" s="2" t="s">
        <v>753</v>
      </c>
      <c r="B65" s="2">
        <v>50</v>
      </c>
      <c r="C65" s="30">
        <f>_xll.xlqAAII($D$3,C$1&amp;$A65,$B65,$B$1)</f>
        <v>42185</v>
      </c>
      <c r="D65" s="25">
        <f>_xll.xlqAAII($D$3,D$1&amp;$A65,$B65,$B$1)</f>
        <v>47.77</v>
      </c>
      <c r="E65" s="25">
        <f>_xll.xlqAAII($D$3,E$1&amp;$A65,$B65,$B$1)</f>
        <v>43.94</v>
      </c>
      <c r="F65" s="25">
        <f>_xll.xlqAAII($D$3,F$1&amp;$A65,$B65,$B$1)</f>
        <v>44.15</v>
      </c>
      <c r="G65" s="25">
        <f>_xll.xlqAAII($D$3,G$1&amp;$A65,$B65,$B$1)</f>
        <v>664853.34699999995</v>
      </c>
    </row>
    <row r="66" spans="1:7" x14ac:dyDescent="0.25">
      <c r="A66" s="2" t="s">
        <v>753</v>
      </c>
      <c r="B66" s="2">
        <v>51</v>
      </c>
      <c r="C66" s="30">
        <f>_xll.xlqAAII($D$3,C$1&amp;$A66,$B66,$B$1)</f>
        <v>42153</v>
      </c>
      <c r="D66" s="25">
        <f>_xll.xlqAAII($D$3,D$1&amp;$A66,$B66,$B$1)</f>
        <v>48.905000000000001</v>
      </c>
      <c r="E66" s="25">
        <f>_xll.xlqAAII($D$3,E$1&amp;$A66,$B66,$B$1)</f>
        <v>46.02</v>
      </c>
      <c r="F66" s="25">
        <f>_xll.xlqAAII($D$3,F$1&amp;$A66,$B66,$B$1)</f>
        <v>46.86</v>
      </c>
      <c r="G66" s="25">
        <f>_xll.xlqAAII($D$3,G$1&amp;$A66,$B66,$B$1)</f>
        <v>633072.75699999998</v>
      </c>
    </row>
    <row r="67" spans="1:7" x14ac:dyDescent="0.25">
      <c r="A67" s="2" t="s">
        <v>753</v>
      </c>
      <c r="B67" s="2">
        <v>52</v>
      </c>
      <c r="C67" s="30">
        <f>_xll.xlqAAII($D$3,C$1&amp;$A67,$B67,$B$1)</f>
        <v>42124</v>
      </c>
      <c r="D67" s="25">
        <f>_xll.xlqAAII($D$3,D$1&amp;$A67,$B67,$B$1)</f>
        <v>49.54</v>
      </c>
      <c r="E67" s="25">
        <f>_xll.xlqAAII($D$3,E$1&amp;$A67,$B67,$B$1)</f>
        <v>40.119999999999997</v>
      </c>
      <c r="F67" s="25">
        <f>_xll.xlqAAII($D$3,F$1&amp;$A67,$B67,$B$1)</f>
        <v>48.64</v>
      </c>
      <c r="G67" s="25">
        <f>_xll.xlqAAII($D$3,G$1&amp;$A67,$B67,$B$1)</f>
        <v>874535.13399999996</v>
      </c>
    </row>
    <row r="68" spans="1:7" x14ac:dyDescent="0.25">
      <c r="A68" s="2" t="s">
        <v>753</v>
      </c>
      <c r="B68" s="2">
        <v>53</v>
      </c>
      <c r="C68" s="30">
        <f>_xll.xlqAAII($D$3,C$1&amp;$A68,$B68,$B$1)</f>
        <v>42094</v>
      </c>
      <c r="D68" s="25">
        <f>_xll.xlqAAII($D$3,D$1&amp;$A68,$B68,$B$1)</f>
        <v>44.19</v>
      </c>
      <c r="E68" s="25">
        <f>_xll.xlqAAII($D$3,E$1&amp;$A68,$B68,$B$1)</f>
        <v>40.54</v>
      </c>
      <c r="F68" s="25">
        <f>_xll.xlqAAII($D$3,F$1&amp;$A68,$B68,$B$1)</f>
        <v>40.655000000000001</v>
      </c>
      <c r="G68" s="25">
        <f>_xll.xlqAAII($D$3,G$1&amp;$A68,$B68,$B$1)</f>
        <v>824335.32400000002</v>
      </c>
    </row>
    <row r="69" spans="1:7" x14ac:dyDescent="0.25">
      <c r="A69" s="2" t="s">
        <v>753</v>
      </c>
      <c r="B69" s="2">
        <v>54</v>
      </c>
      <c r="C69" s="30">
        <f>_xll.xlqAAII($D$3,C$1&amp;$A69,$B69,$B$1)</f>
        <v>42062</v>
      </c>
      <c r="D69" s="25">
        <f>_xll.xlqAAII($D$3,D$1&amp;$A69,$B69,$B$1)</f>
        <v>44.3</v>
      </c>
      <c r="E69" s="25">
        <f>_xll.xlqAAII($D$3,E$1&amp;$A69,$B69,$B$1)</f>
        <v>40.229999999999997</v>
      </c>
      <c r="F69" s="25">
        <f>_xll.xlqAAII($D$3,F$1&amp;$A69,$B69,$B$1)</f>
        <v>43.85</v>
      </c>
      <c r="G69" s="25">
        <f>_xll.xlqAAII($D$3,G$1&amp;$A69,$B69,$B$1)</f>
        <v>656509.83700000006</v>
      </c>
    </row>
    <row r="70" spans="1:7" x14ac:dyDescent="0.25">
      <c r="A70" s="2" t="s">
        <v>753</v>
      </c>
      <c r="B70" s="2">
        <v>55</v>
      </c>
      <c r="C70" s="30">
        <f>_xll.xlqAAII($D$3,C$1&amp;$A70,$B70,$B$1)</f>
        <v>42034</v>
      </c>
      <c r="D70" s="25">
        <f>_xll.xlqAAII($D$3,D$1&amp;$A70,$B70,$B$1)</f>
        <v>47.91</v>
      </c>
      <c r="E70" s="25">
        <f>_xll.xlqAAII($D$3,E$1&amp;$A70,$B70,$B$1)</f>
        <v>40.35</v>
      </c>
      <c r="F70" s="25">
        <f>_xll.xlqAAII($D$3,F$1&amp;$A70,$B70,$B$1)</f>
        <v>40.4</v>
      </c>
      <c r="G70" s="25">
        <f>_xll.xlqAAII($D$3,G$1&amp;$A70,$B70,$B$1)</f>
        <v>918966.53700000001</v>
      </c>
    </row>
    <row r="71" spans="1:7" x14ac:dyDescent="0.25">
      <c r="A71" s="2" t="s">
        <v>753</v>
      </c>
      <c r="B71" s="2">
        <v>56</v>
      </c>
      <c r="C71" s="30">
        <f>_xll.xlqAAII($D$3,C$1&amp;$A71,$B71,$B$1)</f>
        <v>42004</v>
      </c>
      <c r="D71" s="25">
        <f>_xll.xlqAAII($D$3,D$1&amp;$A71,$B71,$B$1)</f>
        <v>49.06</v>
      </c>
      <c r="E71" s="25">
        <f>_xll.xlqAAII($D$3,E$1&amp;$A71,$B71,$B$1)</f>
        <v>44.9</v>
      </c>
      <c r="F71" s="25">
        <f>_xll.xlqAAII($D$3,F$1&amp;$A71,$B71,$B$1)</f>
        <v>46.45</v>
      </c>
      <c r="G71" s="25">
        <f>_xll.xlqAAII($D$3,G$1&amp;$A71,$B71,$B$1)</f>
        <v>626810.61699999997</v>
      </c>
    </row>
    <row r="72" spans="1:7" x14ac:dyDescent="0.25">
      <c r="A72" s="2" t="s">
        <v>753</v>
      </c>
      <c r="B72" s="2">
        <v>57</v>
      </c>
      <c r="C72" s="30">
        <f>_xll.xlqAAII($D$3,C$1&amp;$A72,$B72,$B$1)</f>
        <v>41971</v>
      </c>
      <c r="D72" s="25">
        <f>_xll.xlqAAII($D$3,D$1&amp;$A72,$B72,$B$1)</f>
        <v>50.045000000000002</v>
      </c>
      <c r="E72" s="25">
        <f>_xll.xlqAAII($D$3,E$1&amp;$A72,$B72,$B$1)</f>
        <v>46.73</v>
      </c>
      <c r="F72" s="25">
        <f>_xll.xlqAAII($D$3,F$1&amp;$A72,$B72,$B$1)</f>
        <v>47.81</v>
      </c>
      <c r="G72" s="25">
        <f>_xll.xlqAAII($D$3,G$1&amp;$A72,$B72,$B$1)</f>
        <v>523008.24400000001</v>
      </c>
    </row>
    <row r="73" spans="1:7" x14ac:dyDescent="0.25">
      <c r="A73" s="2" t="s">
        <v>753</v>
      </c>
      <c r="B73" s="2">
        <v>58</v>
      </c>
      <c r="C73" s="30">
        <f>_xll.xlqAAII($D$3,C$1&amp;$A73,$B73,$B$1)</f>
        <v>41943</v>
      </c>
      <c r="D73" s="25">
        <f>_xll.xlqAAII($D$3,D$1&amp;$A73,$B73,$B$1)</f>
        <v>46.97</v>
      </c>
      <c r="E73" s="25">
        <f>_xll.xlqAAII($D$3,E$1&amp;$A73,$B73,$B$1)</f>
        <v>42.1</v>
      </c>
      <c r="F73" s="25">
        <f>_xll.xlqAAII($D$3,F$1&amp;$A73,$B73,$B$1)</f>
        <v>46.95</v>
      </c>
      <c r="G73" s="25">
        <f>_xll.xlqAAII($D$3,G$1&amp;$A73,$B73,$B$1)</f>
        <v>853297.02300000004</v>
      </c>
    </row>
    <row r="74" spans="1:7" x14ac:dyDescent="0.25">
      <c r="A74" s="2" t="s">
        <v>753</v>
      </c>
      <c r="B74" s="2">
        <v>59</v>
      </c>
      <c r="C74" s="30">
        <f>_xll.xlqAAII($D$3,C$1&amp;$A74,$B74,$B$1)</f>
        <v>41912</v>
      </c>
      <c r="D74" s="25">
        <f>_xll.xlqAAII($D$3,D$1&amp;$A74,$B74,$B$1)</f>
        <v>47.57</v>
      </c>
      <c r="E74" s="25">
        <f>_xll.xlqAAII($D$3,E$1&amp;$A74,$B74,$B$1)</f>
        <v>44.53</v>
      </c>
      <c r="F74" s="25">
        <f>_xll.xlqAAII($D$3,F$1&amp;$A74,$B74,$B$1)</f>
        <v>46.36</v>
      </c>
      <c r="G74" s="25">
        <f>_xll.xlqAAII($D$3,G$1&amp;$A74,$B74,$B$1)</f>
        <v>860844.098</v>
      </c>
    </row>
    <row r="75" spans="1:7" x14ac:dyDescent="0.25">
      <c r="A75" s="2" t="s">
        <v>753</v>
      </c>
      <c r="B75" s="2">
        <v>60</v>
      </c>
      <c r="C75" s="30">
        <f>_xll.xlqAAII($D$3,C$1&amp;$A75,$B75,$B$1)</f>
        <v>41880</v>
      </c>
      <c r="D75" s="25">
        <f>_xll.xlqAAII($D$3,D$1&amp;$A75,$B75,$B$1)</f>
        <v>45.47</v>
      </c>
      <c r="E75" s="25">
        <f>_xll.xlqAAII($D$3,E$1&amp;$A75,$B75,$B$1)</f>
        <v>42.21</v>
      </c>
      <c r="F75" s="25">
        <f>_xll.xlqAAII($D$3,F$1&amp;$A75,$B75,$B$1)</f>
        <v>45.43</v>
      </c>
      <c r="G75" s="25">
        <f>_xll.xlqAAII($D$3,G$1&amp;$A75,$B75,$B$1)</f>
        <v>513934.74599999998</v>
      </c>
    </row>
    <row r="76" spans="1:7" x14ac:dyDescent="0.25">
      <c r="A76" s="2" t="s">
        <v>753</v>
      </c>
      <c r="B76" s="2">
        <v>61</v>
      </c>
      <c r="C76" s="30">
        <f>_xll.xlqAAII($D$3,C$1&amp;$A76,$B76,$B$1)</f>
        <v>41851</v>
      </c>
      <c r="D76" s="25">
        <f>_xll.xlqAAII($D$3,D$1&amp;$A76,$B76,$B$1)</f>
        <v>45.71</v>
      </c>
      <c r="E76" s="25">
        <f>_xll.xlqAAII($D$3,E$1&amp;$A76,$B76,$B$1)</f>
        <v>41.05</v>
      </c>
      <c r="F76" s="25">
        <f>_xll.xlqAAII($D$3,F$1&amp;$A76,$B76,$B$1)</f>
        <v>43.16</v>
      </c>
      <c r="G76" s="25">
        <f>_xll.xlqAAII($D$3,G$1&amp;$A76,$B76,$B$1)</f>
        <v>731659.97199999995</v>
      </c>
    </row>
    <row r="77" spans="1:7" x14ac:dyDescent="0.25">
      <c r="A77" s="2" t="s">
        <v>753</v>
      </c>
      <c r="B77" s="2">
        <v>62</v>
      </c>
      <c r="C77" s="30">
        <f>_xll.xlqAAII($D$3,C$1&amp;$A77,$B77,$B$1)</f>
        <v>41820</v>
      </c>
      <c r="D77" s="25">
        <f>_xll.xlqAAII($D$3,D$1&amp;$A77,$B77,$B$1)</f>
        <v>42.29</v>
      </c>
      <c r="E77" s="25">
        <f>_xll.xlqAAII($D$3,E$1&amp;$A77,$B77,$B$1)</f>
        <v>39.86</v>
      </c>
      <c r="F77" s="25">
        <f>_xll.xlqAAII($D$3,F$1&amp;$A77,$B77,$B$1)</f>
        <v>41.7</v>
      </c>
      <c r="G77" s="25">
        <f>_xll.xlqAAII($D$3,G$1&amp;$A77,$B77,$B$1)</f>
        <v>555812.19700000004</v>
      </c>
    </row>
    <row r="78" spans="1:7" x14ac:dyDescent="0.25">
      <c r="A78" s="2" t="s">
        <v>753</v>
      </c>
      <c r="B78" s="2">
        <v>63</v>
      </c>
      <c r="C78" s="30">
        <f>_xll.xlqAAII($D$3,C$1&amp;$A78,$B78,$B$1)</f>
        <v>41789</v>
      </c>
      <c r="D78" s="25">
        <f>_xll.xlqAAII($D$3,D$1&amp;$A78,$B78,$B$1)</f>
        <v>40.97</v>
      </c>
      <c r="E78" s="25">
        <f>_xll.xlqAAII($D$3,E$1&amp;$A78,$B78,$B$1)</f>
        <v>38.51</v>
      </c>
      <c r="F78" s="25">
        <f>_xll.xlqAAII($D$3,F$1&amp;$A78,$B78,$B$1)</f>
        <v>40.94</v>
      </c>
      <c r="G78" s="25">
        <f>_xll.xlqAAII($D$3,G$1&amp;$A78,$B78,$B$1)</f>
        <v>574399.70400000003</v>
      </c>
    </row>
    <row r="79" spans="1:7" x14ac:dyDescent="0.25">
      <c r="A79" s="2" t="s">
        <v>753</v>
      </c>
      <c r="B79" s="2">
        <v>64</v>
      </c>
      <c r="C79" s="30">
        <f>_xll.xlqAAII($D$3,C$1&amp;$A79,$B79,$B$1)</f>
        <v>41759</v>
      </c>
      <c r="D79" s="25">
        <f>_xll.xlqAAII($D$3,D$1&amp;$A79,$B79,$B$1)</f>
        <v>41.66</v>
      </c>
      <c r="E79" s="25">
        <f>_xll.xlqAAII($D$3,E$1&amp;$A79,$B79,$B$1)</f>
        <v>38.9</v>
      </c>
      <c r="F79" s="25">
        <f>_xll.xlqAAII($D$3,F$1&amp;$A79,$B79,$B$1)</f>
        <v>40.4</v>
      </c>
      <c r="G79" s="25">
        <f>_xll.xlqAAII($D$3,G$1&amp;$A79,$B79,$B$1)</f>
        <v>746148.674</v>
      </c>
    </row>
    <row r="80" spans="1:7" x14ac:dyDescent="0.25">
      <c r="A80" s="2" t="s">
        <v>753</v>
      </c>
      <c r="B80" s="2">
        <v>65</v>
      </c>
      <c r="C80" s="30">
        <f>_xll.xlqAAII($D$3,C$1&amp;$A80,$B80,$B$1)</f>
        <v>41729</v>
      </c>
      <c r="D80" s="25">
        <f>_xll.xlqAAII($D$3,D$1&amp;$A80,$B80,$B$1)</f>
        <v>41.5</v>
      </c>
      <c r="E80" s="25">
        <f>_xll.xlqAAII($D$3,E$1&amp;$A80,$B80,$B$1)</f>
        <v>37.494999999999997</v>
      </c>
      <c r="F80" s="25">
        <f>_xll.xlqAAII($D$3,F$1&amp;$A80,$B80,$B$1)</f>
        <v>40.99</v>
      </c>
      <c r="G80" s="25">
        <f>_xll.xlqAAII($D$3,G$1&amp;$A80,$B80,$B$1)</f>
        <v>778550.18900000001</v>
      </c>
    </row>
    <row r="81" spans="1:7" x14ac:dyDescent="0.25">
      <c r="A81" s="2" t="s">
        <v>753</v>
      </c>
      <c r="B81" s="2">
        <v>66</v>
      </c>
      <c r="C81" s="30">
        <f>_xll.xlqAAII($D$3,C$1&amp;$A81,$B81,$B$1)</f>
        <v>41698</v>
      </c>
      <c r="D81" s="25">
        <f>_xll.xlqAAII($D$3,D$1&amp;$A81,$B81,$B$1)</f>
        <v>38.46</v>
      </c>
      <c r="E81" s="25">
        <f>_xll.xlqAAII($D$3,E$1&amp;$A81,$B81,$B$1)</f>
        <v>35.69</v>
      </c>
      <c r="F81" s="25">
        <f>_xll.xlqAAII($D$3,F$1&amp;$A81,$B81,$B$1)</f>
        <v>38.31</v>
      </c>
      <c r="G81" s="25">
        <f>_xll.xlqAAII($D$3,G$1&amp;$A81,$B81,$B$1)</f>
        <v>718232.06200000003</v>
      </c>
    </row>
    <row r="82" spans="1:7" x14ac:dyDescent="0.25">
      <c r="A82" s="2" t="s">
        <v>753</v>
      </c>
      <c r="B82" s="2">
        <v>67</v>
      </c>
      <c r="C82" s="30">
        <f>_xll.xlqAAII($D$3,C$1&amp;$A82,$B82,$B$1)</f>
        <v>41670</v>
      </c>
      <c r="D82" s="25">
        <f>_xll.xlqAAII($D$3,D$1&amp;$A82,$B82,$B$1)</f>
        <v>37.89</v>
      </c>
      <c r="E82" s="25">
        <f>_xll.xlqAAII($D$3,E$1&amp;$A82,$B82,$B$1)</f>
        <v>34.630000000000003</v>
      </c>
      <c r="F82" s="25">
        <f>_xll.xlqAAII($D$3,F$1&amp;$A82,$B82,$B$1)</f>
        <v>37.840000000000003</v>
      </c>
      <c r="G82" s="25">
        <f>_xll.xlqAAII($D$3,G$1&amp;$A82,$B82,$B$1)</f>
        <v>932087.92</v>
      </c>
    </row>
    <row r="83" spans="1:7" x14ac:dyDescent="0.25">
      <c r="A83" s="2" t="s">
        <v>753</v>
      </c>
      <c r="B83" s="2">
        <v>68</v>
      </c>
      <c r="C83" s="30">
        <f>_xll.xlqAAII($D$3,C$1&amp;$A83,$B83,$B$1)</f>
        <v>41639</v>
      </c>
      <c r="D83" s="25">
        <f>_xll.xlqAAII($D$3,D$1&amp;$A83,$B83,$B$1)</f>
        <v>38.979999999999997</v>
      </c>
      <c r="E83" s="25">
        <f>_xll.xlqAAII($D$3,E$1&amp;$A83,$B83,$B$1)</f>
        <v>35.53</v>
      </c>
      <c r="F83" s="25">
        <f>_xll.xlqAAII($D$3,F$1&amp;$A83,$B83,$B$1)</f>
        <v>37.409999999999997</v>
      </c>
      <c r="G83" s="25">
        <f>_xll.xlqAAII($D$3,G$1&amp;$A83,$B83,$B$1)</f>
        <v>826638.24399999995</v>
      </c>
    </row>
    <row r="84" spans="1:7" x14ac:dyDescent="0.25">
      <c r="A84" s="2" t="s">
        <v>753</v>
      </c>
      <c r="B84" s="2">
        <v>69</v>
      </c>
      <c r="C84" s="30">
        <f>_xll.xlqAAII($D$3,C$1&amp;$A84,$B84,$B$1)</f>
        <v>41607</v>
      </c>
      <c r="D84" s="25">
        <f>_xll.xlqAAII($D$3,D$1&amp;$A84,$B84,$B$1)</f>
        <v>38.29</v>
      </c>
      <c r="E84" s="25">
        <f>_xll.xlqAAII($D$3,E$1&amp;$A84,$B84,$B$1)</f>
        <v>35.39</v>
      </c>
      <c r="F84" s="25">
        <f>_xll.xlqAAII($D$3,F$1&amp;$A84,$B84,$B$1)</f>
        <v>38.130000000000003</v>
      </c>
      <c r="G84" s="25">
        <f>_xll.xlqAAII($D$3,G$1&amp;$A84,$B84,$B$1)</f>
        <v>800462.86300000001</v>
      </c>
    </row>
    <row r="85" spans="1:7" x14ac:dyDescent="0.25">
      <c r="A85" s="2" t="s">
        <v>753</v>
      </c>
      <c r="B85" s="2">
        <v>70</v>
      </c>
      <c r="C85" s="30">
        <f>_xll.xlqAAII($D$3,C$1&amp;$A85,$B85,$B$1)</f>
        <v>41578</v>
      </c>
      <c r="D85" s="25">
        <f>_xll.xlqAAII($D$3,D$1&amp;$A85,$B85,$B$1)</f>
        <v>36.29</v>
      </c>
      <c r="E85" s="25">
        <f>_xll.xlqAAII($D$3,E$1&amp;$A85,$B85,$B$1)</f>
        <v>32.799999999999997</v>
      </c>
      <c r="F85" s="25">
        <f>_xll.xlqAAII($D$3,F$1&amp;$A85,$B85,$B$1)</f>
        <v>35.405000000000001</v>
      </c>
      <c r="G85" s="25">
        <f>_xll.xlqAAII($D$3,G$1&amp;$A85,$B85,$B$1)</f>
        <v>965360.04399999999</v>
      </c>
    </row>
    <row r="86" spans="1:7" x14ac:dyDescent="0.25">
      <c r="A86" s="2" t="s">
        <v>753</v>
      </c>
      <c r="B86" s="2">
        <v>71</v>
      </c>
      <c r="C86" s="30">
        <f>_xll.xlqAAII($D$3,C$1&amp;$A86,$B86,$B$1)</f>
        <v>41547</v>
      </c>
      <c r="D86" s="25">
        <f>_xll.xlqAAII($D$3,D$1&amp;$A86,$B86,$B$1)</f>
        <v>33.75</v>
      </c>
      <c r="E86" s="25">
        <f>_xll.xlqAAII($D$3,E$1&amp;$A86,$B86,$B$1)</f>
        <v>30.95</v>
      </c>
      <c r="F86" s="25">
        <f>_xll.xlqAAII($D$3,F$1&amp;$A86,$B86,$B$1)</f>
        <v>33.28</v>
      </c>
      <c r="G86" s="25">
        <f>_xll.xlqAAII($D$3,G$1&amp;$A86,$B86,$B$1)</f>
        <v>1245168.3759999999</v>
      </c>
    </row>
    <row r="87" spans="1:7" x14ac:dyDescent="0.25">
      <c r="A87" s="2" t="s">
        <v>753</v>
      </c>
      <c r="B87" s="2">
        <v>72</v>
      </c>
      <c r="C87" s="30">
        <f>_xll.xlqAAII($D$3,C$1&amp;$A87,$B87,$B$1)</f>
        <v>41516</v>
      </c>
      <c r="D87" s="25">
        <f>_xll.xlqAAII($D$3,D$1&amp;$A87,$B87,$B$1)</f>
        <v>35.200000000000003</v>
      </c>
      <c r="E87" s="25">
        <f>_xll.xlqAAII($D$3,E$1&amp;$A87,$B87,$B$1)</f>
        <v>30.84</v>
      </c>
      <c r="F87" s="25">
        <f>_xll.xlqAAII($D$3,F$1&amp;$A87,$B87,$B$1)</f>
        <v>33.4</v>
      </c>
      <c r="G87" s="25">
        <f>_xll.xlqAAII($D$3,G$1&amp;$A87,$B87,$B$1)</f>
        <v>1051312.023</v>
      </c>
    </row>
    <row r="88" spans="1:7" x14ac:dyDescent="0.25">
      <c r="A88" s="2" t="s">
        <v>753</v>
      </c>
      <c r="B88" s="2">
        <v>73</v>
      </c>
      <c r="C88" s="30">
        <f>_xll.xlqAAII($D$3,C$1&amp;$A88,$B88,$B$1)</f>
        <v>41486</v>
      </c>
      <c r="D88" s="25">
        <f>_xll.xlqAAII($D$3,D$1&amp;$A88,$B88,$B$1)</f>
        <v>36.43</v>
      </c>
      <c r="E88" s="25">
        <f>_xll.xlqAAII($D$3,E$1&amp;$A88,$B88,$B$1)</f>
        <v>31.02</v>
      </c>
      <c r="F88" s="25">
        <f>_xll.xlqAAII($D$3,F$1&amp;$A88,$B88,$B$1)</f>
        <v>31.84</v>
      </c>
      <c r="G88" s="25">
        <f>_xll.xlqAAII($D$3,G$1&amp;$A88,$B88,$B$1)</f>
        <v>1111194.429</v>
      </c>
    </row>
    <row r="89" spans="1:7" x14ac:dyDescent="0.25">
      <c r="A89" s="2" t="s">
        <v>753</v>
      </c>
      <c r="B89" s="2">
        <v>74</v>
      </c>
      <c r="C89" s="30">
        <f>_xll.xlqAAII($D$3,C$1&amp;$A89,$B89,$B$1)</f>
        <v>41453</v>
      </c>
      <c r="D89" s="25">
        <f>_xll.xlqAAII($D$3,D$1&amp;$A89,$B89,$B$1)</f>
        <v>35.78</v>
      </c>
      <c r="E89" s="25">
        <f>_xll.xlqAAII($D$3,E$1&amp;$A89,$B89,$B$1)</f>
        <v>32.57</v>
      </c>
      <c r="F89" s="25">
        <f>_xll.xlqAAII($D$3,F$1&amp;$A89,$B89,$B$1)</f>
        <v>34.545000000000002</v>
      </c>
      <c r="G89" s="25">
        <f>_xll.xlqAAII($D$3,G$1&amp;$A89,$B89,$B$1)</f>
        <v>945223.60100000002</v>
      </c>
    </row>
    <row r="90" spans="1:7" x14ac:dyDescent="0.25">
      <c r="A90" s="2" t="s">
        <v>753</v>
      </c>
      <c r="B90" s="2">
        <v>75</v>
      </c>
      <c r="C90" s="30">
        <f>_xll.xlqAAII($D$3,C$1&amp;$A90,$B90,$B$1)</f>
        <v>41425</v>
      </c>
      <c r="D90" s="25">
        <f>_xll.xlqAAII($D$3,D$1&amp;$A90,$B90,$B$1)</f>
        <v>35.28</v>
      </c>
      <c r="E90" s="25">
        <f>_xll.xlqAAII($D$3,E$1&amp;$A90,$B90,$B$1)</f>
        <v>32.32</v>
      </c>
      <c r="F90" s="25">
        <f>_xll.xlqAAII($D$3,F$1&amp;$A90,$B90,$B$1)</f>
        <v>34.9</v>
      </c>
      <c r="G90" s="25">
        <f>_xll.xlqAAII($D$3,G$1&amp;$A90,$B90,$B$1)</f>
        <v>1071952.325</v>
      </c>
    </row>
    <row r="91" spans="1:7" x14ac:dyDescent="0.25">
      <c r="A91" s="2" t="s">
        <v>753</v>
      </c>
      <c r="B91" s="2">
        <v>76</v>
      </c>
      <c r="C91" s="30">
        <f>_xll.xlqAAII($D$3,C$1&amp;$A91,$B91,$B$1)</f>
        <v>41394</v>
      </c>
      <c r="D91" s="25">
        <f>_xll.xlqAAII($D$3,D$1&amp;$A91,$B91,$B$1)</f>
        <v>33.11</v>
      </c>
      <c r="E91" s="25">
        <f>_xll.xlqAAII($D$3,E$1&amp;$A91,$B91,$B$1)</f>
        <v>28.11</v>
      </c>
      <c r="F91" s="25">
        <f>_xll.xlqAAII($D$3,F$1&amp;$A91,$B91,$B$1)</f>
        <v>33.1</v>
      </c>
      <c r="G91" s="25">
        <f>_xll.xlqAAII($D$3,G$1&amp;$A91,$B91,$B$1)</f>
        <v>1465815.05</v>
      </c>
    </row>
    <row r="92" spans="1:7" x14ac:dyDescent="0.25">
      <c r="A92" s="2" t="s">
        <v>753</v>
      </c>
      <c r="B92" s="2">
        <v>77</v>
      </c>
      <c r="C92" s="30">
        <f>_xll.xlqAAII($D$3,C$1&amp;$A92,$B92,$B$1)</f>
        <v>41361</v>
      </c>
      <c r="D92" s="25">
        <f>_xll.xlqAAII($D$3,D$1&amp;$A92,$B92,$B$1)</f>
        <v>28.66</v>
      </c>
      <c r="E92" s="25">
        <f>_xll.xlqAAII($D$3,E$1&amp;$A92,$B92,$B$1)</f>
        <v>27.52</v>
      </c>
      <c r="F92" s="25">
        <f>_xll.xlqAAII($D$3,F$1&amp;$A92,$B92,$B$1)</f>
        <v>28.605</v>
      </c>
      <c r="G92" s="25">
        <f>_xll.xlqAAII($D$3,G$1&amp;$A92,$B92,$B$1)</f>
        <v>845032.55</v>
      </c>
    </row>
    <row r="93" spans="1:7" x14ac:dyDescent="0.25">
      <c r="A93" s="2" t="s">
        <v>753</v>
      </c>
      <c r="B93" s="2">
        <v>78</v>
      </c>
      <c r="C93" s="30">
        <f>_xll.xlqAAII($D$3,C$1&amp;$A93,$B93,$B$1)</f>
        <v>41333</v>
      </c>
      <c r="D93" s="25">
        <f>_xll.xlqAAII($D$3,D$1&amp;$A93,$B93,$B$1)</f>
        <v>28.2</v>
      </c>
      <c r="E93" s="25">
        <f>_xll.xlqAAII($D$3,E$1&amp;$A93,$B93,$B$1)</f>
        <v>27.1</v>
      </c>
      <c r="F93" s="25">
        <f>_xll.xlqAAII($D$3,F$1&amp;$A93,$B93,$B$1)</f>
        <v>27.8</v>
      </c>
      <c r="G93" s="25">
        <f>_xll.xlqAAII($D$3,G$1&amp;$A93,$B93,$B$1)</f>
        <v>780654.25300000003</v>
      </c>
    </row>
    <row r="94" spans="1:7" x14ac:dyDescent="0.25">
      <c r="A94" s="2" t="s">
        <v>753</v>
      </c>
      <c r="B94" s="2">
        <v>79</v>
      </c>
      <c r="C94" s="30">
        <f>_xll.xlqAAII($D$3,C$1&amp;$A94,$B94,$B$1)</f>
        <v>41305</v>
      </c>
      <c r="D94" s="25">
        <f>_xll.xlqAAII($D$3,D$1&amp;$A94,$B94,$B$1)</f>
        <v>28.23</v>
      </c>
      <c r="E94" s="25">
        <f>_xll.xlqAAII($D$3,E$1&amp;$A94,$B94,$B$1)</f>
        <v>26.28</v>
      </c>
      <c r="F94" s="25">
        <f>_xll.xlqAAII($D$3,F$1&amp;$A94,$B94,$B$1)</f>
        <v>27.45</v>
      </c>
      <c r="G94" s="25">
        <f>_xll.xlqAAII($D$3,G$1&amp;$A94,$B94,$B$1)</f>
        <v>1145114.9939999999</v>
      </c>
    </row>
    <row r="95" spans="1:7" x14ac:dyDescent="0.25">
      <c r="A95" s="2" t="s">
        <v>753</v>
      </c>
      <c r="B95" s="2">
        <v>80</v>
      </c>
      <c r="C95" s="30">
        <f>_xll.xlqAAII($D$3,C$1&amp;$A95,$B95,$B$1)</f>
        <v>41274</v>
      </c>
      <c r="D95" s="25">
        <f>_xll.xlqAAII($D$3,D$1&amp;$A95,$B95,$B$1)</f>
        <v>27.73</v>
      </c>
      <c r="E95" s="25">
        <f>_xll.xlqAAII($D$3,E$1&amp;$A95,$B95,$B$1)</f>
        <v>26.26</v>
      </c>
      <c r="F95" s="25">
        <f>_xll.xlqAAII($D$3,F$1&amp;$A95,$B95,$B$1)</f>
        <v>26.71</v>
      </c>
      <c r="G95" s="25">
        <f>_xll.xlqAAII($D$3,G$1&amp;$A95,$B95,$B$1)</f>
        <v>947413.38500000001</v>
      </c>
    </row>
    <row r="96" spans="1:7" x14ac:dyDescent="0.25">
      <c r="A96" s="2" t="s">
        <v>753</v>
      </c>
      <c r="B96" s="2">
        <v>81</v>
      </c>
      <c r="C96" s="30">
        <f>_xll.xlqAAII($D$3,C$1&amp;$A96,$B96,$B$1)</f>
        <v>41243</v>
      </c>
      <c r="D96" s="25">
        <f>_xll.xlqAAII($D$3,D$1&amp;$A96,$B96,$B$1)</f>
        <v>30.2</v>
      </c>
      <c r="E96" s="25">
        <f>_xll.xlqAAII($D$3,E$1&amp;$A96,$B96,$B$1)</f>
        <v>26.344999999999999</v>
      </c>
      <c r="F96" s="25">
        <f>_xll.xlqAAII($D$3,F$1&amp;$A96,$B96,$B$1)</f>
        <v>26.614999999999998</v>
      </c>
      <c r="G96" s="25">
        <f>_xll.xlqAAII($D$3,G$1&amp;$A96,$B96,$B$1)</f>
        <v>1310567.236</v>
      </c>
    </row>
    <row r="97" spans="1:7" x14ac:dyDescent="0.25">
      <c r="A97" s="2" t="s">
        <v>753</v>
      </c>
      <c r="B97" s="2">
        <v>82</v>
      </c>
      <c r="C97" s="30">
        <f>_xll.xlqAAII($D$3,C$1&amp;$A97,$B97,$B$1)</f>
        <v>41213</v>
      </c>
      <c r="D97" s="25">
        <f>_xll.xlqAAII($D$3,D$1&amp;$A97,$B97,$B$1)</f>
        <v>30.25</v>
      </c>
      <c r="E97" s="25">
        <f>_xll.xlqAAII($D$3,E$1&amp;$A97,$B97,$B$1)</f>
        <v>27.76</v>
      </c>
      <c r="F97" s="25">
        <f>_xll.xlqAAII($D$3,F$1&amp;$A97,$B97,$B$1)</f>
        <v>28.54</v>
      </c>
      <c r="G97" s="25">
        <f>_xll.xlqAAII($D$3,G$1&amp;$A97,$B97,$B$1)</f>
        <v>1105486.922</v>
      </c>
    </row>
    <row r="98" spans="1:7" x14ac:dyDescent="0.25">
      <c r="A98" s="2" t="s">
        <v>753</v>
      </c>
      <c r="B98" s="2">
        <v>83</v>
      </c>
      <c r="C98" s="30">
        <f>_xll.xlqAAII($D$3,C$1&amp;$A98,$B98,$B$1)</f>
        <v>41180</v>
      </c>
      <c r="D98" s="25">
        <f>_xll.xlqAAII($D$3,D$1&amp;$A98,$B98,$B$1)</f>
        <v>31.61</v>
      </c>
      <c r="E98" s="25">
        <f>_xll.xlqAAII($D$3,E$1&amp;$A98,$B98,$B$1)</f>
        <v>29.74</v>
      </c>
      <c r="F98" s="25">
        <f>_xll.xlqAAII($D$3,F$1&amp;$A98,$B98,$B$1)</f>
        <v>29.76</v>
      </c>
      <c r="G98" s="25">
        <f>_xll.xlqAAII($D$3,G$1&amp;$A98,$B98,$B$1)</f>
        <v>893165.23400000005</v>
      </c>
    </row>
    <row r="99" spans="1:7" x14ac:dyDescent="0.25">
      <c r="A99" s="2" t="s">
        <v>753</v>
      </c>
      <c r="B99" s="2">
        <v>84</v>
      </c>
      <c r="C99" s="30">
        <f>_xll.xlqAAII($D$3,C$1&amp;$A99,$B99,$B$1)</f>
        <v>41152</v>
      </c>
      <c r="D99" s="25">
        <f>_xll.xlqAAII($D$3,D$1&amp;$A99,$B99,$B$1)</f>
        <v>30.96</v>
      </c>
      <c r="E99" s="25">
        <f>_xll.xlqAAII($D$3,E$1&amp;$A99,$B99,$B$1)</f>
        <v>28.97</v>
      </c>
      <c r="F99" s="25">
        <f>_xll.xlqAAII($D$3,F$1&amp;$A99,$B99,$B$1)</f>
        <v>30.82</v>
      </c>
      <c r="G99" s="25">
        <f>_xll.xlqAAII($D$3,G$1&amp;$A99,$B99,$B$1)</f>
        <v>671795.43900000001</v>
      </c>
    </row>
    <row r="100" spans="1:7" x14ac:dyDescent="0.25">
      <c r="A100" s="2" t="s">
        <v>753</v>
      </c>
      <c r="B100" s="2">
        <v>85</v>
      </c>
      <c r="C100" s="30">
        <f>_xll.xlqAAII($D$3,C$1&amp;$A100,$B100,$B$1)</f>
        <v>41121</v>
      </c>
      <c r="D100" s="25">
        <f>_xll.xlqAAII($D$3,D$1&amp;$A100,$B100,$B$1)</f>
        <v>31.05</v>
      </c>
      <c r="E100" s="25">
        <f>_xll.xlqAAII($D$3,E$1&amp;$A100,$B100,$B$1)</f>
        <v>28.54</v>
      </c>
      <c r="F100" s="25">
        <f>_xll.xlqAAII($D$3,F$1&amp;$A100,$B100,$B$1)</f>
        <v>29.47</v>
      </c>
      <c r="G100" s="25">
        <f>_xll.xlqAAII($D$3,G$1&amp;$A100,$B100,$B$1)</f>
        <v>846549.36499999999</v>
      </c>
    </row>
    <row r="101" spans="1:7" x14ac:dyDescent="0.25">
      <c r="A101" s="2" t="s">
        <v>753</v>
      </c>
      <c r="B101" s="2">
        <v>86</v>
      </c>
      <c r="C101" s="30">
        <f>_xll.xlqAAII($D$3,C$1&amp;$A101,$B101,$B$1)</f>
        <v>41089</v>
      </c>
      <c r="D101" s="25">
        <f>_xll.xlqAAII($D$3,D$1&amp;$A101,$B101,$B$1)</f>
        <v>31.14</v>
      </c>
      <c r="E101" s="25">
        <f>_xll.xlqAAII($D$3,E$1&amp;$A101,$B101,$B$1)</f>
        <v>28.32</v>
      </c>
      <c r="F101" s="25">
        <f>_xll.xlqAAII($D$3,F$1&amp;$A101,$B101,$B$1)</f>
        <v>30.59</v>
      </c>
      <c r="G101" s="25">
        <f>_xll.xlqAAII($D$3,G$1&amp;$A101,$B101,$B$1)</f>
        <v>973170.82799999998</v>
      </c>
    </row>
    <row r="102" spans="1:7" x14ac:dyDescent="0.25">
      <c r="A102" s="2" t="s">
        <v>753</v>
      </c>
      <c r="B102" s="2">
        <v>87</v>
      </c>
      <c r="C102" s="30">
        <f>_xll.xlqAAII($D$3,C$1&amp;$A102,$B102,$B$1)</f>
        <v>41060</v>
      </c>
      <c r="D102" s="25">
        <f>_xll.xlqAAII($D$3,D$1&amp;$A102,$B102,$B$1)</f>
        <v>32.335000000000001</v>
      </c>
      <c r="E102" s="25">
        <f>_xll.xlqAAII($D$3,E$1&amp;$A102,$B102,$B$1)</f>
        <v>28.64</v>
      </c>
      <c r="F102" s="25">
        <f>_xll.xlqAAII($D$3,F$1&amp;$A102,$B102,$B$1)</f>
        <v>29.19</v>
      </c>
      <c r="G102" s="25">
        <f>_xll.xlqAAII($D$3,G$1&amp;$A102,$B102,$B$1)</f>
        <v>1014429.259</v>
      </c>
    </row>
    <row r="103" spans="1:7" x14ac:dyDescent="0.25">
      <c r="A103" s="2" t="s">
        <v>753</v>
      </c>
      <c r="B103" s="2">
        <v>88</v>
      </c>
      <c r="C103" s="30">
        <f>_xll.xlqAAII($D$3,C$1&amp;$A103,$B103,$B$1)</f>
        <v>41029</v>
      </c>
      <c r="D103" s="25">
        <f>_xll.xlqAAII($D$3,D$1&amp;$A103,$B103,$B$1)</f>
        <v>32.89</v>
      </c>
      <c r="E103" s="25">
        <f>_xll.xlqAAII($D$3,E$1&amp;$A103,$B103,$B$1)</f>
        <v>30.23</v>
      </c>
      <c r="F103" s="25">
        <f>_xll.xlqAAII($D$3,F$1&amp;$A103,$B103,$B$1)</f>
        <v>32.015000000000001</v>
      </c>
      <c r="G103" s="25">
        <f>_xll.xlqAAII($D$3,G$1&amp;$A103,$B103,$B$1)</f>
        <v>940485.99</v>
      </c>
    </row>
    <row r="104" spans="1:7" x14ac:dyDescent="0.25">
      <c r="A104" s="2" t="s">
        <v>753</v>
      </c>
      <c r="B104" s="2">
        <v>89</v>
      </c>
      <c r="C104" s="30">
        <f>_xll.xlqAAII($D$3,C$1&amp;$A104,$B104,$B$1)</f>
        <v>40998</v>
      </c>
      <c r="D104" s="25">
        <f>_xll.xlqAAII($D$3,D$1&amp;$A104,$B104,$B$1)</f>
        <v>32.950000000000003</v>
      </c>
      <c r="E104" s="25">
        <f>_xll.xlqAAII($D$3,E$1&amp;$A104,$B104,$B$1)</f>
        <v>31.49</v>
      </c>
      <c r="F104" s="25">
        <f>_xll.xlqAAII($D$3,F$1&amp;$A104,$B104,$B$1)</f>
        <v>32.255000000000003</v>
      </c>
      <c r="G104" s="25">
        <f>_xll.xlqAAII($D$3,G$1&amp;$A104,$B104,$B$1)</f>
        <v>942419.522</v>
      </c>
    </row>
    <row r="105" spans="1:7" x14ac:dyDescent="0.25">
      <c r="A105" s="2" t="s">
        <v>753</v>
      </c>
      <c r="B105" s="2">
        <v>90</v>
      </c>
      <c r="C105" s="30">
        <f>_xll.xlqAAII($D$3,C$1&amp;$A105,$B105,$B$1)</f>
        <v>40968</v>
      </c>
      <c r="D105" s="25">
        <f>_xll.xlqAAII($D$3,D$1&amp;$A105,$B105,$B$1)</f>
        <v>32</v>
      </c>
      <c r="E105" s="25">
        <f>_xll.xlqAAII($D$3,E$1&amp;$A105,$B105,$B$1)</f>
        <v>29.71</v>
      </c>
      <c r="F105" s="25">
        <f>_xll.xlqAAII($D$3,F$1&amp;$A105,$B105,$B$1)</f>
        <v>31.74</v>
      </c>
      <c r="G105" s="25">
        <f>_xll.xlqAAII($D$3,G$1&amp;$A105,$B105,$B$1)</f>
        <v>984398.223</v>
      </c>
    </row>
    <row r="106" spans="1:7" x14ac:dyDescent="0.25">
      <c r="A106" s="2" t="s">
        <v>753</v>
      </c>
      <c r="B106" s="2">
        <v>91</v>
      </c>
      <c r="C106" s="30">
        <f>_xll.xlqAAII($D$3,C$1&amp;$A106,$B106,$B$1)</f>
        <v>40939</v>
      </c>
      <c r="D106" s="25">
        <f>_xll.xlqAAII($D$3,D$1&amp;$A106,$B106,$B$1)</f>
        <v>29.95</v>
      </c>
      <c r="E106" s="25">
        <f>_xll.xlqAAII($D$3,E$1&amp;$A106,$B106,$B$1)</f>
        <v>26.39</v>
      </c>
      <c r="F106" s="25">
        <f>_xll.xlqAAII($D$3,F$1&amp;$A106,$B106,$B$1)</f>
        <v>29.53</v>
      </c>
      <c r="G106" s="25">
        <f>_xll.xlqAAII($D$3,G$1&amp;$A106,$B106,$B$1)</f>
        <v>1354912.3389999999</v>
      </c>
    </row>
    <row r="107" spans="1:7" x14ac:dyDescent="0.25">
      <c r="A107" s="2" t="s">
        <v>753</v>
      </c>
      <c r="B107" s="2">
        <v>92</v>
      </c>
      <c r="C107" s="30">
        <f>_xll.xlqAAII($D$3,C$1&amp;$A107,$B107,$B$1)</f>
        <v>40907</v>
      </c>
      <c r="D107" s="25">
        <f>_xll.xlqAAII($D$3,D$1&amp;$A107,$B107,$B$1)</f>
        <v>26.19</v>
      </c>
      <c r="E107" s="25">
        <f>_xll.xlqAAII($D$3,E$1&amp;$A107,$B107,$B$1)</f>
        <v>25.16</v>
      </c>
      <c r="F107" s="25">
        <f>_xll.xlqAAII($D$3,F$1&amp;$A107,$B107,$B$1)</f>
        <v>25.96</v>
      </c>
      <c r="G107" s="25">
        <f>_xll.xlqAAII($D$3,G$1&amp;$A107,$B107,$B$1)</f>
        <v>1007182.022</v>
      </c>
    </row>
    <row r="108" spans="1:7" x14ac:dyDescent="0.25">
      <c r="A108" s="2" t="s">
        <v>753</v>
      </c>
      <c r="B108" s="2">
        <v>93</v>
      </c>
      <c r="C108" s="30">
        <f>_xll.xlqAAII($D$3,C$1&amp;$A108,$B108,$B$1)</f>
        <v>40877</v>
      </c>
      <c r="D108" s="25">
        <f>_xll.xlqAAII($D$3,D$1&amp;$A108,$B108,$B$1)</f>
        <v>27.2</v>
      </c>
      <c r="E108" s="25">
        <f>_xll.xlqAAII($D$3,E$1&amp;$A108,$B108,$B$1)</f>
        <v>24.3</v>
      </c>
      <c r="F108" s="25">
        <f>_xll.xlqAAII($D$3,F$1&amp;$A108,$B108,$B$1)</f>
        <v>25.58</v>
      </c>
      <c r="G108" s="25">
        <f>_xll.xlqAAII($D$3,G$1&amp;$A108,$B108,$B$1)</f>
        <v>1046244.198</v>
      </c>
    </row>
    <row r="109" spans="1:7" x14ac:dyDescent="0.25">
      <c r="A109" s="2" t="s">
        <v>753</v>
      </c>
      <c r="B109" s="2">
        <v>94</v>
      </c>
      <c r="C109" s="30">
        <f>_xll.xlqAAII($D$3,C$1&amp;$A109,$B109,$B$1)</f>
        <v>40847</v>
      </c>
      <c r="D109" s="25">
        <f>_xll.xlqAAII($D$3,D$1&amp;$A109,$B109,$B$1)</f>
        <v>27.5</v>
      </c>
      <c r="E109" s="25">
        <f>_xll.xlqAAII($D$3,E$1&amp;$A109,$B109,$B$1)</f>
        <v>24.26</v>
      </c>
      <c r="F109" s="25">
        <f>_xll.xlqAAII($D$3,F$1&amp;$A109,$B109,$B$1)</f>
        <v>26.63</v>
      </c>
      <c r="G109" s="25">
        <f>_xll.xlqAAII($D$3,G$1&amp;$A109,$B109,$B$1)</f>
        <v>1218182.844</v>
      </c>
    </row>
    <row r="110" spans="1:7" x14ac:dyDescent="0.25">
      <c r="A110" s="2" t="s">
        <v>753</v>
      </c>
      <c r="B110" s="2">
        <v>95</v>
      </c>
      <c r="C110" s="30">
        <f>_xll.xlqAAII($D$3,C$1&amp;$A110,$B110,$B$1)</f>
        <v>40816</v>
      </c>
      <c r="D110" s="25">
        <f>_xll.xlqAAII($D$3,D$1&amp;$A110,$B110,$B$1)</f>
        <v>27.5</v>
      </c>
      <c r="E110" s="25">
        <f>_xll.xlqAAII($D$3,E$1&amp;$A110,$B110,$B$1)</f>
        <v>24.6</v>
      </c>
      <c r="F110" s="25">
        <f>_xll.xlqAAII($D$3,F$1&amp;$A110,$B110,$B$1)</f>
        <v>24.89</v>
      </c>
      <c r="G110" s="25">
        <f>_xll.xlqAAII($D$3,G$1&amp;$A110,$B110,$B$1)</f>
        <v>1279992.1740000001</v>
      </c>
    </row>
    <row r="111" spans="1:7" x14ac:dyDescent="0.25">
      <c r="A111" s="2" t="s">
        <v>753</v>
      </c>
      <c r="B111" s="2">
        <v>96</v>
      </c>
      <c r="C111" s="30">
        <f>_xll.xlqAAII($D$3,C$1&amp;$A111,$B111,$B$1)</f>
        <v>40786</v>
      </c>
      <c r="D111" s="25">
        <f>_xll.xlqAAII($D$3,D$1&amp;$A111,$B111,$B$1)</f>
        <v>27.684999999999999</v>
      </c>
      <c r="E111" s="25">
        <f>_xll.xlqAAII($D$3,E$1&amp;$A111,$B111,$B$1)</f>
        <v>23.79</v>
      </c>
      <c r="F111" s="25">
        <f>_xll.xlqAAII($D$3,F$1&amp;$A111,$B111,$B$1)</f>
        <v>26.6</v>
      </c>
      <c r="G111" s="25">
        <f>_xll.xlqAAII($D$3,G$1&amp;$A111,$B111,$B$1)</f>
        <v>1719389.7339999999</v>
      </c>
    </row>
    <row r="112" spans="1:7" x14ac:dyDescent="0.25">
      <c r="A112" s="2" t="s">
        <v>753</v>
      </c>
      <c r="B112" s="2">
        <v>97</v>
      </c>
      <c r="C112" s="30">
        <f>_xll.xlqAAII($D$3,C$1&amp;$A112,$B112,$B$1)</f>
        <v>40753</v>
      </c>
      <c r="D112" s="25">
        <f>_xll.xlqAAII($D$3,D$1&amp;$A112,$B112,$B$1)</f>
        <v>28.145</v>
      </c>
      <c r="E112" s="25">
        <f>_xll.xlqAAII($D$3,E$1&amp;$A112,$B112,$B$1)</f>
        <v>25.84</v>
      </c>
      <c r="F112" s="25">
        <f>_xll.xlqAAII($D$3,F$1&amp;$A112,$B112,$B$1)</f>
        <v>27.4</v>
      </c>
      <c r="G112" s="25">
        <f>_xll.xlqAAII($D$3,G$1&amp;$A112,$B112,$B$1)</f>
        <v>1259090.3049999999</v>
      </c>
    </row>
    <row r="113" spans="1:7" x14ac:dyDescent="0.25">
      <c r="A113" s="2" t="s">
        <v>753</v>
      </c>
      <c r="B113" s="2">
        <v>98</v>
      </c>
      <c r="C113" s="30">
        <f>_xll.xlqAAII($D$3,C$1&amp;$A113,$B113,$B$1)</f>
        <v>40724</v>
      </c>
      <c r="D113" s="25">
        <f>_xll.xlqAAII($D$3,D$1&amp;$A113,$B113,$B$1)</f>
        <v>26</v>
      </c>
      <c r="E113" s="25">
        <f>_xll.xlqAAII($D$3,E$1&amp;$A113,$B113,$B$1)</f>
        <v>23.65</v>
      </c>
      <c r="F113" s="25">
        <f>_xll.xlqAAII($D$3,F$1&amp;$A113,$B113,$B$1)</f>
        <v>26</v>
      </c>
      <c r="G113" s="25">
        <f>_xll.xlqAAII($D$3,G$1&amp;$A113,$B113,$B$1)</f>
        <v>1297829.9080000001</v>
      </c>
    </row>
    <row r="114" spans="1:7" x14ac:dyDescent="0.25">
      <c r="A114" s="2" t="s">
        <v>753</v>
      </c>
      <c r="B114" s="2">
        <v>99</v>
      </c>
      <c r="C114" s="30">
        <f>_xll.xlqAAII($D$3,C$1&amp;$A114,$B114,$B$1)</f>
        <v>40694</v>
      </c>
      <c r="D114" s="25">
        <f>_xll.xlqAAII($D$3,D$1&amp;$A114,$B114,$B$1)</f>
        <v>26.25</v>
      </c>
      <c r="E114" s="25">
        <f>_xll.xlqAAII($D$3,E$1&amp;$A114,$B114,$B$1)</f>
        <v>24.03</v>
      </c>
      <c r="F114" s="25">
        <f>_xll.xlqAAII($D$3,F$1&amp;$A114,$B114,$B$1)</f>
        <v>25.01</v>
      </c>
      <c r="G114" s="25">
        <f>_xll.xlqAAII($D$3,G$1&amp;$A114,$B114,$B$1)</f>
        <v>1364178.7919999999</v>
      </c>
    </row>
    <row r="115" spans="1:7" x14ac:dyDescent="0.25">
      <c r="A115" s="2" t="s">
        <v>753</v>
      </c>
      <c r="B115" s="2">
        <v>100</v>
      </c>
      <c r="C115" s="30">
        <f>_xll.xlqAAII($D$3,C$1&amp;$A115,$B115,$B$1)</f>
        <v>40662</v>
      </c>
      <c r="D115" s="25">
        <f>_xll.xlqAAII($D$3,D$1&amp;$A115,$B115,$B$1)</f>
        <v>26.87</v>
      </c>
      <c r="E115" s="25">
        <f>_xll.xlqAAII($D$3,E$1&amp;$A115,$B115,$B$1)</f>
        <v>24.72</v>
      </c>
      <c r="F115" s="25">
        <f>_xll.xlqAAII($D$3,F$1&amp;$A115,$B115,$B$1)</f>
        <v>25.92</v>
      </c>
      <c r="G115" s="25">
        <f>_xll.xlqAAII($D$3,G$1&amp;$A115,$B115,$B$1)</f>
        <v>1313886.977</v>
      </c>
    </row>
    <row r="116" spans="1:7" x14ac:dyDescent="0.25">
      <c r="A116" s="2" t="s">
        <v>753</v>
      </c>
      <c r="B116" s="2">
        <v>101</v>
      </c>
      <c r="C116" s="30">
        <f>_xll.xlqAAII($D$3,C$1&amp;$A116,$B116,$B$1)</f>
        <v>40633</v>
      </c>
      <c r="D116" s="25">
        <f>_xll.xlqAAII($D$3,D$1&amp;$A116,$B116,$B$1)</f>
        <v>26.78</v>
      </c>
      <c r="E116" s="25">
        <f>_xll.xlqAAII($D$3,E$1&amp;$A116,$B116,$B$1)</f>
        <v>24.68</v>
      </c>
      <c r="F116" s="25">
        <f>_xll.xlqAAII($D$3,F$1&amp;$A116,$B116,$B$1)</f>
        <v>25.39</v>
      </c>
      <c r="G116" s="25">
        <f>_xll.xlqAAII($D$3,G$1&amp;$A116,$B116,$B$1)</f>
        <v>1311028.936</v>
      </c>
    </row>
    <row r="117" spans="1:7" x14ac:dyDescent="0.25">
      <c r="A117" s="2" t="s">
        <v>753</v>
      </c>
      <c r="B117" s="2">
        <v>102</v>
      </c>
      <c r="C117" s="30">
        <f>_xll.xlqAAII($D$3,C$1&amp;$A117,$B117,$B$1)</f>
        <v>40602</v>
      </c>
      <c r="D117" s="25">
        <f>_xll.xlqAAII($D$3,D$1&amp;$A117,$B117,$B$1)</f>
        <v>28.34</v>
      </c>
      <c r="E117" s="25">
        <f>_xll.xlqAAII($D$3,E$1&amp;$A117,$B117,$B$1)</f>
        <v>26.43</v>
      </c>
      <c r="F117" s="25">
        <f>_xll.xlqAAII($D$3,F$1&amp;$A117,$B117,$B$1)</f>
        <v>26.58</v>
      </c>
      <c r="G117" s="25">
        <f>_xll.xlqAAII($D$3,G$1&amp;$A117,$B117,$B$1)</f>
        <v>1114408.9609999999</v>
      </c>
    </row>
    <row r="118" spans="1:7" x14ac:dyDescent="0.25">
      <c r="A118" s="2" t="s">
        <v>753</v>
      </c>
      <c r="B118" s="2">
        <v>103</v>
      </c>
      <c r="C118" s="30">
        <f>_xll.xlqAAII($D$3,C$1&amp;$A118,$B118,$B$1)</f>
        <v>40574</v>
      </c>
      <c r="D118" s="25">
        <f>_xll.xlqAAII($D$3,D$1&amp;$A118,$B118,$B$1)</f>
        <v>29.46</v>
      </c>
      <c r="E118" s="25">
        <f>_xll.xlqAAII($D$3,E$1&amp;$A118,$B118,$B$1)</f>
        <v>27.42</v>
      </c>
      <c r="F118" s="25">
        <f>_xll.xlqAAII($D$3,F$1&amp;$A118,$B118,$B$1)</f>
        <v>27.725000000000001</v>
      </c>
      <c r="G118" s="25">
        <f>_xll.xlqAAII($D$3,G$1&amp;$A118,$B118,$B$1)</f>
        <v>1361326.9509999999</v>
      </c>
    </row>
    <row r="119" spans="1:7" x14ac:dyDescent="0.25">
      <c r="A119" s="2" t="s">
        <v>753</v>
      </c>
      <c r="B119" s="2">
        <v>104</v>
      </c>
      <c r="C119" s="30">
        <f>_xll.xlqAAII($D$3,C$1&amp;$A119,$B119,$B$1)</f>
        <v>40543</v>
      </c>
      <c r="D119" s="25">
        <f>_xll.xlqAAII($D$3,D$1&amp;$A119,$B119,$B$1)</f>
        <v>28.4</v>
      </c>
      <c r="E119" s="25">
        <f>_xll.xlqAAII($D$3,E$1&amp;$A119,$B119,$B$1)</f>
        <v>25.56</v>
      </c>
      <c r="F119" s="25">
        <f>_xll.xlqAAII($D$3,F$1&amp;$A119,$B119,$B$1)</f>
        <v>27.91</v>
      </c>
      <c r="G119" s="25">
        <f>_xll.xlqAAII($D$3,G$1&amp;$A119,$B119,$B$1)</f>
        <v>1033857.06</v>
      </c>
    </row>
    <row r="120" spans="1:7" x14ac:dyDescent="0.25">
      <c r="A120" s="2" t="s">
        <v>753</v>
      </c>
      <c r="B120" s="2">
        <v>105</v>
      </c>
      <c r="C120" s="30">
        <f>_xll.xlqAAII($D$3,C$1&amp;$A120,$B120,$B$1)</f>
        <v>40512</v>
      </c>
      <c r="D120" s="25">
        <f>_xll.xlqAAII($D$3,D$1&amp;$A120,$B120,$B$1)</f>
        <v>27.49</v>
      </c>
      <c r="E120" s="25">
        <f>_xll.xlqAAII($D$3,E$1&amp;$A120,$B120,$B$1)</f>
        <v>24.93</v>
      </c>
      <c r="F120" s="25">
        <f>_xll.xlqAAII($D$3,F$1&amp;$A120,$B120,$B$1)</f>
        <v>25.257000000000001</v>
      </c>
      <c r="G120" s="25">
        <f>_xll.xlqAAII($D$3,G$1&amp;$A120,$B120,$B$1)</f>
        <v>1361330.7549999999</v>
      </c>
    </row>
    <row r="121" spans="1:7" x14ac:dyDescent="0.25">
      <c r="A121" s="2" t="s">
        <v>753</v>
      </c>
      <c r="B121" s="2">
        <v>106</v>
      </c>
      <c r="C121" s="30">
        <f>_xll.xlqAAII($D$3,C$1&amp;$A121,$B121,$B$1)</f>
        <v>40480</v>
      </c>
      <c r="D121" s="25">
        <f>_xll.xlqAAII($D$3,D$1&amp;$A121,$B121,$B$1)</f>
        <v>27.2</v>
      </c>
      <c r="E121" s="25">
        <f>_xll.xlqAAII($D$3,E$1&amp;$A121,$B121,$B$1)</f>
        <v>23.78</v>
      </c>
      <c r="F121" s="25">
        <f>_xll.xlqAAII($D$3,F$1&amp;$A121,$B121,$B$1)</f>
        <v>26.664999999999999</v>
      </c>
      <c r="G121" s="25">
        <f>_xll.xlqAAII($D$3,G$1&amp;$A121,$B121,$B$1)</f>
        <v>1281541.4779999999</v>
      </c>
    </row>
    <row r="122" spans="1:7" x14ac:dyDescent="0.25">
      <c r="A122" s="2" t="s">
        <v>753</v>
      </c>
      <c r="B122" s="2">
        <v>107</v>
      </c>
      <c r="C122" s="30">
        <f>_xll.xlqAAII($D$3,C$1&amp;$A122,$B122,$B$1)</f>
        <v>40451</v>
      </c>
      <c r="D122" s="25">
        <f>_xll.xlqAAII($D$3,D$1&amp;$A122,$B122,$B$1)</f>
        <v>25.53</v>
      </c>
      <c r="E122" s="25">
        <f>_xll.xlqAAII($D$3,E$1&amp;$A122,$B122,$B$1)</f>
        <v>23.54</v>
      </c>
      <c r="F122" s="25">
        <f>_xll.xlqAAII($D$3,F$1&amp;$A122,$B122,$B$1)</f>
        <v>24.49</v>
      </c>
      <c r="G122" s="25">
        <f>_xll.xlqAAII($D$3,G$1&amp;$A122,$B122,$B$1)</f>
        <v>1273583.8700000001</v>
      </c>
    </row>
    <row r="123" spans="1:7" x14ac:dyDescent="0.25">
      <c r="A123" s="2" t="s">
        <v>753</v>
      </c>
      <c r="B123" s="2">
        <v>108</v>
      </c>
      <c r="C123" s="30">
        <f>_xll.xlqAAII($D$3,C$1&amp;$A123,$B123,$B$1)</f>
        <v>40421</v>
      </c>
      <c r="D123" s="25">
        <f>_xll.xlqAAII($D$3,D$1&amp;$A123,$B123,$B$1)</f>
        <v>26.38</v>
      </c>
      <c r="E123" s="25">
        <f>_xll.xlqAAII($D$3,E$1&amp;$A123,$B123,$B$1)</f>
        <v>23.32</v>
      </c>
      <c r="F123" s="25">
        <f>_xll.xlqAAII($D$3,F$1&amp;$A123,$B123,$B$1)</f>
        <v>23.465</v>
      </c>
      <c r="G123" s="25">
        <f>_xll.xlqAAII($D$3,G$1&amp;$A123,$B123,$B$1)</f>
        <v>1279579.7180000001</v>
      </c>
    </row>
    <row r="124" spans="1:7" x14ac:dyDescent="0.25">
      <c r="A124" s="2" t="s">
        <v>753</v>
      </c>
      <c r="B124" s="2">
        <v>109</v>
      </c>
      <c r="C124" s="30">
        <f>_xll.xlqAAII($D$3,C$1&amp;$A124,$B124,$B$1)</f>
        <v>40389</v>
      </c>
      <c r="D124" s="25">
        <f>_xll.xlqAAII($D$3,D$1&amp;$A124,$B124,$B$1)</f>
        <v>26.41</v>
      </c>
      <c r="E124" s="25">
        <f>_xll.xlqAAII($D$3,E$1&amp;$A124,$B124,$B$1)</f>
        <v>22.73</v>
      </c>
      <c r="F124" s="25">
        <f>_xll.xlqAAII($D$3,F$1&amp;$A124,$B124,$B$1)</f>
        <v>25.81</v>
      </c>
      <c r="G124" s="25">
        <f>_xll.xlqAAII($D$3,G$1&amp;$A124,$B124,$B$1)</f>
        <v>1410631.898</v>
      </c>
    </row>
    <row r="125" spans="1:7" x14ac:dyDescent="0.25">
      <c r="A125" s="2" t="s">
        <v>753</v>
      </c>
      <c r="B125" s="2">
        <v>110</v>
      </c>
      <c r="C125" s="30">
        <f>_xll.xlqAAII($D$3,C$1&amp;$A125,$B125,$B$1)</f>
        <v>40359</v>
      </c>
      <c r="D125" s="25">
        <f>_xll.xlqAAII($D$3,D$1&amp;$A125,$B125,$B$1)</f>
        <v>26.93</v>
      </c>
      <c r="E125" s="25">
        <f>_xll.xlqAAII($D$3,E$1&amp;$A125,$B125,$B$1)</f>
        <v>22.95</v>
      </c>
      <c r="F125" s="25">
        <f>_xll.xlqAAII($D$3,F$1&amp;$A125,$B125,$B$1)</f>
        <v>23.01</v>
      </c>
      <c r="G125" s="25">
        <f>_xll.xlqAAII($D$3,G$1&amp;$A125,$B125,$B$1)</f>
        <v>1671888.432</v>
      </c>
    </row>
    <row r="126" spans="1:7" x14ac:dyDescent="0.25">
      <c r="A126" s="2" t="s">
        <v>753</v>
      </c>
      <c r="B126" s="2">
        <v>111</v>
      </c>
      <c r="C126" s="30">
        <f>_xll.xlqAAII($D$3,C$1&amp;$A126,$B126,$B$1)</f>
        <v>40326</v>
      </c>
      <c r="D126" s="25">
        <f>_xll.xlqAAII($D$3,D$1&amp;$A126,$B126,$B$1)</f>
        <v>31.061</v>
      </c>
      <c r="E126" s="25">
        <f>_xll.xlqAAII($D$3,E$1&amp;$A126,$B126,$B$1)</f>
        <v>24.56</v>
      </c>
      <c r="F126" s="25">
        <f>_xll.xlqAAII($D$3,F$1&amp;$A126,$B126,$B$1)</f>
        <v>25.8</v>
      </c>
      <c r="G126" s="25">
        <f>_xll.xlqAAII($D$3,G$1&amp;$A126,$B126,$B$1)</f>
        <v>1720356.7409999999</v>
      </c>
    </row>
    <row r="127" spans="1:7" x14ac:dyDescent="0.25">
      <c r="A127" s="2" t="s">
        <v>753</v>
      </c>
      <c r="B127" s="2">
        <v>112</v>
      </c>
      <c r="C127" s="30">
        <f>_xll.xlqAAII($D$3,C$1&amp;$A127,$B127,$B$1)</f>
        <v>40298</v>
      </c>
      <c r="D127" s="25">
        <f>_xll.xlqAAII($D$3,D$1&amp;$A127,$B127,$B$1)</f>
        <v>31.58</v>
      </c>
      <c r="E127" s="25">
        <f>_xll.xlqAAII($D$3,E$1&amp;$A127,$B127,$B$1)</f>
        <v>28.62</v>
      </c>
      <c r="F127" s="25">
        <f>_xll.xlqAAII($D$3,F$1&amp;$A127,$B127,$B$1)</f>
        <v>30.535</v>
      </c>
      <c r="G127" s="25">
        <f>_xll.xlqAAII($D$3,G$1&amp;$A127,$B127,$B$1)</f>
        <v>1319076.466</v>
      </c>
    </row>
    <row r="128" spans="1:7" x14ac:dyDescent="0.25">
      <c r="A128" s="2" t="s">
        <v>753</v>
      </c>
      <c r="B128" s="2">
        <v>113</v>
      </c>
      <c r="C128" s="30">
        <f>_xll.xlqAAII($D$3,C$1&amp;$A128,$B128,$B$1)</f>
        <v>40268</v>
      </c>
      <c r="D128" s="25">
        <f>_xll.xlqAAII($D$3,D$1&amp;$A128,$B128,$B$1)</f>
        <v>30.57</v>
      </c>
      <c r="E128" s="25">
        <f>_xll.xlqAAII($D$3,E$1&amp;$A128,$B128,$B$1)</f>
        <v>28.24</v>
      </c>
      <c r="F128" s="25">
        <f>_xll.xlqAAII($D$3,F$1&amp;$A128,$B128,$B$1)</f>
        <v>29.286999999999999</v>
      </c>
      <c r="G128" s="25">
        <f>_xll.xlqAAII($D$3,G$1&amp;$A128,$B128,$B$1)</f>
        <v>1110339.29</v>
      </c>
    </row>
    <row r="129" spans="1:7" x14ac:dyDescent="0.25">
      <c r="A129" s="2" t="s">
        <v>753</v>
      </c>
      <c r="B129" s="2">
        <v>114</v>
      </c>
      <c r="C129" s="30">
        <f>_xll.xlqAAII($D$3,C$1&amp;$A129,$B129,$B$1)</f>
        <v>40235</v>
      </c>
      <c r="D129" s="25">
        <f>_xll.xlqAAII($D$3,D$1&amp;$A129,$B129,$B$1)</f>
        <v>29.03</v>
      </c>
      <c r="E129" s="25">
        <f>_xll.xlqAAII($D$3,E$1&amp;$A129,$B129,$B$1)</f>
        <v>27.57</v>
      </c>
      <c r="F129" s="25">
        <f>_xll.xlqAAII($D$3,F$1&amp;$A129,$B129,$B$1)</f>
        <v>28.67</v>
      </c>
      <c r="G129" s="25">
        <f>_xll.xlqAAII($D$3,G$1&amp;$A129,$B129,$B$1)</f>
        <v>1074677.912</v>
      </c>
    </row>
    <row r="130" spans="1:7" x14ac:dyDescent="0.25">
      <c r="A130" s="2" t="s">
        <v>753</v>
      </c>
      <c r="B130" s="2">
        <v>115</v>
      </c>
      <c r="C130" s="30">
        <f>_xll.xlqAAII($D$3,C$1&amp;$A130,$B130,$B$1)</f>
        <v>40207</v>
      </c>
      <c r="D130" s="25">
        <f>_xll.xlqAAII($D$3,D$1&amp;$A130,$B130,$B$1)</f>
        <v>31.24</v>
      </c>
      <c r="E130" s="25">
        <f>_xll.xlqAAII($D$3,E$1&amp;$A130,$B130,$B$1)</f>
        <v>27.66</v>
      </c>
      <c r="F130" s="25">
        <f>_xll.xlqAAII($D$3,F$1&amp;$A130,$B130,$B$1)</f>
        <v>28.18</v>
      </c>
      <c r="G130" s="25">
        <f>_xll.xlqAAII($D$3,G$1&amp;$A130,$B130,$B$1)</f>
        <v>1359724.814</v>
      </c>
    </row>
    <row r="131" spans="1:7" x14ac:dyDescent="0.25">
      <c r="A131" s="2" t="s">
        <v>753</v>
      </c>
      <c r="B131" s="2">
        <v>116</v>
      </c>
      <c r="C131" s="30">
        <f>_xll.xlqAAII($D$3,C$1&amp;$A131,$B131,$B$1)</f>
        <v>40178</v>
      </c>
      <c r="D131" s="25">
        <f>_xll.xlqAAII($D$3,D$1&amp;$A131,$B131,$B$1)</f>
        <v>31.5</v>
      </c>
      <c r="E131" s="25">
        <f>_xll.xlqAAII($D$3,E$1&amp;$A131,$B131,$B$1)</f>
        <v>29.25</v>
      </c>
      <c r="F131" s="25">
        <f>_xll.xlqAAII($D$3,F$1&amp;$A131,$B131,$B$1)</f>
        <v>30.48</v>
      </c>
      <c r="G131" s="25">
        <f>_xll.xlqAAII($D$3,G$1&amp;$A131,$B131,$B$1)</f>
        <v>920649.304</v>
      </c>
    </row>
    <row r="132" spans="1:7" x14ac:dyDescent="0.25">
      <c r="A132" s="2" t="s">
        <v>753</v>
      </c>
      <c r="B132" s="2">
        <v>117</v>
      </c>
      <c r="C132" s="30">
        <f>_xll.xlqAAII($D$3,C$1&amp;$A132,$B132,$B$1)</f>
        <v>40147</v>
      </c>
      <c r="D132" s="25">
        <f>_xll.xlqAAII($D$3,D$1&amp;$A132,$B132,$B$1)</f>
        <v>30.14</v>
      </c>
      <c r="E132" s="25">
        <f>_xll.xlqAAII($D$3,E$1&amp;$A132,$B132,$B$1)</f>
        <v>27.41</v>
      </c>
      <c r="F132" s="25">
        <f>_xll.xlqAAII($D$3,F$1&amp;$A132,$B132,$B$1)</f>
        <v>29.41</v>
      </c>
      <c r="G132" s="25">
        <f>_xll.xlqAAII($D$3,G$1&amp;$A132,$B132,$B$1)</f>
        <v>1018302.33</v>
      </c>
    </row>
    <row r="133" spans="1:7" x14ac:dyDescent="0.25">
      <c r="A133" s="2" t="s">
        <v>753</v>
      </c>
      <c r="B133" s="2">
        <v>118</v>
      </c>
      <c r="C133" s="30">
        <f>_xll.xlqAAII($D$3,C$1&amp;$A133,$B133,$B$1)</f>
        <v>40116</v>
      </c>
      <c r="D133" s="25">
        <f>_xll.xlqAAII($D$3,D$1&amp;$A133,$B133,$B$1)</f>
        <v>29.35</v>
      </c>
      <c r="E133" s="25">
        <f>_xll.xlqAAII($D$3,E$1&amp;$A133,$B133,$B$1)</f>
        <v>24.43</v>
      </c>
      <c r="F133" s="25">
        <f>_xll.xlqAAII($D$3,F$1&amp;$A133,$B133,$B$1)</f>
        <v>27.73</v>
      </c>
      <c r="G133" s="25">
        <f>_xll.xlqAAII($D$3,G$1&amp;$A133,$B133,$B$1)</f>
        <v>1523468.04</v>
      </c>
    </row>
    <row r="134" spans="1:7" x14ac:dyDescent="0.25">
      <c r="A134" s="2" t="s">
        <v>753</v>
      </c>
      <c r="B134" s="2">
        <v>119</v>
      </c>
      <c r="C134" s="30">
        <f>_xll.xlqAAII($D$3,C$1&amp;$A134,$B134,$B$1)</f>
        <v>40086</v>
      </c>
      <c r="D134" s="25">
        <f>_xll.xlqAAII($D$3,D$1&amp;$A134,$B134,$B$1)</f>
        <v>26.25</v>
      </c>
      <c r="E134" s="25">
        <f>_xll.xlqAAII($D$3,E$1&amp;$A134,$B134,$B$1)</f>
        <v>23.76</v>
      </c>
      <c r="F134" s="25">
        <f>_xll.xlqAAII($D$3,F$1&amp;$A134,$B134,$B$1)</f>
        <v>25.72</v>
      </c>
      <c r="G134" s="25">
        <f>_xll.xlqAAII($D$3,G$1&amp;$A134,$B134,$B$1)</f>
        <v>1039017.853</v>
      </c>
    </row>
    <row r="135" spans="1:7" x14ac:dyDescent="0.25">
      <c r="A135" s="2" t="s">
        <v>753</v>
      </c>
      <c r="B135" s="2">
        <v>120</v>
      </c>
      <c r="C135" s="30">
        <f>_xll.xlqAAII($D$3,C$1&amp;$A135,$B135,$B$1)</f>
        <v>40056</v>
      </c>
      <c r="D135" s="25">
        <f>_xll.xlqAAII($D$3,D$1&amp;$A135,$B135,$B$1)</f>
        <v>25.49</v>
      </c>
      <c r="E135" s="25">
        <f>_xll.xlqAAII($D$3,E$1&amp;$A135,$B135,$B$1)</f>
        <v>23.03</v>
      </c>
      <c r="F135" s="25">
        <f>_xll.xlqAAII($D$3,F$1&amp;$A135,$B135,$B$1)</f>
        <v>24.65</v>
      </c>
      <c r="G135" s="25">
        <f>_xll.xlqAAII($D$3,G$1&amp;$A135,$B135,$B$1)</f>
        <v>993305.67299999995</v>
      </c>
    </row>
    <row r="136" spans="1:7" x14ac:dyDescent="0.25">
      <c r="C136" s="30"/>
      <c r="D136" s="25"/>
      <c r="E136" s="25"/>
      <c r="F136" s="25"/>
      <c r="G136" s="25"/>
    </row>
  </sheetData>
  <phoneticPr fontId="2" type="noConversion"/>
  <pageMargins left="0.75" right="0.75" top="1" bottom="1" header="0.5" footer="0.5"/>
  <pageSetup paperSize="9" orientation="portrait" horizontalDpi="4294967292"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84"/>
  <sheetViews>
    <sheetView workbookViewId="0">
      <pane xSplit="1" ySplit="6" topLeftCell="B7" activePane="bottomRight" state="frozen"/>
      <selection pane="topRight" activeCell="B1" sqref="B1"/>
      <selection pane="bottomLeft" activeCell="A7" sqref="A7"/>
      <selection pane="bottomRight" activeCell="B46" sqref="B46"/>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142</v>
      </c>
      <c r="E3" s="2" t="str">
        <f>_xll.xlqAAII($C$3,"name",,$B$1)</f>
        <v>Microsoft Corporation</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28">
        <f>_xll.xlqAAII($C$3,$A7&amp;C$2&amp;"_x",C$1,$B$1)</f>
        <v>30571</v>
      </c>
      <c r="D7" s="28">
        <f>_xll.xlqAAII($C$3,$A7&amp;D$2&amp;"_x",D$1,$B$1)</f>
        <v>32471</v>
      </c>
      <c r="E7" s="28">
        <f>_xll.xlqAAII($C$3,$A7&amp;E$2&amp;"_x",E$1,$B$1)</f>
        <v>29084</v>
      </c>
      <c r="F7" s="28">
        <f>_xll.xlqAAII($C$3,$A7&amp;F$2&amp;"_x",F$1,$B$1)</f>
        <v>30085</v>
      </c>
      <c r="G7" s="28">
        <f>_xll.xlqAAII($C$3,$A7&amp;G$2&amp;"_x",G$1,$B$1)</f>
        <v>26819</v>
      </c>
      <c r="H7" s="28">
        <f>_xll.xlqAAII($C$3,$A7&amp;H$2&amp;"_x",H$1,$B$1)</f>
        <v>28918</v>
      </c>
      <c r="I7" s="28">
        <f>_xll.xlqAAII($C$3,$A7&amp;I$2&amp;"_x",I$1,$B$1)</f>
        <v>24538</v>
      </c>
      <c r="J7" s="28">
        <f>_xll.xlqAAII($C$3,$A7&amp;J$2&amp;"_x",J$1,$B$1)</f>
        <v>25605</v>
      </c>
      <c r="K7" s="35"/>
      <c r="L7" s="28">
        <f>_xll.xlqAAII($C$3,$A7&amp;"12M",L$1,$B$1)</f>
        <v>122211</v>
      </c>
    </row>
    <row r="8" spans="1:12" s="36" customFormat="1" x14ac:dyDescent="0.25">
      <c r="A8" s="36" t="s">
        <v>146</v>
      </c>
      <c r="B8" s="37" t="str">
        <f>_xll.xlqAAIIDescrip($A8&amp;B$2&amp;"_x")</f>
        <v>Cost Of Goods Sold</v>
      </c>
      <c r="C8" s="38">
        <f>_xll.xlqAAII($C$3,$A8&amp;C$2&amp;"_x",C$1,$B$1)</f>
        <v>10170</v>
      </c>
      <c r="D8" s="38">
        <f>_xll.xlqAAII($C$3,$A8&amp;D$2&amp;"_x",D$1,$B$1)</f>
        <v>12423</v>
      </c>
      <c r="E8" s="38">
        <f>_xll.xlqAAII($C$3,$A8&amp;E$2&amp;"_x",E$1,$B$1)</f>
        <v>9905</v>
      </c>
      <c r="F8" s="38">
        <f>_xll.xlqAAII($C$3,$A8&amp;F$2&amp;"_x",F$1,$B$1)</f>
        <v>9742</v>
      </c>
      <c r="G8" s="38">
        <f>_xll.xlqAAII($C$3,$A8&amp;G$2&amp;"_x",G$1,$B$1)</f>
        <v>9269</v>
      </c>
      <c r="H8" s="38">
        <f>_xll.xlqAAII($C$3,$A8&amp;H$2&amp;"_x",H$1,$B$1)</f>
        <v>11064</v>
      </c>
      <c r="I8" s="38">
        <f>_xll.xlqAAII($C$3,$A8&amp;I$2&amp;"_x",I$1,$B$1)</f>
        <v>8278</v>
      </c>
      <c r="J8" s="38">
        <f>_xll.xlqAAII($C$3,$A8&amp;J$2&amp;"_x",J$1,$B$1)</f>
        <v>8456</v>
      </c>
      <c r="K8" s="39"/>
      <c r="L8" s="38">
        <f>_xll.xlqAAII($C$3,$A8&amp;"12M",L$1,$B$1)</f>
        <v>42240</v>
      </c>
    </row>
    <row r="9" spans="1:12" x14ac:dyDescent="0.25">
      <c r="A9" s="2" t="s">
        <v>147</v>
      </c>
      <c r="B9" s="1" t="str">
        <f>_xll.xlqAAIIDescrip($A9&amp;B$2&amp;"_x")</f>
        <v>Gross Income</v>
      </c>
      <c r="C9" s="28">
        <f>_xll.xlqAAII($C$3,$A9&amp;C$2&amp;"_x",C$1,$B$1)</f>
        <v>20401</v>
      </c>
      <c r="D9" s="28">
        <f>_xll.xlqAAII($C$3,$A9&amp;D$2&amp;"_x",D$1,$B$1)</f>
        <v>20048</v>
      </c>
      <c r="E9" s="28">
        <f>_xll.xlqAAII($C$3,$A9&amp;E$2&amp;"_x",E$1,$B$1)</f>
        <v>19179</v>
      </c>
      <c r="F9" s="28">
        <f>_xll.xlqAAII($C$3,$A9&amp;F$2&amp;"_x",F$1,$B$1)</f>
        <v>20343</v>
      </c>
      <c r="G9" s="28">
        <f>_xll.xlqAAII($C$3,$A9&amp;G$2&amp;"_x",G$1,$B$1)</f>
        <v>17550</v>
      </c>
      <c r="H9" s="28">
        <f>_xll.xlqAAII($C$3,$A9&amp;H$2&amp;"_x",H$1,$B$1)</f>
        <v>17854</v>
      </c>
      <c r="I9" s="28">
        <f>_xll.xlqAAII($C$3,$A9&amp;I$2&amp;"_x",I$1,$B$1)</f>
        <v>16260</v>
      </c>
      <c r="J9" s="28">
        <f>_xll.xlqAAII($C$3,$A9&amp;J$2&amp;"_x",J$1,$B$1)</f>
        <v>17149</v>
      </c>
      <c r="K9" s="35"/>
      <c r="L9" s="28">
        <f>_xll.xlqAAII($C$3,$A9&amp;"12M",L$1,$B$1)</f>
        <v>79971</v>
      </c>
    </row>
    <row r="10" spans="1:12" x14ac:dyDescent="0.25">
      <c r="C10" s="28"/>
      <c r="D10" s="28"/>
      <c r="E10" s="28"/>
      <c r="F10" s="28"/>
      <c r="G10" s="28"/>
      <c r="H10" s="28"/>
      <c r="I10" s="28"/>
      <c r="J10" s="28"/>
      <c r="K10" s="35"/>
      <c r="L10" s="28"/>
    </row>
    <row r="11" spans="1:12" x14ac:dyDescent="0.25">
      <c r="A11" s="2" t="s">
        <v>148</v>
      </c>
      <c r="B11" s="1" t="str">
        <f>_xll.xlqAAIIDescrip($A11&amp;B$2&amp;"_x")</f>
        <v>Depreciation &amp; Amortization</v>
      </c>
      <c r="C11" s="28">
        <f>_xll.xlqAAII($C$3,$A11&amp;C$2&amp;"_x",C$1,$B$1)</f>
        <v>0</v>
      </c>
      <c r="D11" s="28">
        <f>_xll.xlqAAII($C$3,$A11&amp;D$2&amp;"_x",D$1,$B$1)</f>
        <v>0</v>
      </c>
      <c r="E11" s="28">
        <f>_xll.xlqAAII($C$3,$A11&amp;E$2&amp;"_x",E$1,$B$1)</f>
        <v>0</v>
      </c>
      <c r="F11" s="28">
        <f>_xll.xlqAAII($C$3,$A11&amp;F$2&amp;"_x",F$1,$B$1)</f>
        <v>0</v>
      </c>
      <c r="G11" s="28">
        <f>_xll.xlqAAII($C$3,$A11&amp;G$2&amp;"_x",G$1,$B$1)</f>
        <v>0</v>
      </c>
      <c r="H11" s="28">
        <f>_xll.xlqAAII($C$3,$A11&amp;H$2&amp;"_x",H$1,$B$1)</f>
        <v>0</v>
      </c>
      <c r="I11" s="28">
        <f>_xll.xlqAAII($C$3,$A11&amp;I$2&amp;"_x",I$1,$B$1)</f>
        <v>0</v>
      </c>
      <c r="J11" s="28">
        <f>_xll.xlqAAII($C$3,$A11&amp;J$2&amp;"_x",J$1,$B$1)</f>
        <v>0</v>
      </c>
      <c r="K11" s="35"/>
      <c r="L11" s="28">
        <f>_xll.xlqAAII($C$3,$A11&amp;"12M",L$1,$B$1)</f>
        <v>0</v>
      </c>
    </row>
    <row r="12" spans="1:12" x14ac:dyDescent="0.25">
      <c r="A12" s="2" t="s">
        <v>149</v>
      </c>
      <c r="B12" s="1" t="str">
        <f>_xll.xlqAAIIDescrip($A12&amp;B$2&amp;"_x")</f>
        <v>Research And Development</v>
      </c>
      <c r="C12" s="28">
        <f>_xll.xlqAAII($C$3,$A12&amp;C$2&amp;"_x",C$1,$B$1)</f>
        <v>4316</v>
      </c>
      <c r="D12" s="28">
        <f>_xll.xlqAAII($C$3,$A12&amp;D$2&amp;"_x",D$1,$B$1)</f>
        <v>4070</v>
      </c>
      <c r="E12" s="28">
        <f>_xll.xlqAAII($C$3,$A12&amp;E$2&amp;"_x",E$1,$B$1)</f>
        <v>3977</v>
      </c>
      <c r="F12" s="28">
        <f>_xll.xlqAAII($C$3,$A12&amp;F$2&amp;"_x",F$1,$B$1)</f>
        <v>3933</v>
      </c>
      <c r="G12" s="28">
        <f>_xll.xlqAAII($C$3,$A12&amp;G$2&amp;"_x",G$1,$B$1)</f>
        <v>3715</v>
      </c>
      <c r="H12" s="28">
        <f>_xll.xlqAAII($C$3,$A12&amp;H$2&amp;"_x",H$1,$B$1)</f>
        <v>3504</v>
      </c>
      <c r="I12" s="28">
        <f>_xll.xlqAAII($C$3,$A12&amp;I$2&amp;"_x",I$1,$B$1)</f>
        <v>3574</v>
      </c>
      <c r="J12" s="28">
        <f>_xll.xlqAAII($C$3,$A12&amp;J$2&amp;"_x",J$1,$B$1)</f>
        <v>2769</v>
      </c>
      <c r="K12" s="35"/>
      <c r="L12" s="28">
        <f>_xll.xlqAAII($C$3,$A12&amp;"12M",L$1,$B$1)</f>
        <v>16296</v>
      </c>
    </row>
    <row r="13" spans="1:12" x14ac:dyDescent="0.25">
      <c r="A13" s="2" t="s">
        <v>150</v>
      </c>
      <c r="B13" s="1" t="str">
        <f>_xll.xlqAAIIDescrip($A13&amp;B$2&amp;"_x")</f>
        <v>Interest Expense</v>
      </c>
      <c r="C13" s="28">
        <f>_xll.xlqAAII($C$3,$A13&amp;C$2&amp;"_x",C$1,$B$1)</f>
        <v>0</v>
      </c>
      <c r="D13" s="28">
        <f>_xll.xlqAAII($C$3,$A13&amp;D$2&amp;"_x",D$1,$B$1)</f>
        <v>0</v>
      </c>
      <c r="E13" s="28">
        <f>_xll.xlqAAII($C$3,$A13&amp;E$2&amp;"_x",E$1,$B$1)</f>
        <v>0</v>
      </c>
      <c r="F13" s="28">
        <f>_xll.xlqAAII($C$3,$A13&amp;F$2&amp;"_x",F$1,$B$1)</f>
        <v>0</v>
      </c>
      <c r="G13" s="28">
        <f>_xll.xlqAAII($C$3,$A13&amp;G$2&amp;"_x",G$1,$B$1)</f>
        <v>0</v>
      </c>
      <c r="H13" s="28">
        <f>_xll.xlqAAII($C$3,$A13&amp;H$2&amp;"_x",H$1,$B$1)</f>
        <v>0</v>
      </c>
      <c r="I13" s="28">
        <f>_xll.xlqAAII($C$3,$A13&amp;I$2&amp;"_x",I$1,$B$1)</f>
        <v>0</v>
      </c>
      <c r="J13" s="28">
        <f>_xll.xlqAAII($C$3,$A13&amp;J$2&amp;"_x",J$1,$B$1)</f>
        <v>0</v>
      </c>
      <c r="K13" s="35"/>
      <c r="L13" s="28">
        <f>_xll.xlqAAII($C$3,$A13&amp;"12M",L$1,$B$1)</f>
        <v>0</v>
      </c>
    </row>
    <row r="14" spans="1:12" x14ac:dyDescent="0.25">
      <c r="A14" s="2" t="s">
        <v>151</v>
      </c>
      <c r="B14" s="1" t="str">
        <f>_xll.xlqAAIIDescrip($A14&amp;B$2&amp;"_x")</f>
        <v>Unusual Expense/(Income)</v>
      </c>
      <c r="C14" s="28">
        <f>_xll.xlqAAII($C$3,$A14&amp;C$2&amp;"_x",C$1,$B$1)</f>
        <v>0</v>
      </c>
      <c r="D14" s="28">
        <f>_xll.xlqAAII($C$3,$A14&amp;D$2&amp;"_x",D$1,$B$1)</f>
        <v>7</v>
      </c>
      <c r="E14" s="28">
        <f>_xll.xlqAAII($C$3,$A14&amp;E$2&amp;"_x",E$1,$B$1)</f>
        <v>0</v>
      </c>
      <c r="F14" s="28">
        <f>_xll.xlqAAII($C$3,$A14&amp;F$2&amp;"_x",F$1,$B$1)</f>
        <v>0</v>
      </c>
      <c r="G14" s="28">
        <f>_xll.xlqAAII($C$3,$A14&amp;G$2&amp;"_x",G$1,$B$1)</f>
        <v>17</v>
      </c>
      <c r="H14" s="28">
        <f>_xll.xlqAAII($C$3,$A14&amp;H$2&amp;"_x",H$1,$B$1)</f>
        <v>24</v>
      </c>
      <c r="I14" s="28">
        <f>_xll.xlqAAII($C$3,$A14&amp;I$2&amp;"_x",I$1,$B$1)</f>
        <v>6</v>
      </c>
      <c r="J14" s="28">
        <f>_xll.xlqAAII($C$3,$A14&amp;J$2&amp;"_x",J$1,$B$1)</f>
        <v>2346</v>
      </c>
      <c r="K14" s="35"/>
      <c r="L14" s="28">
        <f>_xll.xlqAAII($C$3,$A14&amp;"12M",L$1,$B$1)</f>
        <v>7</v>
      </c>
    </row>
    <row r="15" spans="1:12" x14ac:dyDescent="0.25">
      <c r="A15" s="2" t="s">
        <v>152</v>
      </c>
      <c r="B15" s="1" t="str">
        <f>_xll.xlqAAIIDescrip($A15&amp;B$2&amp;"_x")</f>
        <v>Total Operating Expenses</v>
      </c>
      <c r="C15" s="28">
        <f>_xll.xlqAAII($C$3,$A15&amp;C$2&amp;"_x",C$1,$B$1)</f>
        <v>20230</v>
      </c>
      <c r="D15" s="28">
        <f>_xll.xlqAAII($C$3,$A15&amp;D$2&amp;"_x",D$1,$B$1)</f>
        <v>22220</v>
      </c>
      <c r="E15" s="28">
        <f>_xll.xlqAAII($C$3,$A15&amp;E$2&amp;"_x",E$1,$B$1)</f>
        <v>19129</v>
      </c>
      <c r="F15" s="28">
        <f>_xll.xlqAAII($C$3,$A15&amp;F$2&amp;"_x",F$1,$B$1)</f>
        <v>19706</v>
      </c>
      <c r="G15" s="28">
        <f>_xll.xlqAAII($C$3,$A15&amp;G$2&amp;"_x",G$1,$B$1)</f>
        <v>18544</v>
      </c>
      <c r="H15" s="28">
        <f>_xll.xlqAAII($C$3,$A15&amp;H$2&amp;"_x",H$1,$B$1)</f>
        <v>20263</v>
      </c>
      <c r="I15" s="28">
        <f>_xll.xlqAAII($C$3,$A15&amp;I$2&amp;"_x",I$1,$B$1)</f>
        <v>16836</v>
      </c>
      <c r="J15" s="28">
        <f>_xll.xlqAAII($C$3,$A15&amp;J$2&amp;"_x",J$1,$B$1)</f>
        <v>17924</v>
      </c>
      <c r="K15" s="35"/>
      <c r="L15" s="28">
        <f>_xll.xlqAAII($C$3,$A15&amp;"12M",L$1,$B$1)</f>
        <v>81285</v>
      </c>
    </row>
    <row r="16" spans="1:12" x14ac:dyDescent="0.25">
      <c r="C16" s="28"/>
      <c r="D16" s="28"/>
      <c r="E16" s="28"/>
      <c r="F16" s="28"/>
      <c r="G16" s="28"/>
      <c r="H16" s="28"/>
      <c r="I16" s="28"/>
      <c r="J16" s="28"/>
      <c r="K16" s="35"/>
      <c r="L16" s="28"/>
    </row>
    <row r="17" spans="1:12" x14ac:dyDescent="0.25">
      <c r="A17" s="2" t="s">
        <v>153</v>
      </c>
      <c r="B17" s="1" t="str">
        <f>_xll.xlqAAIIDescrip($A17&amp;B$2&amp;"_x")</f>
        <v>Gross Operating Income</v>
      </c>
      <c r="C17" s="28">
        <f>_xll.xlqAAII($C$3,$A17&amp;C$2&amp;"_x",C$1,$B$1)</f>
        <v>10341</v>
      </c>
      <c r="D17" s="28">
        <f>_xll.xlqAAII($C$3,$A17&amp;D$2&amp;"_x",D$1,$B$1)</f>
        <v>10251</v>
      </c>
      <c r="E17" s="28">
        <f>_xll.xlqAAII($C$3,$A17&amp;E$2&amp;"_x",E$1,$B$1)</f>
        <v>9955</v>
      </c>
      <c r="F17" s="28">
        <f>_xll.xlqAAII($C$3,$A17&amp;F$2&amp;"_x",F$1,$B$1)</f>
        <v>10379</v>
      </c>
      <c r="G17" s="28">
        <f>_xll.xlqAAII($C$3,$A17&amp;G$2&amp;"_x",G$1,$B$1)</f>
        <v>8275</v>
      </c>
      <c r="H17" s="28">
        <f>_xll.xlqAAII($C$3,$A17&amp;H$2&amp;"_x",H$1,$B$1)</f>
        <v>8655</v>
      </c>
      <c r="I17" s="28">
        <f>_xll.xlqAAII($C$3,$A17&amp;I$2&amp;"_x",I$1,$B$1)</f>
        <v>7702</v>
      </c>
      <c r="J17" s="28">
        <f>_xll.xlqAAII($C$3,$A17&amp;J$2&amp;"_x",J$1,$B$1)</f>
        <v>7681</v>
      </c>
      <c r="K17" s="35"/>
      <c r="L17" s="28">
        <f>_xll.xlqAAII($C$3,$A17&amp;"12M",L$1,$B$1)</f>
        <v>40926</v>
      </c>
    </row>
    <row r="18" spans="1:12" x14ac:dyDescent="0.25">
      <c r="C18" s="28"/>
      <c r="D18" s="28"/>
      <c r="E18" s="28"/>
      <c r="F18" s="28"/>
      <c r="G18" s="28"/>
      <c r="H18" s="28"/>
      <c r="I18" s="28"/>
      <c r="J18" s="28"/>
      <c r="K18" s="35"/>
      <c r="L18" s="28"/>
    </row>
    <row r="19" spans="1:12" x14ac:dyDescent="0.25">
      <c r="A19" s="2" t="s">
        <v>154</v>
      </c>
      <c r="B19" s="1" t="str">
        <f>_xll.xlqAAIIDescrip($A19&amp;B$2&amp;"_x")</f>
        <v>Interest Expense-Non-Op.</v>
      </c>
      <c r="C19" s="28">
        <f>_xll.xlqAAII($C$3,$A19&amp;C$2&amp;"_x",C$1,$B$1)</f>
        <v>671</v>
      </c>
      <c r="D19" s="28">
        <f>_xll.xlqAAII($C$3,$A19&amp;D$2&amp;"_x",D$1,$B$1)</f>
        <v>672</v>
      </c>
      <c r="E19" s="28">
        <f>_xll.xlqAAII($C$3,$A19&amp;E$2&amp;"_x",E$1,$B$1)</f>
        <v>674</v>
      </c>
      <c r="F19" s="28">
        <f>_xll.xlqAAII($C$3,$A19&amp;F$2&amp;"_x",F$1,$B$1)</f>
        <v>672</v>
      </c>
      <c r="G19" s="28">
        <f>_xll.xlqAAII($C$3,$A19&amp;G$2&amp;"_x",G$1,$B$1)</f>
        <v>691</v>
      </c>
      <c r="H19" s="28">
        <f>_xll.xlqAAII($C$3,$A19&amp;H$2&amp;"_x",H$1,$B$1)</f>
        <v>698</v>
      </c>
      <c r="I19" s="28">
        <f>_xll.xlqAAII($C$3,$A19&amp;I$2&amp;"_x",I$1,$B$1)</f>
        <v>672</v>
      </c>
      <c r="J19" s="28">
        <f>_xll.xlqAAII($C$3,$A19&amp;J$2&amp;"_x",J$1,$B$1)</f>
        <v>1310</v>
      </c>
      <c r="K19" s="35"/>
      <c r="L19" s="28">
        <f>_xll.xlqAAII($C$3,$A19&amp;"12M",L$1,$B$1)</f>
        <v>2689</v>
      </c>
    </row>
    <row r="20" spans="1:12" s="36" customFormat="1" x14ac:dyDescent="0.25">
      <c r="A20" s="36" t="s">
        <v>155</v>
      </c>
      <c r="B20" s="37" t="str">
        <f>_xll.xlqAAIIDescrip($A20&amp;B$2&amp;"_x")</f>
        <v>Other Expense/(Income)</v>
      </c>
      <c r="C20" s="38">
        <f>_xll.xlqAAII($C$3,$A20&amp;C$2&amp;"_x",C$1,$B$1)</f>
        <v>-816</v>
      </c>
      <c r="D20" s="38">
        <f>_xll.xlqAAII($C$3,$A20&amp;D$2&amp;"_x",D$1,$B$1)</f>
        <v>-806</v>
      </c>
      <c r="E20" s="38">
        <f>_xll.xlqAAII($C$3,$A20&amp;E$2&amp;"_x",E$1,$B$1)</f>
        <v>-940</v>
      </c>
      <c r="F20" s="38">
        <f>_xll.xlqAAII($C$3,$A20&amp;F$2&amp;"_x",F$1,$B$1)</f>
        <v>-973</v>
      </c>
      <c r="G20" s="38">
        <f>_xll.xlqAAII($C$3,$A20&amp;G$2&amp;"_x",G$1,$B$1)</f>
        <v>-1057</v>
      </c>
      <c r="H20" s="38">
        <f>_xll.xlqAAII($C$3,$A20&amp;H$2&amp;"_x",H$1,$B$1)</f>
        <v>-1212</v>
      </c>
      <c r="I20" s="38">
        <f>_xll.xlqAAII($C$3,$A20&amp;I$2&amp;"_x",I$1,$B$1)</f>
        <v>-954</v>
      </c>
      <c r="J20" s="38">
        <f>_xll.xlqAAII($C$3,$A20&amp;J$2&amp;"_x",J$1,$B$1)</f>
        <v>-1587</v>
      </c>
      <c r="K20" s="39"/>
      <c r="L20" s="38">
        <f>_xll.xlqAAII($C$3,$A20&amp;"12M",L$1,$B$1)</f>
        <v>-3535</v>
      </c>
    </row>
    <row r="21" spans="1:12" x14ac:dyDescent="0.25">
      <c r="A21" s="2" t="s">
        <v>156</v>
      </c>
      <c r="B21" s="1" t="str">
        <f>_xll.xlqAAIIDescrip($A21&amp;B$2&amp;"_x")</f>
        <v>Pre-Tax Income</v>
      </c>
      <c r="C21" s="28">
        <f>_xll.xlqAAII($C$3,$A21&amp;C$2&amp;"_x",C$1,$B$1)</f>
        <v>10486</v>
      </c>
      <c r="D21" s="28">
        <f>_xll.xlqAAII($C$3,$A21&amp;D$2&amp;"_x",D$1,$B$1)</f>
        <v>10385</v>
      </c>
      <c r="E21" s="28">
        <f>_xll.xlqAAII($C$3,$A21&amp;E$2&amp;"_x",E$1,$B$1)</f>
        <v>10221</v>
      </c>
      <c r="F21" s="28">
        <f>_xll.xlqAAII($C$3,$A21&amp;F$2&amp;"_x",F$1,$B$1)</f>
        <v>10680</v>
      </c>
      <c r="G21" s="28">
        <f>_xll.xlqAAII($C$3,$A21&amp;G$2&amp;"_x",G$1,$B$1)</f>
        <v>8641</v>
      </c>
      <c r="H21" s="28">
        <f>_xll.xlqAAII($C$3,$A21&amp;H$2&amp;"_x",H$1,$B$1)</f>
        <v>9169</v>
      </c>
      <c r="I21" s="28">
        <f>_xll.xlqAAII($C$3,$A21&amp;I$2&amp;"_x",I$1,$B$1)</f>
        <v>7984</v>
      </c>
      <c r="J21" s="28">
        <f>_xll.xlqAAII($C$3,$A21&amp;J$2&amp;"_x",J$1,$B$1)</f>
        <v>7958</v>
      </c>
      <c r="K21" s="35"/>
      <c r="L21" s="28">
        <f>_xll.xlqAAII($C$3,$A21&amp;"12M",L$1,$B$1)</f>
        <v>41772</v>
      </c>
    </row>
    <row r="22" spans="1:12" x14ac:dyDescent="0.25">
      <c r="C22" s="28"/>
      <c r="D22" s="28"/>
      <c r="E22" s="28"/>
      <c r="F22" s="28"/>
      <c r="G22" s="28"/>
      <c r="H22" s="28"/>
      <c r="I22" s="28"/>
      <c r="J22" s="28"/>
      <c r="K22" s="35"/>
      <c r="L22" s="28"/>
    </row>
    <row r="23" spans="1:12" s="36" customFormat="1" x14ac:dyDescent="0.25">
      <c r="A23" s="36" t="s">
        <v>157</v>
      </c>
      <c r="B23" s="37" t="str">
        <f>_xll.xlqAAIIDescrip($A23&amp;B$2&amp;"_x")</f>
        <v>Income Tax</v>
      </c>
      <c r="C23" s="38">
        <f>_xll.xlqAAII($C$3,$A23&amp;C$2&amp;"_x",C$1,$B$1)</f>
        <v>1677</v>
      </c>
      <c r="D23" s="38">
        <f>_xll.xlqAAII($C$3,$A23&amp;D$2&amp;"_x",D$1,$B$1)</f>
        <v>1965</v>
      </c>
      <c r="E23" s="38">
        <f>_xll.xlqAAII($C$3,$A23&amp;E$2&amp;"_x",E$1,$B$1)</f>
        <v>1397</v>
      </c>
      <c r="F23" s="38">
        <f>_xll.xlqAAII($C$3,$A23&amp;F$2&amp;"_x",F$1,$B$1)</f>
        <v>1911</v>
      </c>
      <c r="G23" s="38">
        <f>_xll.xlqAAII($C$3,$A23&amp;G$2&amp;"_x",G$1,$B$1)</f>
        <v>1217</v>
      </c>
      <c r="H23" s="38">
        <f>_xll.xlqAAII($C$3,$A23&amp;H$2&amp;"_x",H$1,$B$1)</f>
        <v>1671</v>
      </c>
      <c r="I23" s="38">
        <f>_xll.xlqAAII($C$3,$A23&amp;I$2&amp;"_x",I$1,$B$1)</f>
        <v>1408</v>
      </c>
      <c r="J23" s="38">
        <f>_xll.xlqAAII($C$3,$A23&amp;J$2&amp;"_x",J$1,$B$1)</f>
        <v>-111</v>
      </c>
      <c r="K23" s="39"/>
      <c r="L23" s="38">
        <f>_xll.xlqAAII($C$3,$A23&amp;"12M",L$1,$B$1)</f>
        <v>6950</v>
      </c>
    </row>
    <row r="24" spans="1:12" x14ac:dyDescent="0.25">
      <c r="A24" s="2" t="s">
        <v>158</v>
      </c>
      <c r="B24" s="1" t="str">
        <f>_xll.xlqAAIIDescrip($A24&amp;B$2&amp;"_x")</f>
        <v>Income After Taxes</v>
      </c>
      <c r="C24" s="28">
        <f>_xll.xlqAAII($C$3,$A24&amp;C$2&amp;"_x",C$1,$B$1)</f>
        <v>8809</v>
      </c>
      <c r="D24" s="28">
        <f>_xll.xlqAAII($C$3,$A24&amp;D$2&amp;"_x",D$1,$B$1)</f>
        <v>8420</v>
      </c>
      <c r="E24" s="28">
        <f>_xll.xlqAAII($C$3,$A24&amp;E$2&amp;"_x",E$1,$B$1)</f>
        <v>8824</v>
      </c>
      <c r="F24" s="28">
        <f>_xll.xlqAAII($C$3,$A24&amp;F$2&amp;"_x",F$1,$B$1)</f>
        <v>8769</v>
      </c>
      <c r="G24" s="28">
        <f>_xll.xlqAAII($C$3,$A24&amp;G$2&amp;"_x",G$1,$B$1)</f>
        <v>7424</v>
      </c>
      <c r="H24" s="28">
        <f>_xll.xlqAAII($C$3,$A24&amp;H$2&amp;"_x",H$1,$B$1)</f>
        <v>7498</v>
      </c>
      <c r="I24" s="28">
        <f>_xll.xlqAAII($C$3,$A24&amp;I$2&amp;"_x",I$1,$B$1)</f>
        <v>6576</v>
      </c>
      <c r="J24" s="28">
        <f>_xll.xlqAAII($C$3,$A24&amp;J$2&amp;"_x",J$1,$B$1)</f>
        <v>8069</v>
      </c>
      <c r="K24" s="35"/>
      <c r="L24" s="28">
        <f>_xll.xlqAAII($C$3,$A24&amp;"12M",L$1,$B$1)</f>
        <v>34822</v>
      </c>
    </row>
    <row r="25" spans="1:12" x14ac:dyDescent="0.25">
      <c r="C25" s="28"/>
      <c r="D25" s="28"/>
      <c r="E25" s="28"/>
      <c r="F25" s="28"/>
      <c r="G25" s="28"/>
      <c r="H25" s="28"/>
      <c r="I25" s="28"/>
      <c r="J25" s="28"/>
      <c r="K25" s="35"/>
      <c r="L25" s="28"/>
    </row>
    <row r="26" spans="1:12" x14ac:dyDescent="0.25">
      <c r="A26" s="2" t="s">
        <v>197</v>
      </c>
      <c r="B26" s="1" t="str">
        <f>_xll.xlqAAIIDescrip($A26&amp;B$2&amp;"_x")</f>
        <v>Adjustments To Income</v>
      </c>
      <c r="C26" s="28">
        <f>_xll.xlqAAII($C$3,$A26&amp;C$2&amp;"_x",C$1,$B$1)</f>
        <v>0</v>
      </c>
      <c r="D26" s="28">
        <f>_xll.xlqAAII($C$3,$A26&amp;D$2&amp;"_x",D$1,$B$1)</f>
        <v>0</v>
      </c>
      <c r="E26" s="28">
        <f>_xll.xlqAAII($C$3,$A26&amp;E$2&amp;"_x",E$1,$B$1)</f>
        <v>0</v>
      </c>
      <c r="F26" s="28">
        <f>_xll.xlqAAII($C$3,$A26&amp;F$2&amp;"_x",F$1,$B$1)</f>
        <v>0</v>
      </c>
      <c r="G26" s="28">
        <f>_xll.xlqAAII($C$3,$A26&amp;G$2&amp;"_x",G$1,$B$1)</f>
        <v>0</v>
      </c>
      <c r="H26" s="28">
        <f>_xll.xlqAAII($C$3,$A26&amp;H$2&amp;"_x",H$1,$B$1)</f>
        <v>0</v>
      </c>
      <c r="I26" s="28">
        <f>_xll.xlqAAII($C$3,$A26&amp;I$2&amp;"_x",I$1,$B$1)</f>
        <v>0</v>
      </c>
      <c r="J26" s="28">
        <f>_xll.xlqAAII($C$3,$A26&amp;J$2&amp;"_x",J$1,$B$1)</f>
        <v>0</v>
      </c>
      <c r="K26" s="35"/>
      <c r="L26" s="28">
        <f>_xll.xlqAAII($C$3,$A26&amp;"12M",L$1,$B$1)</f>
        <v>0</v>
      </c>
    </row>
    <row r="27" spans="1:12" x14ac:dyDescent="0.25">
      <c r="A27" s="2" t="s">
        <v>159</v>
      </c>
      <c r="B27" s="1" t="str">
        <f>_xll.xlqAAIIDescrip($A27&amp;B$2&amp;"_x")</f>
        <v>Income For Primary EPS</v>
      </c>
      <c r="C27" s="28">
        <f>_xll.xlqAAII($C$3,$A27&amp;C$2&amp;"_x",C$1,$B$1)</f>
        <v>8809</v>
      </c>
      <c r="D27" s="28">
        <f>_xll.xlqAAII($C$3,$A27&amp;D$2&amp;"_x",D$1,$B$1)</f>
        <v>8420</v>
      </c>
      <c r="E27" s="28">
        <f>_xll.xlqAAII($C$3,$A27&amp;E$2&amp;"_x",E$1,$B$1)</f>
        <v>8824</v>
      </c>
      <c r="F27" s="28">
        <f>_xll.xlqAAII($C$3,$A27&amp;F$2&amp;"_x",F$1,$B$1)</f>
        <v>8769</v>
      </c>
      <c r="G27" s="28">
        <f>_xll.xlqAAII($C$3,$A27&amp;G$2&amp;"_x",G$1,$B$1)</f>
        <v>7424</v>
      </c>
      <c r="H27" s="28">
        <f>_xll.xlqAAII($C$3,$A27&amp;H$2&amp;"_x",H$1,$B$1)</f>
        <v>7498</v>
      </c>
      <c r="I27" s="28">
        <f>_xll.xlqAAII($C$3,$A27&amp;I$2&amp;"_x",I$1,$B$1)</f>
        <v>6576</v>
      </c>
      <c r="J27" s="28">
        <f>_xll.xlqAAII($C$3,$A27&amp;J$2&amp;"_x",J$1,$B$1)</f>
        <v>8069</v>
      </c>
      <c r="K27" s="35"/>
      <c r="L27" s="28">
        <f>_xll.xlqAAII($C$3,$A27&amp;"12M",L$1,$B$1)</f>
        <v>34822</v>
      </c>
    </row>
    <row r="28" spans="1:12" s="36" customFormat="1" x14ac:dyDescent="0.25">
      <c r="A28" s="36" t="s">
        <v>160</v>
      </c>
      <c r="B28" s="37" t="str">
        <f>_xll.xlqAAIIDescrip($A28&amp;B$2&amp;"_x")</f>
        <v>Nonrecurring Items</v>
      </c>
      <c r="C28" s="38" t="str">
        <f>_xll.xlqAAII($C$3,$A28&amp;C$2&amp;"_x",C$1,$B$1)</f>
        <v>NA</v>
      </c>
      <c r="D28" s="38" t="str">
        <f>_xll.xlqAAII($C$3,$A28&amp;D$2&amp;"_x",D$1,$B$1)</f>
        <v>NA</v>
      </c>
      <c r="E28" s="38" t="str">
        <f>_xll.xlqAAII($C$3,$A28&amp;E$2&amp;"_x",E$1,$B$1)</f>
        <v>NA</v>
      </c>
      <c r="F28" s="38">
        <f>_xll.xlqAAII($C$3,$A28&amp;F$2&amp;"_x",F$1,$B$1)</f>
        <v>104</v>
      </c>
      <c r="G28" s="38">
        <f>_xll.xlqAAII($C$3,$A28&amp;G$2&amp;"_x",G$1,$B$1)</f>
        <v>0</v>
      </c>
      <c r="H28" s="38">
        <f>_xll.xlqAAII($C$3,$A28&amp;H$2&amp;"_x",H$1,$B$1)</f>
        <v>-13800</v>
      </c>
      <c r="I28" s="38" t="str">
        <f>_xll.xlqAAII($C$3,$A28&amp;I$2&amp;"_x",I$1,$B$1)</f>
        <v>NA</v>
      </c>
      <c r="J28" s="38" t="str">
        <f>_xll.xlqAAII($C$3,$A28&amp;J$2&amp;"_x",J$1,$B$1)</f>
        <v>NA</v>
      </c>
      <c r="K28" s="39"/>
      <c r="L28" s="38" t="str">
        <f>_xll.xlqAAII($C$3,$A28&amp;"12M",L$1,$B$1)</f>
        <v>NA</v>
      </c>
    </row>
    <row r="29" spans="1:12" x14ac:dyDescent="0.25">
      <c r="A29" s="2" t="s">
        <v>161</v>
      </c>
      <c r="B29" s="1" t="str">
        <f>_xll.xlqAAIIDescrip($A29&amp;B$2&amp;"_x")</f>
        <v>Net Income</v>
      </c>
      <c r="C29" s="28">
        <f>_xll.xlqAAII($C$3,$A29&amp;C$2&amp;"_x",C$1,$B$1)</f>
        <v>8809</v>
      </c>
      <c r="D29" s="28">
        <f>_xll.xlqAAII($C$3,$A29&amp;D$2&amp;"_x",D$1,$B$1)</f>
        <v>8420</v>
      </c>
      <c r="E29" s="28">
        <f>_xll.xlqAAII($C$3,$A29&amp;E$2&amp;"_x",E$1,$B$1)</f>
        <v>8824</v>
      </c>
      <c r="F29" s="28">
        <f>_xll.xlqAAII($C$3,$A29&amp;F$2&amp;"_x",F$1,$B$1)</f>
        <v>8873</v>
      </c>
      <c r="G29" s="28">
        <f>_xll.xlqAAII($C$3,$A29&amp;G$2&amp;"_x",G$1,$B$1)</f>
        <v>7424</v>
      </c>
      <c r="H29" s="28">
        <f>_xll.xlqAAII($C$3,$A29&amp;H$2&amp;"_x",H$1,$B$1)</f>
        <v>-6302</v>
      </c>
      <c r="I29" s="28">
        <f>_xll.xlqAAII($C$3,$A29&amp;I$2&amp;"_x",I$1,$B$1)</f>
        <v>6576</v>
      </c>
      <c r="J29" s="28">
        <f>_xll.xlqAAII($C$3,$A29&amp;J$2&amp;"_x",J$1,$B$1)</f>
        <v>8069</v>
      </c>
      <c r="K29" s="35"/>
      <c r="L29" s="28">
        <f>_xll.xlqAAII($C$3,$A29&amp;"12M",L$1,$B$1)</f>
        <v>34926</v>
      </c>
    </row>
    <row r="30" spans="1:12" x14ac:dyDescent="0.25">
      <c r="C30" s="25"/>
      <c r="D30" s="25"/>
      <c r="E30" s="25"/>
      <c r="F30" s="25"/>
      <c r="G30" s="25"/>
      <c r="H30" s="25"/>
      <c r="I30" s="25"/>
      <c r="J30" s="25"/>
      <c r="L30" s="25"/>
    </row>
    <row r="31" spans="1:12" x14ac:dyDescent="0.25">
      <c r="A31" s="2" t="s">
        <v>162</v>
      </c>
      <c r="B31" s="1" t="str">
        <f>_xll.xlqAAIIDescrip($A31&amp;B$2&amp;"_x")</f>
        <v>EPS</v>
      </c>
      <c r="C31" s="25">
        <f>_xll.xlqAAII($C$3,$A31&amp;C$2&amp;"_x",C$1,$B$1)</f>
        <v>1.1479999999999999</v>
      </c>
      <c r="D31" s="25">
        <f>_xll.xlqAAII($C$3,$A31&amp;D$2&amp;"_x",D$1,$B$1)</f>
        <v>1.095</v>
      </c>
      <c r="E31" s="25">
        <f>_xll.xlqAAII($C$3,$A31&amp;E$2&amp;"_x",E$1,$B$1)</f>
        <v>1.1499999999999999</v>
      </c>
      <c r="F31" s="25">
        <f>_xll.xlqAAII($C$3,$A31&amp;F$2&amp;"_x",F$1,$B$1)</f>
        <v>1.155</v>
      </c>
      <c r="G31" s="25">
        <f>_xll.xlqAAII($C$3,$A31&amp;G$2&amp;"_x",G$1,$B$1)</f>
        <v>0.96399999999999997</v>
      </c>
      <c r="H31" s="25">
        <f>_xll.xlqAAII($C$3,$A31&amp;H$2&amp;"_x",H$1,$B$1)</f>
        <v>-0.81699999999999995</v>
      </c>
      <c r="I31" s="25">
        <f>_xll.xlqAAII($C$3,$A31&amp;I$2&amp;"_x",I$1,$B$1)</f>
        <v>0.85299999999999998</v>
      </c>
      <c r="J31" s="25">
        <f>_xll.xlqAAII($C$3,$A31&amp;J$2&amp;"_x",J$1,$B$1)</f>
        <v>1.046</v>
      </c>
      <c r="L31" s="25">
        <f>_xll.xlqAAII($C$3,$A31&amp;"12M",L$1,$B$1)</f>
        <v>4.548</v>
      </c>
    </row>
    <row r="32" spans="1:12" x14ac:dyDescent="0.25">
      <c r="A32" s="2" t="s">
        <v>163</v>
      </c>
      <c r="B32" s="1" t="str">
        <f>_xll.xlqAAIIDescrip($A32&amp;B$2&amp;"_x")</f>
        <v>EPS-Continuing</v>
      </c>
      <c r="C32" s="25">
        <f>_xll.xlqAAII($C$3,$A32&amp;C$2&amp;"_x",C$1,$B$1)</f>
        <v>1.1479999999999999</v>
      </c>
      <c r="D32" s="25">
        <f>_xll.xlqAAII($C$3,$A32&amp;D$2&amp;"_x",D$1,$B$1)</f>
        <v>1.095</v>
      </c>
      <c r="E32" s="25">
        <f>_xll.xlqAAII($C$3,$A32&amp;E$2&amp;"_x",E$1,$B$1)</f>
        <v>1.1499999999999999</v>
      </c>
      <c r="F32" s="25">
        <f>_xll.xlqAAII($C$3,$A32&amp;F$2&amp;"_x",F$1,$B$1)</f>
        <v>1.1419999999999999</v>
      </c>
      <c r="G32" s="25">
        <f>_xll.xlqAAII($C$3,$A32&amp;G$2&amp;"_x",G$1,$B$1)</f>
        <v>0.96399999999999997</v>
      </c>
      <c r="H32" s="25">
        <f>_xll.xlqAAII($C$3,$A32&amp;H$2&amp;"_x",H$1,$B$1)</f>
        <v>0.97299999999999998</v>
      </c>
      <c r="I32" s="25">
        <f>_xll.xlqAAII($C$3,$A32&amp;I$2&amp;"_x",I$1,$B$1)</f>
        <v>0.85299999999999998</v>
      </c>
      <c r="J32" s="25">
        <f>_xll.xlqAAII($C$3,$A32&amp;J$2&amp;"_x",J$1,$B$1)</f>
        <v>1.046</v>
      </c>
      <c r="L32" s="25">
        <f>_xll.xlqAAII($C$3,$A32&amp;"12M",L$1,$B$1)</f>
        <v>4.5339999999999998</v>
      </c>
    </row>
    <row r="33" spans="1:12" x14ac:dyDescent="0.25">
      <c r="A33" s="2" t="s">
        <v>164</v>
      </c>
      <c r="B33" s="1" t="str">
        <f>_xll.xlqAAIIDescrip($A33&amp;B$2&amp;"_x")</f>
        <v>EPS-Diluted</v>
      </c>
      <c r="C33" s="25">
        <f>_xll.xlqAAII($C$3,$A33&amp;C$2&amp;"_x",C$1,$B$1)</f>
        <v>1.1379999999999999</v>
      </c>
      <c r="D33" s="25">
        <f>_xll.xlqAAII($C$3,$A33&amp;D$2&amp;"_x",D$1,$B$1)</f>
        <v>1.0840000000000001</v>
      </c>
      <c r="E33" s="25">
        <f>_xll.xlqAAII($C$3,$A33&amp;E$2&amp;"_x",E$1,$B$1)</f>
        <v>1.1359999999999999</v>
      </c>
      <c r="F33" s="25">
        <f>_xll.xlqAAII($C$3,$A33&amp;F$2&amp;"_x",F$1,$B$1)</f>
        <v>1.1399999999999999</v>
      </c>
      <c r="G33" s="25">
        <f>_xll.xlqAAII($C$3,$A33&amp;G$2&amp;"_x",G$1,$B$1)</f>
        <v>0.95299999999999996</v>
      </c>
      <c r="H33" s="25">
        <f>_xll.xlqAAII($C$3,$A33&amp;H$2&amp;"_x",H$1,$B$1)</f>
        <v>-0.81699999999999995</v>
      </c>
      <c r="I33" s="25">
        <f>_xll.xlqAAII($C$3,$A33&amp;I$2&amp;"_x",I$1,$B$1)</f>
        <v>0.84299999999999997</v>
      </c>
      <c r="J33" s="25">
        <f>_xll.xlqAAII($C$3,$A33&amp;J$2&amp;"_x",J$1,$B$1)</f>
        <v>1.0329999999999999</v>
      </c>
      <c r="L33" s="25">
        <f>_xll.xlqAAII($C$3,$A33&amp;"12M",L$1,$B$1)</f>
        <v>4.4980000000000002</v>
      </c>
    </row>
    <row r="34" spans="1:12" x14ac:dyDescent="0.25">
      <c r="A34" s="2" t="s">
        <v>165</v>
      </c>
      <c r="B34" s="1" t="str">
        <f>_xll.xlqAAIIDescrip($A34&amp;B$2&amp;"_x")</f>
        <v>EPS-Diluted Continuing</v>
      </c>
      <c r="C34" s="25">
        <f>_xll.xlqAAII($C$3,$A34&amp;C$2&amp;"_x",C$1,$B$1)</f>
        <v>1.1379999999999999</v>
      </c>
      <c r="D34" s="25">
        <f>_xll.xlqAAII($C$3,$A34&amp;D$2&amp;"_x",D$1,$B$1)</f>
        <v>1.0840000000000001</v>
      </c>
      <c r="E34" s="25">
        <f>_xll.xlqAAII($C$3,$A34&amp;E$2&amp;"_x",E$1,$B$1)</f>
        <v>1.1359999999999999</v>
      </c>
      <c r="F34" s="25">
        <f>_xll.xlqAAII($C$3,$A34&amp;F$2&amp;"_x",F$1,$B$1)</f>
        <v>1.127</v>
      </c>
      <c r="G34" s="25">
        <f>_xll.xlqAAII($C$3,$A34&amp;G$2&amp;"_x",G$1,$B$1)</f>
        <v>0.95299999999999996</v>
      </c>
      <c r="H34" s="25">
        <f>_xll.xlqAAII($C$3,$A34&amp;H$2&amp;"_x",H$1,$B$1)</f>
        <v>0.97299999999999998</v>
      </c>
      <c r="I34" s="25">
        <f>_xll.xlqAAII($C$3,$A34&amp;I$2&amp;"_x",I$1,$B$1)</f>
        <v>0.84299999999999997</v>
      </c>
      <c r="J34" s="25">
        <f>_xll.xlqAAII($C$3,$A34&amp;J$2&amp;"_x",J$1,$B$1)</f>
        <v>1.0329999999999999</v>
      </c>
      <c r="L34" s="25">
        <f>_xll.xlqAAII($C$3,$A34&amp;"12M",L$1,$B$1)</f>
        <v>4.4850000000000003</v>
      </c>
    </row>
    <row r="35" spans="1:12" x14ac:dyDescent="0.25">
      <c r="A35" s="2" t="s">
        <v>196</v>
      </c>
      <c r="B35" s="1" t="str">
        <f>_xll.xlqAAIIDescrip($A35&amp;B$2&amp;"_x")</f>
        <v>Dividend</v>
      </c>
      <c r="C35" s="25">
        <f>_xll.xlqAAII($C$3,$A35&amp;C$2&amp;"_x",C$1,$B$1)</f>
        <v>0.46</v>
      </c>
      <c r="D35" s="25">
        <f>_xll.xlqAAII($C$3,$A35&amp;D$2&amp;"_x",D$1,$B$1)</f>
        <v>0.46</v>
      </c>
      <c r="E35" s="25">
        <f>_xll.xlqAAII($C$3,$A35&amp;E$2&amp;"_x",E$1,$B$1)</f>
        <v>0.42</v>
      </c>
      <c r="F35" s="25">
        <f>_xll.xlqAAII($C$3,$A35&amp;F$2&amp;"_x",F$1,$B$1)</f>
        <v>0.42</v>
      </c>
      <c r="G35" s="25">
        <f>_xll.xlqAAII($C$3,$A35&amp;G$2&amp;"_x",G$1,$B$1)</f>
        <v>0.42</v>
      </c>
      <c r="H35" s="25">
        <f>_xll.xlqAAII($C$3,$A35&amp;H$2&amp;"_x",H$1,$B$1)</f>
        <v>0.42</v>
      </c>
      <c r="I35" s="25">
        <f>_xll.xlqAAII($C$3,$A35&amp;I$2&amp;"_x",I$1,$B$1)</f>
        <v>0.39</v>
      </c>
      <c r="J35" s="25">
        <f>_xll.xlqAAII($C$3,$A35&amp;J$2&amp;"_x",J$1,$B$1)</f>
        <v>0.39</v>
      </c>
      <c r="L35" s="25">
        <f>_xll.xlqAAII($C$3,$A35&amp;"12M",L$1,$B$1)</f>
        <v>1.76</v>
      </c>
    </row>
    <row r="37" spans="1:12" x14ac:dyDescent="0.25">
      <c r="B37" s="1" t="s">
        <v>139</v>
      </c>
    </row>
    <row r="39" spans="1:12" x14ac:dyDescent="0.25">
      <c r="A39" s="2" t="s">
        <v>166</v>
      </c>
      <c r="B39" s="1" t="str">
        <f>_xll.xlqAAIIDescrip($A39&amp;B$2&amp;"_x")</f>
        <v>Cash From Operations</v>
      </c>
      <c r="C39" s="28">
        <f>_xll.xlqAAII($C$3,$A39&amp;C$2&amp;"_x",C$1,$B$1)</f>
        <v>13520</v>
      </c>
      <c r="D39" s="28">
        <f>_xll.xlqAAII($C$3,$A39&amp;D$2&amp;"_x",D$1,$B$1)</f>
        <v>8900</v>
      </c>
      <c r="E39" s="28">
        <f>_xll.xlqAAII($C$3,$A39&amp;E$2&amp;"_x",E$1,$B$1)</f>
        <v>13657</v>
      </c>
      <c r="F39" s="28">
        <f>_xll.xlqAAII($C$3,$A39&amp;F$2&amp;"_x",F$1,$B$1)</f>
        <v>11418</v>
      </c>
      <c r="G39" s="28">
        <f>_xll.xlqAAII($C$3,$A39&amp;G$2&amp;"_x",G$1,$B$1)</f>
        <v>12151</v>
      </c>
      <c r="H39" s="28">
        <f>_xll.xlqAAII($C$3,$A39&amp;H$2&amp;"_x",H$1,$B$1)</f>
        <v>7875</v>
      </c>
      <c r="I39" s="28">
        <f>_xll.xlqAAII($C$3,$A39&amp;I$2&amp;"_x",I$1,$B$1)</f>
        <v>12440</v>
      </c>
      <c r="J39" s="28">
        <f>_xll.xlqAAII($C$3,$A39&amp;J$2&amp;"_x",J$1,$B$1)</f>
        <v>11005</v>
      </c>
      <c r="K39" s="35"/>
      <c r="L39" s="28">
        <f>_xll.xlqAAII($C$3,$A39&amp;"12M",L$1,$B$1)</f>
        <v>47495</v>
      </c>
    </row>
    <row r="40" spans="1:12" x14ac:dyDescent="0.25">
      <c r="A40" s="2" t="s">
        <v>167</v>
      </c>
      <c r="B40" s="1" t="str">
        <f>_xll.xlqAAIIDescrip($A40&amp;B$2&amp;"_x")</f>
        <v>Cash From Investing</v>
      </c>
      <c r="C40" s="28">
        <f>_xll.xlqAAII($C$3,$A40&amp;C$2&amp;"_x",C$1,$B$1)</f>
        <v>-1363</v>
      </c>
      <c r="D40" s="28">
        <f>_xll.xlqAAII($C$3,$A40&amp;D$2&amp;"_x",D$1,$B$1)</f>
        <v>-4200</v>
      </c>
      <c r="E40" s="28">
        <f>_xll.xlqAAII($C$3,$A40&amp;E$2&amp;"_x",E$1,$B$1)</f>
        <v>-2953</v>
      </c>
      <c r="F40" s="28">
        <f>_xll.xlqAAII($C$3,$A40&amp;F$2&amp;"_x",F$1,$B$1)</f>
        <v>-2670</v>
      </c>
      <c r="G40" s="28">
        <f>_xll.xlqAAII($C$3,$A40&amp;G$2&amp;"_x",G$1,$B$1)</f>
        <v>3844</v>
      </c>
      <c r="H40" s="28">
        <f>_xll.xlqAAII($C$3,$A40&amp;H$2&amp;"_x",H$1,$B$1)</f>
        <v>-331</v>
      </c>
      <c r="I40" s="28">
        <f>_xll.xlqAAII($C$3,$A40&amp;I$2&amp;"_x",I$1,$B$1)</f>
        <v>-6904</v>
      </c>
      <c r="J40" s="28">
        <f>_xll.xlqAAII($C$3,$A40&amp;J$2&amp;"_x",J$1,$B$1)</f>
        <v>-7369</v>
      </c>
      <c r="K40" s="35"/>
      <c r="L40" s="28">
        <f>_xll.xlqAAII($C$3,$A40&amp;"12M",L$1,$B$1)</f>
        <v>-11186</v>
      </c>
    </row>
    <row r="41" spans="1:12" x14ac:dyDescent="0.25">
      <c r="A41" s="2" t="s">
        <v>168</v>
      </c>
      <c r="B41" s="1" t="str">
        <f>_xll.xlqAAIIDescrip($A41&amp;B$2&amp;"_x")</f>
        <v>Cash From Financing</v>
      </c>
      <c r="C41" s="28">
        <f>_xll.xlqAAII($C$3,$A41&amp;C$2&amp;"_x",C$1,$B$1)</f>
        <v>-7601</v>
      </c>
      <c r="D41" s="28">
        <f>_xll.xlqAAII($C$3,$A41&amp;D$2&amp;"_x",D$1,$B$1)</f>
        <v>-13216</v>
      </c>
      <c r="E41" s="28">
        <f>_xll.xlqAAII($C$3,$A41&amp;E$2&amp;"_x",E$1,$B$1)</f>
        <v>-7384</v>
      </c>
      <c r="F41" s="28">
        <f>_xll.xlqAAII($C$3,$A41&amp;F$2&amp;"_x",F$1,$B$1)</f>
        <v>-6039</v>
      </c>
      <c r="G41" s="28">
        <f>_xll.xlqAAII($C$3,$A41&amp;G$2&amp;"_x",G$1,$B$1)</f>
        <v>-19658</v>
      </c>
      <c r="H41" s="28">
        <f>_xll.xlqAAII($C$3,$A41&amp;H$2&amp;"_x",H$1,$B$1)</f>
        <v>-1552</v>
      </c>
      <c r="I41" s="28">
        <f>_xll.xlqAAII($C$3,$A41&amp;I$2&amp;"_x",I$1,$B$1)</f>
        <v>-6341</v>
      </c>
      <c r="J41" s="28">
        <f>_xll.xlqAAII($C$3,$A41&amp;J$2&amp;"_x",J$1,$B$1)</f>
        <v>-2701</v>
      </c>
      <c r="K41" s="35"/>
      <c r="L41" s="28">
        <f>_xll.xlqAAII($C$3,$A41&amp;"12M",L$1,$B$1)</f>
        <v>-34240</v>
      </c>
    </row>
    <row r="42" spans="1:12" s="36" customFormat="1" x14ac:dyDescent="0.25">
      <c r="A42" s="36" t="s">
        <v>169</v>
      </c>
      <c r="B42" s="37" t="str">
        <f>_xll.xlqAAIIDescrip($A42&amp;B$2&amp;"_x")</f>
        <v>Exchange Rate Effects</v>
      </c>
      <c r="C42" s="38">
        <f>_xll.xlqAAII($C$3,$A42&amp;C$2&amp;"_x",C$1,$B$1)</f>
        <v>18</v>
      </c>
      <c r="D42" s="38">
        <f>_xll.xlqAAII($C$3,$A42&amp;D$2&amp;"_x",D$1,$B$1)</f>
        <v>17</v>
      </c>
      <c r="E42" s="38">
        <f>_xll.xlqAAII($C$3,$A42&amp;E$2&amp;"_x",E$1,$B$1)</f>
        <v>-129</v>
      </c>
      <c r="F42" s="38">
        <f>_xll.xlqAAII($C$3,$A42&amp;F$2&amp;"_x",F$1,$B$1)</f>
        <v>16</v>
      </c>
      <c r="G42" s="38">
        <f>_xll.xlqAAII($C$3,$A42&amp;G$2&amp;"_x",G$1,$B$1)</f>
        <v>25</v>
      </c>
      <c r="H42" s="38">
        <f>_xll.xlqAAII($C$3,$A42&amp;H$2&amp;"_x",H$1,$B$1)</f>
        <v>-17</v>
      </c>
      <c r="I42" s="38">
        <f>_xll.xlqAAII($C$3,$A42&amp;I$2&amp;"_x",I$1,$B$1)</f>
        <v>26</v>
      </c>
      <c r="J42" s="38">
        <f>_xll.xlqAAII($C$3,$A42&amp;J$2&amp;"_x",J$1,$B$1)</f>
        <v>15</v>
      </c>
      <c r="K42" s="39"/>
      <c r="L42" s="38">
        <f>_xll.xlqAAII($C$3,$A42&amp;"12M",L$1,$B$1)</f>
        <v>-78</v>
      </c>
    </row>
    <row r="43" spans="1:12" s="1" customFormat="1" x14ac:dyDescent="0.25">
      <c r="A43" s="1" t="s">
        <v>170</v>
      </c>
      <c r="B43" s="1" t="str">
        <f>_xll.xlqAAIIDescrip($A43&amp;B$2&amp;"_x")</f>
        <v>Cash Flow</v>
      </c>
      <c r="C43" s="40">
        <f>_xll.xlqAAII($C$3,$A43&amp;C$2&amp;"_x",C$1,$B$1)</f>
        <v>4574</v>
      </c>
      <c r="D43" s="40">
        <f>_xll.xlqAAII($C$3,$A43&amp;D$2&amp;"_x",D$1,$B$1)</f>
        <v>-8499</v>
      </c>
      <c r="E43" s="40">
        <f>_xll.xlqAAII($C$3,$A43&amp;E$2&amp;"_x",E$1,$B$1)</f>
        <v>3191</v>
      </c>
      <c r="F43" s="40">
        <f>_xll.xlqAAII($C$3,$A43&amp;F$2&amp;"_x",F$1,$B$1)</f>
        <v>2725</v>
      </c>
      <c r="G43" s="40">
        <f>_xll.xlqAAII($C$3,$A43&amp;G$2&amp;"_x",G$1,$B$1)</f>
        <v>-3638</v>
      </c>
      <c r="H43" s="40">
        <f>_xll.xlqAAII($C$3,$A43&amp;H$2&amp;"_x",H$1,$B$1)</f>
        <v>5975</v>
      </c>
      <c r="I43" s="40">
        <f>_xll.xlqAAII($C$3,$A43&amp;I$2&amp;"_x",I$1,$B$1)</f>
        <v>-779</v>
      </c>
      <c r="J43" s="40">
        <f>_xll.xlqAAII($C$3,$A43&amp;J$2&amp;"_x",J$1,$B$1)</f>
        <v>950</v>
      </c>
      <c r="K43" s="41"/>
      <c r="L43" s="40">
        <f>_xll.xlqAAII($C$3,$A43&amp;"12M",L$1,$B$1)</f>
        <v>1991</v>
      </c>
    </row>
    <row r="44" spans="1:12" x14ac:dyDescent="0.25">
      <c r="C44" s="28"/>
      <c r="D44" s="28"/>
      <c r="E44" s="28"/>
      <c r="F44" s="28"/>
      <c r="G44" s="28"/>
      <c r="H44" s="28"/>
      <c r="I44" s="28"/>
      <c r="J44" s="28"/>
      <c r="K44" s="35"/>
      <c r="L44" s="28"/>
    </row>
    <row r="45" spans="1:12" x14ac:dyDescent="0.25">
      <c r="A45" s="2" t="s">
        <v>1713</v>
      </c>
      <c r="B45" s="1" t="str">
        <f>_xll.xlqAAIIDescrip($A45&amp;B$2&amp;"_x")</f>
        <v>Depreciation &amp; Amortization (CF)</v>
      </c>
      <c r="C45" s="28">
        <f>_xll.xlqAAII($C$3,$A45&amp;C$2&amp;"_x",C$1,$B$1)</f>
        <v>2926</v>
      </c>
      <c r="D45" s="28">
        <f>_xll.xlqAAII($C$3,$A45&amp;D$2&amp;"_x",D$1,$B$1)</f>
        <v>2995</v>
      </c>
      <c r="E45" s="28">
        <f>_xll.xlqAAII($C$3,$A45&amp;E$2&amp;"_x",E$1,$B$1)</f>
        <v>2837</v>
      </c>
      <c r="F45" s="28">
        <f>_xll.xlqAAII($C$3,$A45&amp;F$2&amp;"_x",F$1,$B$1)</f>
        <v>2516</v>
      </c>
      <c r="G45" s="28">
        <f>_xll.xlqAAII($C$3,$A45&amp;G$2&amp;"_x",G$1,$B$1)</f>
        <v>2710</v>
      </c>
      <c r="H45" s="28">
        <f>_xll.xlqAAII($C$3,$A45&amp;H$2&amp;"_x",H$1,$B$1)</f>
        <v>2536</v>
      </c>
      <c r="I45" s="28">
        <f>_xll.xlqAAII($C$3,$A45&amp;I$2&amp;"_x",I$1,$B$1)</f>
        <v>2499</v>
      </c>
      <c r="J45" s="28">
        <f>_xll.xlqAAII($C$3,$A45&amp;J$2&amp;"_x",J$1,$B$1)</f>
        <v>2343</v>
      </c>
      <c r="K45" s="35"/>
      <c r="L45" s="28">
        <f>_xll.xlqAAII($C$3,$A45&amp;"12M",L$1,$B$1)</f>
        <v>11274</v>
      </c>
    </row>
    <row r="46" spans="1:12" x14ac:dyDescent="0.25">
      <c r="A46" s="2" t="s">
        <v>171</v>
      </c>
      <c r="B46" s="1" t="str">
        <f>_xll.xlqAAIIDescrip($A46&amp;B$2&amp;"_x")</f>
        <v>Capital Expenditures</v>
      </c>
      <c r="C46" s="28">
        <f>_xll.xlqAAII($C$3,$A46&amp;C$2&amp;"_x",C$1,$B$1)</f>
        <v>2565</v>
      </c>
      <c r="D46" s="28">
        <f>_xll.xlqAAII($C$3,$A46&amp;D$2&amp;"_x",D$1,$B$1)</f>
        <v>3707</v>
      </c>
      <c r="E46" s="28">
        <f>_xll.xlqAAII($C$3,$A46&amp;E$2&amp;"_x",E$1,$B$1)</f>
        <v>3602</v>
      </c>
      <c r="F46" s="28">
        <f>_xll.xlqAAII($C$3,$A46&amp;F$2&amp;"_x",F$1,$B$1)</f>
        <v>3980</v>
      </c>
      <c r="G46" s="28">
        <f>_xll.xlqAAII($C$3,$A46&amp;G$2&amp;"_x",G$1,$B$1)</f>
        <v>2934</v>
      </c>
      <c r="H46" s="28">
        <f>_xll.xlqAAII($C$3,$A46&amp;H$2&amp;"_x",H$1,$B$1)</f>
        <v>2586</v>
      </c>
      <c r="I46" s="28">
        <f>_xll.xlqAAII($C$3,$A46&amp;I$2&amp;"_x",I$1,$B$1)</f>
        <v>2132</v>
      </c>
      <c r="J46" s="28">
        <f>_xll.xlqAAII($C$3,$A46&amp;J$2&amp;"_x",J$1,$B$1)</f>
        <v>2283</v>
      </c>
      <c r="K46" s="35"/>
      <c r="L46" s="28">
        <f>_xll.xlqAAII($C$3,$A46&amp;"12M",L$1,$B$1)</f>
        <v>13854</v>
      </c>
    </row>
    <row r="47" spans="1:12" x14ac:dyDescent="0.25">
      <c r="C47" s="25"/>
      <c r="D47" s="25"/>
      <c r="E47" s="25"/>
      <c r="F47" s="25"/>
      <c r="G47" s="25"/>
      <c r="H47" s="25"/>
      <c r="I47" s="25"/>
      <c r="J47" s="25"/>
      <c r="L47" s="25"/>
    </row>
    <row r="48" spans="1:12" x14ac:dyDescent="0.25">
      <c r="A48" s="2" t="s">
        <v>172</v>
      </c>
      <c r="B48" s="1" t="str">
        <f>_xll.xlqAAIIDescrip($A48&amp;B$2&amp;"_x")</f>
        <v>Cash Flow/Share</v>
      </c>
      <c r="C48" s="25">
        <f>_xll.xlqAAII($C$3,$A48&amp;C$2&amp;"_x",C$1,$B$1)</f>
        <v>0.59</v>
      </c>
      <c r="D48" s="25">
        <f>_xll.xlqAAII($C$3,$A48&amp;D$2&amp;"_x",D$1,$B$1)</f>
        <v>-1.0900000000000001</v>
      </c>
      <c r="E48" s="25">
        <f>_xll.xlqAAII($C$3,$A48&amp;E$2&amp;"_x",E$1,$B$1)</f>
        <v>0.41</v>
      </c>
      <c r="F48" s="25">
        <f>_xll.xlqAAII($C$3,$A48&amp;F$2&amp;"_x",F$1,$B$1)</f>
        <v>0.35</v>
      </c>
      <c r="G48" s="25">
        <f>_xll.xlqAAII($C$3,$A48&amp;G$2&amp;"_x",G$1,$B$1)</f>
        <v>-0.47</v>
      </c>
      <c r="H48" s="25">
        <f>_xll.xlqAAII($C$3,$A48&amp;H$2&amp;"_x",H$1,$B$1)</f>
        <v>0.77</v>
      </c>
      <c r="I48" s="25">
        <f>_xll.xlqAAII($C$3,$A48&amp;I$2&amp;"_x",I$1,$B$1)</f>
        <v>-0.1</v>
      </c>
      <c r="J48" s="25">
        <f>_xll.xlqAAII($C$3,$A48&amp;J$2&amp;"_x",J$1,$B$1)</f>
        <v>0.12</v>
      </c>
      <c r="L48" s="25">
        <f>_xll.xlqAAII($C$3,$A48&amp;"12M",L$1,$B$1)</f>
        <v>0.26</v>
      </c>
    </row>
    <row r="49" spans="1:12" x14ac:dyDescent="0.25">
      <c r="A49" s="2" t="s">
        <v>173</v>
      </c>
      <c r="B49" s="1" t="str">
        <f>_xll.xlqAAIIDescrip($A49&amp;B$2&amp;"_x")</f>
        <v>Free Cash Flow/Share</v>
      </c>
      <c r="C49" s="25">
        <f>_xll.xlqAAII($C$3,$A49&amp;C$2&amp;"_x",C$1,$B$1)</f>
        <v>0.96</v>
      </c>
      <c r="D49" s="25">
        <f>_xll.xlqAAII($C$3,$A49&amp;D$2&amp;"_x",D$1,$B$1)</f>
        <v>0.21</v>
      </c>
      <c r="E49" s="25">
        <f>_xll.xlqAAII($C$3,$A49&amp;E$2&amp;"_x",E$1,$B$1)</f>
        <v>0.88</v>
      </c>
      <c r="F49" s="25">
        <f>_xll.xlqAAII($C$3,$A49&amp;F$2&amp;"_x",F$1,$B$1)</f>
        <v>0.54</v>
      </c>
      <c r="G49" s="25">
        <f>_xll.xlqAAII($C$3,$A49&amp;G$2&amp;"_x",G$1,$B$1)</f>
        <v>0.77</v>
      </c>
      <c r="H49" s="25">
        <f>_xll.xlqAAII($C$3,$A49&amp;H$2&amp;"_x",H$1,$B$1)</f>
        <v>0.27</v>
      </c>
      <c r="I49" s="25">
        <f>_xll.xlqAAII($C$3,$A49&amp;I$2&amp;"_x",I$1,$B$1)</f>
        <v>0.94</v>
      </c>
      <c r="J49" s="25">
        <f>_xll.xlqAAII($C$3,$A49&amp;J$2&amp;"_x",J$1,$B$1)</f>
        <v>0.73</v>
      </c>
      <c r="L49" s="25">
        <f>_xll.xlqAAII($C$3,$A49&amp;"12M",L$1,$B$1)</f>
        <v>2.59</v>
      </c>
    </row>
    <row r="50" spans="1:12" x14ac:dyDescent="0.25">
      <c r="A50" s="2" t="s">
        <v>1252</v>
      </c>
      <c r="B50" s="1" t="str">
        <f>_xll.xlqAAIIDescrip($A50&amp;B$2&amp;"_x")</f>
        <v>DCF: BSCF</v>
      </c>
      <c r="C50" s="25">
        <f>_xll.xlqAAII($C$3,$A50&amp;C$2&amp;"_x",C$1,$B$1)</f>
        <v>6.86</v>
      </c>
      <c r="D50" s="25">
        <f>_xll.xlqAAII($C$3,$A50&amp;D$2&amp;"_x",D$1,$B$1)</f>
        <v>-22.21</v>
      </c>
      <c r="E50" s="25">
        <f>_xll.xlqAAII($C$3,$A50&amp;E$2&amp;"_x",E$1,$B$1)</f>
        <v>15.86</v>
      </c>
      <c r="F50" s="25">
        <f>_xll.xlqAAII($C$3,$A50&amp;F$2&amp;"_x",F$1,$B$1)</f>
        <v>1.99</v>
      </c>
      <c r="G50" s="25"/>
      <c r="H50" s="25"/>
      <c r="I50" s="25"/>
      <c r="J50" s="25"/>
      <c r="L50" s="25"/>
    </row>
    <row r="51" spans="1:12" x14ac:dyDescent="0.25">
      <c r="A51" s="2" t="s">
        <v>1253</v>
      </c>
      <c r="B51" s="1" t="str">
        <f>_xll.xlqAAIIDescrip($A51&amp;B$2&amp;"_x")</f>
        <v>DCF: OCF</v>
      </c>
      <c r="C51" s="25">
        <f>_xll.xlqAAII($C$3,$A51&amp;C$2&amp;"_x",C$1,$B$1)</f>
        <v>4.37</v>
      </c>
      <c r="D51" s="25">
        <f>_xll.xlqAAII($C$3,$A51&amp;D$2&amp;"_x",D$1,$B$1)</f>
        <v>-2.2999999999999998</v>
      </c>
      <c r="E51" s="25">
        <f>_xll.xlqAAII($C$3,$A51&amp;E$2&amp;"_x",E$1,$B$1)</f>
        <v>-6.67</v>
      </c>
      <c r="F51" s="25">
        <f>_xll.xlqAAII($C$3,$A51&amp;F$2&amp;"_x",F$1,$B$1)</f>
        <v>8.49</v>
      </c>
      <c r="G51" s="25"/>
      <c r="H51" s="25"/>
      <c r="I51" s="25"/>
      <c r="J51" s="25"/>
      <c r="L51" s="25"/>
    </row>
    <row r="52" spans="1:12" x14ac:dyDescent="0.25">
      <c r="A52" s="2" t="s">
        <v>1254</v>
      </c>
      <c r="B52" s="1" t="str">
        <f>_xll.xlqAAIIDescrip($A52&amp;B$2&amp;"_x")</f>
        <v>DCF</v>
      </c>
      <c r="C52" s="25">
        <f>_xll.xlqAAII($C$3,$A52&amp;C$2&amp;"_x",C$1,$B$1)</f>
        <v>-2.4900000000000002</v>
      </c>
      <c r="D52" s="25">
        <f>_xll.xlqAAII($C$3,$A52&amp;D$2&amp;"_x",D$1,$B$1)</f>
        <v>19.91</v>
      </c>
      <c r="E52" s="25">
        <f>_xll.xlqAAII($C$3,$A52&amp;E$2&amp;"_x",E$1,$B$1)</f>
        <v>-22.53</v>
      </c>
      <c r="F52" s="25">
        <f>_xll.xlqAAII($C$3,$A52&amp;F$2&amp;"_x",F$1,$B$1)</f>
        <v>6.49</v>
      </c>
      <c r="G52" s="25"/>
      <c r="H52" s="25"/>
      <c r="I52" s="25"/>
      <c r="J52" s="25"/>
      <c r="L52" s="25"/>
    </row>
    <row r="54" spans="1:12" x14ac:dyDescent="0.25">
      <c r="B54" s="1" t="s">
        <v>140</v>
      </c>
    </row>
    <row r="57" spans="1:12" x14ac:dyDescent="0.25">
      <c r="A57" s="2" t="s">
        <v>174</v>
      </c>
      <c r="B57" s="1" t="str">
        <f>_xll.xlqAAIIDescrip($A57&amp;B$2&amp;"_x")</f>
        <v>Cash</v>
      </c>
      <c r="C57" s="28">
        <f>_xll.xlqAAII($C$3,$A57&amp;C$2&amp;"_x",C$1,$B$1)</f>
        <v>11212</v>
      </c>
      <c r="D57" s="28">
        <f>_xll.xlqAAII($C$3,$A57&amp;D$2&amp;"_x",D$1,$B$1)</f>
        <v>6638</v>
      </c>
      <c r="E57" s="28">
        <f>_xll.xlqAAII($C$3,$A57&amp;E$2&amp;"_x",E$1,$B$1)</f>
        <v>15137</v>
      </c>
      <c r="F57" s="28">
        <f>_xll.xlqAAII($C$3,$A57&amp;F$2&amp;"_x",F$1,$B$1)</f>
        <v>11946</v>
      </c>
      <c r="G57" s="28">
        <f>_xll.xlqAAII($C$3,$A57&amp;G$2&amp;"_x",G$1,$B$1)</f>
        <v>9221</v>
      </c>
      <c r="H57" s="28">
        <f>_xll.xlqAAII($C$3,$A57&amp;H$2&amp;"_x",H$1,$B$1)</f>
        <v>12859</v>
      </c>
      <c r="I57" s="28">
        <f>_xll.xlqAAII($C$3,$A57&amp;I$2&amp;"_x",I$1,$B$1)</f>
        <v>6884</v>
      </c>
      <c r="J57" s="28">
        <f>_xll.xlqAAII($C$3,$A57&amp;J$2&amp;"_x",J$1,$B$1)</f>
        <v>7663</v>
      </c>
      <c r="L57" s="25"/>
    </row>
    <row r="58" spans="1:12" x14ac:dyDescent="0.25">
      <c r="A58" s="2" t="s">
        <v>175</v>
      </c>
      <c r="B58" s="1" t="str">
        <f>_xll.xlqAAIIDescrip($A58&amp;B$2&amp;"_x")</f>
        <v>Short-Term Investments</v>
      </c>
      <c r="C58" s="28">
        <f>_xll.xlqAAII($C$3,$A58&amp;C$2&amp;"_x",C$1,$B$1)</f>
        <v>120324</v>
      </c>
      <c r="D58" s="28">
        <f>_xll.xlqAAII($C$3,$A58&amp;D$2&amp;"_x",D$1,$B$1)</f>
        <v>121013</v>
      </c>
      <c r="E58" s="28">
        <f>_xll.xlqAAII($C$3,$A58&amp;E$2&amp;"_x",E$1,$B$1)</f>
        <v>120634</v>
      </c>
      <c r="F58" s="28">
        <f>_xll.xlqAAII($C$3,$A58&amp;F$2&amp;"_x",F$1,$B$1)</f>
        <v>121704</v>
      </c>
      <c r="G58" s="28">
        <f>_xll.xlqAAII($C$3,$A58&amp;G$2&amp;"_x",G$1,$B$1)</f>
        <v>123013</v>
      </c>
      <c r="H58" s="28">
        <f>_xll.xlqAAII($C$3,$A58&amp;H$2&amp;"_x",H$1,$B$1)</f>
        <v>129892</v>
      </c>
      <c r="I58" s="28">
        <f>_xll.xlqAAII($C$3,$A58&amp;I$2&amp;"_x",I$1,$B$1)</f>
        <v>131483</v>
      </c>
      <c r="J58" s="28">
        <f>_xll.xlqAAII($C$3,$A58&amp;J$2&amp;"_x",J$1,$B$1)</f>
        <v>125218</v>
      </c>
      <c r="L58" s="25"/>
    </row>
    <row r="59" spans="1:12" x14ac:dyDescent="0.25">
      <c r="A59" s="2" t="s">
        <v>176</v>
      </c>
      <c r="B59" s="1" t="str">
        <f>_xll.xlqAAIIDescrip($A59&amp;B$2&amp;"_x")</f>
        <v>Accounts Receivable</v>
      </c>
      <c r="C59" s="28">
        <f>_xll.xlqAAII($C$3,$A59&amp;C$2&amp;"_x",C$1,$B$1)</f>
        <v>19269</v>
      </c>
      <c r="D59" s="28">
        <f>_xll.xlqAAII($C$3,$A59&amp;D$2&amp;"_x",D$1,$B$1)</f>
        <v>19680</v>
      </c>
      <c r="E59" s="28">
        <f>_xll.xlqAAII($C$3,$A59&amp;E$2&amp;"_x",E$1,$B$1)</f>
        <v>17390</v>
      </c>
      <c r="F59" s="28">
        <f>_xll.xlqAAII($C$3,$A59&amp;F$2&amp;"_x",F$1,$B$1)</f>
        <v>26481</v>
      </c>
      <c r="G59" s="28">
        <f>_xll.xlqAAII($C$3,$A59&amp;G$2&amp;"_x",G$1,$B$1)</f>
        <v>17208</v>
      </c>
      <c r="H59" s="28">
        <f>_xll.xlqAAII($C$3,$A59&amp;H$2&amp;"_x",H$1,$B$1)</f>
        <v>18428</v>
      </c>
      <c r="I59" s="28">
        <f>_xll.xlqAAII($C$3,$A59&amp;I$2&amp;"_x",I$1,$B$1)</f>
        <v>14561</v>
      </c>
      <c r="J59" s="28">
        <f>_xll.xlqAAII($C$3,$A59&amp;J$2&amp;"_x",J$1,$B$1)</f>
        <v>22431</v>
      </c>
      <c r="L59" s="25"/>
    </row>
    <row r="60" spans="1:12" x14ac:dyDescent="0.25">
      <c r="A60" s="2" t="s">
        <v>177</v>
      </c>
      <c r="B60" s="1" t="str">
        <f>_xll.xlqAAIIDescrip($A60&amp;B$2&amp;"_x")</f>
        <v>Inventory</v>
      </c>
      <c r="C60" s="28">
        <f>_xll.xlqAAII($C$3,$A60&amp;C$2&amp;"_x",C$1,$B$1)</f>
        <v>1951</v>
      </c>
      <c r="D60" s="28">
        <f>_xll.xlqAAII($C$3,$A60&amp;D$2&amp;"_x",D$1,$B$1)</f>
        <v>1961</v>
      </c>
      <c r="E60" s="28">
        <f>_xll.xlqAAII($C$3,$A60&amp;E$2&amp;"_x",E$1,$B$1)</f>
        <v>3614</v>
      </c>
      <c r="F60" s="28">
        <f>_xll.xlqAAII($C$3,$A60&amp;F$2&amp;"_x",F$1,$B$1)</f>
        <v>2662</v>
      </c>
      <c r="G60" s="28">
        <f>_xll.xlqAAII($C$3,$A60&amp;G$2&amp;"_x",G$1,$B$1)</f>
        <v>2084</v>
      </c>
      <c r="H60" s="28">
        <f>_xll.xlqAAII($C$3,$A60&amp;H$2&amp;"_x",H$1,$B$1)</f>
        <v>2003</v>
      </c>
      <c r="I60" s="28">
        <f>_xll.xlqAAII($C$3,$A60&amp;I$2&amp;"_x",I$1,$B$1)</f>
        <v>3211</v>
      </c>
      <c r="J60" s="28">
        <f>_xll.xlqAAII($C$3,$A60&amp;J$2&amp;"_x",J$1,$B$1)</f>
        <v>2181</v>
      </c>
      <c r="L60" s="25"/>
    </row>
    <row r="61" spans="1:12" s="36" customFormat="1" x14ac:dyDescent="0.25">
      <c r="A61" s="36" t="s">
        <v>178</v>
      </c>
      <c r="B61" s="37" t="str">
        <f>_xll.xlqAAIIDescrip($A61&amp;B$2&amp;"_x")</f>
        <v>Other Current Assets</v>
      </c>
      <c r="C61" s="38">
        <f>_xll.xlqAAII($C$3,$A61&amp;C$2&amp;"_x",C$1,$B$1)</f>
        <v>7131</v>
      </c>
      <c r="D61" s="38">
        <f>_xll.xlqAAII($C$3,$A61&amp;D$2&amp;"_x",D$1,$B$1)</f>
        <v>7582</v>
      </c>
      <c r="E61" s="38">
        <f>_xll.xlqAAII($C$3,$A61&amp;E$2&amp;"_x",E$1,$B$1)</f>
        <v>7420</v>
      </c>
      <c r="F61" s="38">
        <f>_xll.xlqAAII($C$3,$A61&amp;F$2&amp;"_x",F$1,$B$1)</f>
        <v>6869</v>
      </c>
      <c r="G61" s="38">
        <f>_xll.xlqAAII($C$3,$A61&amp;G$2&amp;"_x",G$1,$B$1)</f>
        <v>5133</v>
      </c>
      <c r="H61" s="38">
        <f>_xll.xlqAAII($C$3,$A61&amp;H$2&amp;"_x",H$1,$B$1)</f>
        <v>4451</v>
      </c>
      <c r="I61" s="38">
        <f>_xll.xlqAAII($C$3,$A61&amp;I$2&amp;"_x",I$1,$B$1)</f>
        <v>4892</v>
      </c>
      <c r="J61" s="38">
        <f>_xll.xlqAAII($C$3,$A61&amp;J$2&amp;"_x",J$1,$B$1)</f>
        <v>5203</v>
      </c>
      <c r="L61" s="42"/>
    </row>
    <row r="62" spans="1:12" s="1" customFormat="1" x14ac:dyDescent="0.25">
      <c r="A62" s="1" t="s">
        <v>179</v>
      </c>
      <c r="B62" s="1" t="str">
        <f>_xll.xlqAAIIDescrip($A62&amp;B$2&amp;"_x")</f>
        <v>Current Assets</v>
      </c>
      <c r="C62" s="40">
        <f>_xll.xlqAAII($C$3,$A62&amp;C$2&amp;"_x",C$1,$B$1)</f>
        <v>159887</v>
      </c>
      <c r="D62" s="40">
        <f>_xll.xlqAAII($C$3,$A62&amp;D$2&amp;"_x",D$1,$B$1)</f>
        <v>156874</v>
      </c>
      <c r="E62" s="40">
        <f>_xll.xlqAAII($C$3,$A62&amp;E$2&amp;"_x",E$1,$B$1)</f>
        <v>164195</v>
      </c>
      <c r="F62" s="40">
        <f>_xll.xlqAAII($C$3,$A62&amp;F$2&amp;"_x",F$1,$B$1)</f>
        <v>169662</v>
      </c>
      <c r="G62" s="40">
        <f>_xll.xlqAAII($C$3,$A62&amp;G$2&amp;"_x",G$1,$B$1)</f>
        <v>156659</v>
      </c>
      <c r="H62" s="40">
        <f>_xll.xlqAAII($C$3,$A62&amp;H$2&amp;"_x",H$1,$B$1)</f>
        <v>167633</v>
      </c>
      <c r="I62" s="40">
        <f>_xll.xlqAAII($C$3,$A62&amp;I$2&amp;"_x",I$1,$B$1)</f>
        <v>161031</v>
      </c>
      <c r="J62" s="40">
        <f>_xll.xlqAAII($C$3,$A62&amp;J$2&amp;"_x",J$1,$B$1)</f>
        <v>162696</v>
      </c>
      <c r="L62" s="43"/>
    </row>
    <row r="63" spans="1:12" x14ac:dyDescent="0.25">
      <c r="C63" s="28"/>
      <c r="D63" s="28"/>
      <c r="E63" s="28"/>
      <c r="F63" s="28"/>
      <c r="G63" s="28"/>
      <c r="H63" s="28"/>
      <c r="I63" s="28"/>
      <c r="J63" s="28"/>
      <c r="L63" s="25"/>
    </row>
    <row r="64" spans="1:12" x14ac:dyDescent="0.25">
      <c r="A64" s="2" t="s">
        <v>180</v>
      </c>
      <c r="B64" s="1" t="str">
        <f>_xll.xlqAAIIDescrip($A64&amp;B$2&amp;"_x")</f>
        <v>Net Fixed Assets (PP&amp;E)</v>
      </c>
      <c r="C64" s="28">
        <f>_xll.xlqAAII($C$3,$A64&amp;C$2&amp;"_x",C$1,$B$1)</f>
        <v>40769</v>
      </c>
      <c r="D64" s="28">
        <f>_xll.xlqAAII($C$3,$A64&amp;D$2&amp;"_x",D$1,$B$1)</f>
        <v>39523</v>
      </c>
      <c r="E64" s="28">
        <f>_xll.xlqAAII($C$3,$A64&amp;E$2&amp;"_x",E$1,$B$1)</f>
        <v>38164</v>
      </c>
      <c r="F64" s="28">
        <f>_xll.xlqAAII($C$3,$A64&amp;F$2&amp;"_x",F$1,$B$1)</f>
        <v>36146</v>
      </c>
      <c r="G64" s="28">
        <f>_xll.xlqAAII($C$3,$A64&amp;G$2&amp;"_x",G$1,$B$1)</f>
        <v>34788</v>
      </c>
      <c r="H64" s="28">
        <f>_xll.xlqAAII($C$3,$A64&amp;H$2&amp;"_x",H$1,$B$1)</f>
        <v>33053</v>
      </c>
      <c r="I64" s="28">
        <f>_xll.xlqAAII($C$3,$A64&amp;I$2&amp;"_x",I$1,$B$1)</f>
        <v>31653</v>
      </c>
      <c r="J64" s="28">
        <f>_xll.xlqAAII($C$3,$A64&amp;J$2&amp;"_x",J$1,$B$1)</f>
        <v>30289</v>
      </c>
      <c r="L64" s="25"/>
    </row>
    <row r="65" spans="1:12" x14ac:dyDescent="0.25">
      <c r="A65" s="2" t="s">
        <v>181</v>
      </c>
      <c r="B65" s="1" t="str">
        <f>_xll.xlqAAIIDescrip($A65&amp;B$2&amp;"_x")</f>
        <v>Long-Term Investments</v>
      </c>
      <c r="C65" s="28">
        <f>_xll.xlqAAII($C$3,$A65&amp;C$2&amp;"_x",C$1,$B$1)</f>
        <v>2403</v>
      </c>
      <c r="D65" s="28">
        <f>_xll.xlqAAII($C$3,$A65&amp;D$2&amp;"_x",D$1,$B$1)</f>
        <v>2274</v>
      </c>
      <c r="E65" s="28">
        <f>_xll.xlqAAII($C$3,$A65&amp;E$2&amp;"_x",E$1,$B$1)</f>
        <v>2034</v>
      </c>
      <c r="F65" s="28">
        <f>_xll.xlqAAII($C$3,$A65&amp;F$2&amp;"_x",F$1,$B$1)</f>
        <v>1862</v>
      </c>
      <c r="G65" s="28">
        <f>_xll.xlqAAII($C$3,$A65&amp;G$2&amp;"_x",G$1,$B$1)</f>
        <v>2818</v>
      </c>
      <c r="H65" s="28">
        <f>_xll.xlqAAII($C$3,$A65&amp;H$2&amp;"_x",H$1,$B$1)</f>
        <v>3954</v>
      </c>
      <c r="I65" s="28">
        <f>_xll.xlqAAII($C$3,$A65&amp;I$2&amp;"_x",I$1,$B$1)</f>
        <v>5320</v>
      </c>
      <c r="J65" s="28">
        <f>_xll.xlqAAII($C$3,$A65&amp;J$2&amp;"_x",J$1,$B$1)</f>
        <v>5956</v>
      </c>
      <c r="L65" s="25"/>
    </row>
    <row r="66" spans="1:12" x14ac:dyDescent="0.25">
      <c r="A66" s="2" t="s">
        <v>182</v>
      </c>
      <c r="B66" s="1" t="str">
        <f>_xll.xlqAAIIDescrip($A66&amp;B$2&amp;"_x")</f>
        <v>Goodwill And Intangibles</v>
      </c>
      <c r="C66" s="28">
        <f>_xll.xlqAAII($C$3,$A66&amp;C$2&amp;"_x",C$1,$B$1)</f>
        <v>49964</v>
      </c>
      <c r="D66" s="28">
        <f>_xll.xlqAAII($C$3,$A66&amp;D$2&amp;"_x",D$1,$B$1)</f>
        <v>50059</v>
      </c>
      <c r="E66" s="28">
        <f>_xll.xlqAAII($C$3,$A66&amp;E$2&amp;"_x",E$1,$B$1)</f>
        <v>43434</v>
      </c>
      <c r="F66" s="28">
        <f>_xll.xlqAAII($C$3,$A66&amp;F$2&amp;"_x",F$1,$B$1)</f>
        <v>43736</v>
      </c>
      <c r="G66" s="28">
        <f>_xll.xlqAAII($C$3,$A66&amp;G$2&amp;"_x",G$1,$B$1)</f>
        <v>44126</v>
      </c>
      <c r="H66" s="28">
        <f>_xll.xlqAAII($C$3,$A66&amp;H$2&amp;"_x",H$1,$B$1)</f>
        <v>44389</v>
      </c>
      <c r="I66" s="28">
        <f>_xll.xlqAAII($C$3,$A66&amp;I$2&amp;"_x",I$1,$B$1)</f>
        <v>44987</v>
      </c>
      <c r="J66" s="28">
        <f>_xll.xlqAAII($C$3,$A66&amp;J$2&amp;"_x",J$1,$B$1)</f>
        <v>45228</v>
      </c>
      <c r="L66" s="25"/>
    </row>
    <row r="67" spans="1:12" s="36" customFormat="1" x14ac:dyDescent="0.25">
      <c r="A67" s="36" t="s">
        <v>183</v>
      </c>
      <c r="B67" s="37" t="str">
        <f>_xll.xlqAAIIDescrip($A67&amp;B$2&amp;"_x")</f>
        <v>Other Long-Term Assets</v>
      </c>
      <c r="C67" s="38">
        <f>_xll.xlqAAII($C$3,$A67&amp;C$2&amp;"_x",C$1,$B$1)</f>
        <v>10258</v>
      </c>
      <c r="D67" s="38">
        <f>_xll.xlqAAII($C$3,$A67&amp;D$2&amp;"_x",D$1,$B$1)</f>
        <v>10129</v>
      </c>
      <c r="E67" s="38">
        <f>_xll.xlqAAII($C$3,$A67&amp;E$2&amp;"_x",E$1,$B$1)</f>
        <v>9792</v>
      </c>
      <c r="F67" s="38">
        <f>_xll.xlqAAII($C$3,$A67&amp;F$2&amp;"_x",F$1,$B$1)</f>
        <v>7442</v>
      </c>
      <c r="G67" s="38">
        <f>_xll.xlqAAII($C$3,$A67&amp;G$2&amp;"_x",G$1,$B$1)</f>
        <v>7106</v>
      </c>
      <c r="H67" s="38">
        <f>_xll.xlqAAII($C$3,$A67&amp;H$2&amp;"_x",H$1,$B$1)</f>
        <v>6974</v>
      </c>
      <c r="I67" s="38">
        <f>_xll.xlqAAII($C$3,$A67&amp;I$2&amp;"_x",I$1,$B$1)</f>
        <v>6106</v>
      </c>
      <c r="J67" s="38">
        <f>_xll.xlqAAII($C$3,$A67&amp;J$2&amp;"_x",J$1,$B$1)</f>
        <v>6143</v>
      </c>
      <c r="L67" s="42"/>
    </row>
    <row r="68" spans="1:12" s="1" customFormat="1" x14ac:dyDescent="0.25">
      <c r="A68" s="1" t="s">
        <v>184</v>
      </c>
      <c r="B68" s="1" t="str">
        <f>_xll.xlqAAIIDescrip($A68&amp;B$2&amp;"_x")</f>
        <v>Total Assets</v>
      </c>
      <c r="C68" s="40">
        <f>_xll.xlqAAII($C$3,$A68&amp;C$2&amp;"_x",C$1,$B$1)</f>
        <v>263281</v>
      </c>
      <c r="D68" s="40">
        <f>_xll.xlqAAII($C$3,$A68&amp;D$2&amp;"_x",D$1,$B$1)</f>
        <v>258859</v>
      </c>
      <c r="E68" s="40">
        <f>_xll.xlqAAII($C$3,$A68&amp;E$2&amp;"_x",E$1,$B$1)</f>
        <v>257619</v>
      </c>
      <c r="F68" s="40">
        <f>_xll.xlqAAII($C$3,$A68&amp;F$2&amp;"_x",F$1,$B$1)</f>
        <v>258848</v>
      </c>
      <c r="G68" s="40">
        <f>_xll.xlqAAII($C$3,$A68&amp;G$2&amp;"_x",G$1,$B$1)</f>
        <v>245497</v>
      </c>
      <c r="H68" s="40">
        <f>_xll.xlqAAII($C$3,$A68&amp;H$2&amp;"_x",H$1,$B$1)</f>
        <v>256003</v>
      </c>
      <c r="I68" s="40">
        <f>_xll.xlqAAII($C$3,$A68&amp;I$2&amp;"_x",I$1,$B$1)</f>
        <v>249097</v>
      </c>
      <c r="J68" s="40">
        <f>_xll.xlqAAII($C$3,$A68&amp;J$2&amp;"_x",J$1,$B$1)</f>
        <v>250312</v>
      </c>
      <c r="L68" s="43"/>
    </row>
    <row r="69" spans="1:12" x14ac:dyDescent="0.25">
      <c r="C69" s="28"/>
      <c r="D69" s="28"/>
      <c r="E69" s="28"/>
      <c r="F69" s="28"/>
      <c r="G69" s="28"/>
      <c r="H69" s="28"/>
      <c r="I69" s="28"/>
      <c r="J69" s="28"/>
      <c r="L69" s="25"/>
    </row>
    <row r="70" spans="1:12" x14ac:dyDescent="0.25">
      <c r="B70" s="1" t="s">
        <v>141</v>
      </c>
      <c r="C70" s="28"/>
      <c r="D70" s="28"/>
      <c r="E70" s="28"/>
      <c r="F70" s="28"/>
      <c r="G70" s="28"/>
      <c r="H70" s="28"/>
      <c r="I70" s="28"/>
      <c r="J70" s="28"/>
      <c r="L70" s="25"/>
    </row>
    <row r="71" spans="1:12" x14ac:dyDescent="0.25">
      <c r="A71" s="2" t="s">
        <v>185</v>
      </c>
      <c r="B71" s="1" t="str">
        <f>_xll.xlqAAIIDescrip($A71&amp;B$2&amp;"_x")</f>
        <v>Accounts Payable</v>
      </c>
      <c r="C71" s="28">
        <f>_xll.xlqAAII($C$3,$A71&amp;C$2&amp;"_x",C$1,$B$1)</f>
        <v>7544</v>
      </c>
      <c r="D71" s="28">
        <f>_xll.xlqAAII($C$3,$A71&amp;D$2&amp;"_x",D$1,$B$1)</f>
        <v>7563</v>
      </c>
      <c r="E71" s="28">
        <f>_xll.xlqAAII($C$3,$A71&amp;E$2&amp;"_x",E$1,$B$1)</f>
        <v>8511</v>
      </c>
      <c r="F71" s="28">
        <f>_xll.xlqAAII($C$3,$A71&amp;F$2&amp;"_x",F$1,$B$1)</f>
        <v>8617</v>
      </c>
      <c r="G71" s="28">
        <f>_xll.xlqAAII($C$3,$A71&amp;G$2&amp;"_x",G$1,$B$1)</f>
        <v>7623</v>
      </c>
      <c r="H71" s="28">
        <f>_xll.xlqAAII($C$3,$A71&amp;H$2&amp;"_x",H$1,$B$1)</f>
        <v>7850</v>
      </c>
      <c r="I71" s="28">
        <f>_xll.xlqAAII($C$3,$A71&amp;I$2&amp;"_x",I$1,$B$1)</f>
        <v>6866</v>
      </c>
      <c r="J71" s="28">
        <f>_xll.xlqAAII($C$3,$A71&amp;J$2&amp;"_x",J$1,$B$1)</f>
        <v>7390</v>
      </c>
      <c r="L71" s="25"/>
    </row>
    <row r="72" spans="1:12" x14ac:dyDescent="0.25">
      <c r="A72" s="2" t="s">
        <v>186</v>
      </c>
      <c r="B72" s="1" t="str">
        <f>_xll.xlqAAIIDescrip($A72&amp;B$2&amp;"_x")</f>
        <v>Short-Term Debt</v>
      </c>
      <c r="C72" s="28">
        <f>_xll.xlqAAII($C$3,$A72&amp;C$2&amp;"_x",C$1,$B$1)</f>
        <v>6797</v>
      </c>
      <c r="D72" s="28">
        <f>_xll.xlqAAII($C$3,$A72&amp;D$2&amp;"_x",D$1,$B$1)</f>
        <v>3761</v>
      </c>
      <c r="E72" s="28">
        <f>_xll.xlqAAII($C$3,$A72&amp;E$2&amp;"_x",E$1,$B$1)</f>
        <v>6700</v>
      </c>
      <c r="F72" s="28">
        <f>_xll.xlqAAII($C$3,$A72&amp;F$2&amp;"_x",F$1,$B$1)</f>
        <v>4174</v>
      </c>
      <c r="G72" s="28">
        <f>_xll.xlqAAII($C$3,$A72&amp;G$2&amp;"_x",G$1,$B$1)</f>
        <v>3858</v>
      </c>
      <c r="H72" s="28">
        <f>_xll.xlqAAII($C$3,$A72&amp;H$2&amp;"_x",H$1,$B$1)</f>
        <v>16068</v>
      </c>
      <c r="I72" s="28">
        <f>_xll.xlqAAII($C$3,$A72&amp;I$2&amp;"_x",I$1,$B$1)</f>
        <v>9366</v>
      </c>
      <c r="J72" s="28">
        <f>_xll.xlqAAII($C$3,$A72&amp;J$2&amp;"_x",J$1,$B$1)</f>
        <v>10234</v>
      </c>
      <c r="L72" s="25"/>
    </row>
    <row r="73" spans="1:12" s="36" customFormat="1" x14ac:dyDescent="0.25">
      <c r="A73" s="36" t="s">
        <v>187</v>
      </c>
      <c r="B73" s="37" t="str">
        <f>_xll.xlqAAIIDescrip($A73&amp;B$2&amp;"_x")</f>
        <v>Other Current Liabilities</v>
      </c>
      <c r="C73" s="38">
        <f>_xll.xlqAAII($C$3,$A73&amp;C$2&amp;"_x",C$1,$B$1)</f>
        <v>39520</v>
      </c>
      <c r="D73" s="38">
        <f>_xll.xlqAAII($C$3,$A73&amp;D$2&amp;"_x",D$1,$B$1)</f>
        <v>38994</v>
      </c>
      <c r="E73" s="38">
        <f>_xll.xlqAAII($C$3,$A73&amp;E$2&amp;"_x",E$1,$B$1)</f>
        <v>41066</v>
      </c>
      <c r="F73" s="38">
        <f>_xll.xlqAAII($C$3,$A73&amp;F$2&amp;"_x",F$1,$B$1)</f>
        <v>45697</v>
      </c>
      <c r="G73" s="38">
        <f>_xll.xlqAAII($C$3,$A73&amp;G$2&amp;"_x",G$1,$B$1)</f>
        <v>34652</v>
      </c>
      <c r="H73" s="38">
        <f>_xll.xlqAAII($C$3,$A73&amp;H$2&amp;"_x",H$1,$B$1)</f>
        <v>34181</v>
      </c>
      <c r="I73" s="38">
        <f>_xll.xlqAAII($C$3,$A73&amp;I$2&amp;"_x",I$1,$B$1)</f>
        <v>35383</v>
      </c>
      <c r="J73" s="38">
        <f>_xll.xlqAAII($C$3,$A73&amp;J$2&amp;"_x",J$1,$B$1)</f>
        <v>38121</v>
      </c>
      <c r="L73" s="42"/>
    </row>
    <row r="74" spans="1:12" s="1" customFormat="1" x14ac:dyDescent="0.25">
      <c r="A74" s="1" t="s">
        <v>188</v>
      </c>
      <c r="B74" s="1" t="str">
        <f>_xll.xlqAAIIDescrip($A74&amp;B$2&amp;"_x")</f>
        <v>Current Liabilities</v>
      </c>
      <c r="C74" s="40">
        <f>_xll.xlqAAII($C$3,$A74&amp;C$2&amp;"_x",C$1,$B$1)</f>
        <v>53861</v>
      </c>
      <c r="D74" s="40">
        <f>_xll.xlqAAII($C$3,$A74&amp;D$2&amp;"_x",D$1,$B$1)</f>
        <v>50318</v>
      </c>
      <c r="E74" s="40">
        <f>_xll.xlqAAII($C$3,$A74&amp;E$2&amp;"_x",E$1,$B$1)</f>
        <v>56277</v>
      </c>
      <c r="F74" s="40">
        <f>_xll.xlqAAII($C$3,$A74&amp;F$2&amp;"_x",F$1,$B$1)</f>
        <v>58488</v>
      </c>
      <c r="G74" s="40">
        <f>_xll.xlqAAII($C$3,$A74&amp;G$2&amp;"_x",G$1,$B$1)</f>
        <v>46133</v>
      </c>
      <c r="H74" s="40">
        <f>_xll.xlqAAII($C$3,$A74&amp;H$2&amp;"_x",H$1,$B$1)</f>
        <v>58099</v>
      </c>
      <c r="I74" s="40">
        <f>_xll.xlqAAII($C$3,$A74&amp;I$2&amp;"_x",I$1,$B$1)</f>
        <v>51615</v>
      </c>
      <c r="J74" s="40">
        <f>_xll.xlqAAII($C$3,$A74&amp;J$2&amp;"_x",J$1,$B$1)</f>
        <v>55745</v>
      </c>
      <c r="L74" s="43"/>
    </row>
    <row r="75" spans="1:12" x14ac:dyDescent="0.25">
      <c r="C75" s="28"/>
      <c r="D75" s="28"/>
      <c r="E75" s="28"/>
      <c r="F75" s="28"/>
      <c r="G75" s="28"/>
      <c r="H75" s="28"/>
      <c r="I75" s="28"/>
      <c r="J75" s="28"/>
      <c r="L75" s="25"/>
    </row>
    <row r="76" spans="1:12" x14ac:dyDescent="0.25">
      <c r="A76" s="2" t="s">
        <v>189</v>
      </c>
      <c r="B76" s="1" t="str">
        <f>_xll.xlqAAIIDescrip($A76&amp;B$2&amp;"_x")</f>
        <v>Long-Term Debt</v>
      </c>
      <c r="C76" s="28">
        <f>_xll.xlqAAII($C$3,$A76&amp;C$2&amp;"_x",C$1,$B$1)</f>
        <v>72113</v>
      </c>
      <c r="D76" s="28">
        <f>_xll.xlqAAII($C$3,$A76&amp;D$2&amp;"_x",D$1,$B$1)</f>
        <v>74618</v>
      </c>
      <c r="E76" s="28">
        <f>_xll.xlqAAII($C$3,$A76&amp;E$2&amp;"_x",E$1,$B$1)</f>
        <v>74204</v>
      </c>
      <c r="F76" s="28">
        <f>_xll.xlqAAII($C$3,$A76&amp;F$2&amp;"_x",F$1,$B$1)</f>
        <v>76367</v>
      </c>
      <c r="G76" s="28">
        <f>_xll.xlqAAII($C$3,$A76&amp;G$2&amp;"_x",G$1,$B$1)</f>
        <v>77630</v>
      </c>
      <c r="H76" s="28">
        <f>_xll.xlqAAII($C$3,$A76&amp;H$2&amp;"_x",H$1,$B$1)</f>
        <v>77094</v>
      </c>
      <c r="I76" s="28">
        <f>_xll.xlqAAII($C$3,$A76&amp;I$2&amp;"_x",I$1,$B$1)</f>
        <v>79382</v>
      </c>
      <c r="J76" s="28">
        <f>_xll.xlqAAII($C$3,$A76&amp;J$2&amp;"_x",J$1,$B$1)</f>
        <v>78498</v>
      </c>
      <c r="L76" s="25"/>
    </row>
    <row r="77" spans="1:12" s="36" customFormat="1" x14ac:dyDescent="0.25">
      <c r="A77" s="36" t="s">
        <v>190</v>
      </c>
      <c r="B77" s="37" t="str">
        <f>_xll.xlqAAIIDescrip($A77&amp;B$2&amp;"_x")</f>
        <v>Other Long-Term Liabilities</v>
      </c>
      <c r="C77" s="38">
        <f>_xll.xlqAAII($C$3,$A77&amp;C$2&amp;"_x",C$1,$B$1)</f>
        <v>42443</v>
      </c>
      <c r="D77" s="38">
        <f>_xll.xlqAAII($C$3,$A77&amp;D$2&amp;"_x",D$1,$B$1)</f>
        <v>41795</v>
      </c>
      <c r="E77" s="38">
        <f>_xll.xlqAAII($C$3,$A77&amp;E$2&amp;"_x",E$1,$B$1)</f>
        <v>41171</v>
      </c>
      <c r="F77" s="38">
        <f>_xll.xlqAAII($C$3,$A77&amp;F$2&amp;"_x",F$1,$B$1)</f>
        <v>41275</v>
      </c>
      <c r="G77" s="38">
        <f>_xll.xlqAAII($C$3,$A77&amp;G$2&amp;"_x",G$1,$B$1)</f>
        <v>42495</v>
      </c>
      <c r="H77" s="38">
        <f>_xll.xlqAAII($C$3,$A77&amp;H$2&amp;"_x",H$1,$B$1)</f>
        <v>42450</v>
      </c>
      <c r="I77" s="38">
        <f>_xll.xlqAAII($C$3,$A77&amp;I$2&amp;"_x",I$1,$B$1)</f>
        <v>28453</v>
      </c>
      <c r="J77" s="38">
        <f>_xll.xlqAAII($C$3,$A77&amp;J$2&amp;"_x",J$1,$B$1)</f>
        <v>28358</v>
      </c>
      <c r="L77" s="42"/>
    </row>
    <row r="78" spans="1:12" s="1" customFormat="1" x14ac:dyDescent="0.25">
      <c r="A78" s="1" t="s">
        <v>191</v>
      </c>
      <c r="B78" s="1" t="str">
        <f>_xll.xlqAAIIDescrip($A78&amp;B$2&amp;"_x")</f>
        <v>Total Liabilities</v>
      </c>
      <c r="C78" s="40">
        <f>_xll.xlqAAII($C$3,$A78&amp;C$2&amp;"_x",C$1,$B$1)</f>
        <v>168417</v>
      </c>
      <c r="D78" s="40">
        <f>_xll.xlqAAII($C$3,$A78&amp;D$2&amp;"_x",D$1,$B$1)</f>
        <v>166731</v>
      </c>
      <c r="E78" s="40">
        <f>_xll.xlqAAII($C$3,$A78&amp;E$2&amp;"_x",E$1,$B$1)</f>
        <v>171652</v>
      </c>
      <c r="F78" s="40">
        <f>_xll.xlqAAII($C$3,$A78&amp;F$2&amp;"_x",F$1,$B$1)</f>
        <v>176130</v>
      </c>
      <c r="G78" s="40">
        <f>_xll.xlqAAII($C$3,$A78&amp;G$2&amp;"_x",G$1,$B$1)</f>
        <v>166258</v>
      </c>
      <c r="H78" s="40">
        <f>_xll.xlqAAII($C$3,$A78&amp;H$2&amp;"_x",H$1,$B$1)</f>
        <v>177643</v>
      </c>
      <c r="I78" s="40">
        <f>_xll.xlqAAII($C$3,$A78&amp;I$2&amp;"_x",I$1,$B$1)</f>
        <v>159450</v>
      </c>
      <c r="J78" s="40">
        <f>_xll.xlqAAII($C$3,$A78&amp;J$2&amp;"_x",J$1,$B$1)</f>
        <v>162601</v>
      </c>
      <c r="L78" s="43"/>
    </row>
    <row r="79" spans="1:12" s="1" customFormat="1" x14ac:dyDescent="0.25">
      <c r="C79" s="40"/>
      <c r="D79" s="40"/>
      <c r="E79" s="40"/>
      <c r="F79" s="40"/>
      <c r="G79" s="40"/>
      <c r="H79" s="40"/>
      <c r="I79" s="40"/>
      <c r="J79" s="40"/>
      <c r="L79" s="43"/>
    </row>
    <row r="80" spans="1:12" x14ac:dyDescent="0.25">
      <c r="A80" s="2" t="s">
        <v>192</v>
      </c>
      <c r="B80" s="1" t="str">
        <f>_xll.xlqAAIIDescrip($A80&amp;B$2&amp;"_x")</f>
        <v>Preferred Stock</v>
      </c>
      <c r="C80" s="28">
        <f>_xll.xlqAAII($C$3,$A80&amp;C$2&amp;"_x",C$1,$B$1)</f>
        <v>0</v>
      </c>
      <c r="D80" s="28">
        <f>_xll.xlqAAII($C$3,$A80&amp;D$2&amp;"_x",D$1,$B$1)</f>
        <v>0</v>
      </c>
      <c r="E80" s="28">
        <f>_xll.xlqAAII($C$3,$A80&amp;E$2&amp;"_x",E$1,$B$1)</f>
        <v>0</v>
      </c>
      <c r="F80" s="28">
        <f>_xll.xlqAAII($C$3,$A80&amp;F$2&amp;"_x",F$1,$B$1)</f>
        <v>0</v>
      </c>
      <c r="G80" s="28">
        <f>_xll.xlqAAII($C$3,$A80&amp;G$2&amp;"_x",G$1,$B$1)</f>
        <v>0</v>
      </c>
      <c r="H80" s="28">
        <f>_xll.xlqAAII($C$3,$A80&amp;H$2&amp;"_x",H$1,$B$1)</f>
        <v>0</v>
      </c>
      <c r="I80" s="28">
        <f>_xll.xlqAAII($C$3,$A80&amp;I$2&amp;"_x",I$1,$B$1)</f>
        <v>0</v>
      </c>
      <c r="J80" s="28">
        <f>_xll.xlqAAII($C$3,$A80&amp;J$2&amp;"_x",J$1,$B$1)</f>
        <v>0</v>
      </c>
      <c r="L80" s="25"/>
    </row>
    <row r="81" spans="1:12" s="36" customFormat="1" x14ac:dyDescent="0.25">
      <c r="A81" s="36" t="s">
        <v>193</v>
      </c>
      <c r="B81" s="37" t="str">
        <f>_xll.xlqAAIIDescrip($A81&amp;B$2&amp;"_x")</f>
        <v>Equity (Common)</v>
      </c>
      <c r="C81" s="38">
        <f>_xll.xlqAAII($C$3,$A81&amp;C$2&amp;"_x",C$1,$B$1)</f>
        <v>94864</v>
      </c>
      <c r="D81" s="38">
        <f>_xll.xlqAAII($C$3,$A81&amp;D$2&amp;"_x",D$1,$B$1)</f>
        <v>92128</v>
      </c>
      <c r="E81" s="38">
        <f>_xll.xlqAAII($C$3,$A81&amp;E$2&amp;"_x",E$1,$B$1)</f>
        <v>85967</v>
      </c>
      <c r="F81" s="38">
        <f>_xll.xlqAAII($C$3,$A81&amp;F$2&amp;"_x",F$1,$B$1)</f>
        <v>82718</v>
      </c>
      <c r="G81" s="38">
        <f>_xll.xlqAAII($C$3,$A81&amp;G$2&amp;"_x",G$1,$B$1)</f>
        <v>79239</v>
      </c>
      <c r="H81" s="38">
        <f>_xll.xlqAAII($C$3,$A81&amp;H$2&amp;"_x",H$1,$B$1)</f>
        <v>78360</v>
      </c>
      <c r="I81" s="38">
        <f>_xll.xlqAAII($C$3,$A81&amp;I$2&amp;"_x",I$1,$B$1)</f>
        <v>89647</v>
      </c>
      <c r="J81" s="38">
        <f>_xll.xlqAAII($C$3,$A81&amp;J$2&amp;"_x",J$1,$B$1)</f>
        <v>87711</v>
      </c>
      <c r="L81" s="42"/>
    </row>
    <row r="82" spans="1:12" s="1" customFormat="1" x14ac:dyDescent="0.25">
      <c r="A82" s="1" t="s">
        <v>194</v>
      </c>
      <c r="B82" s="1" t="str">
        <f>_xll.xlqAAIIDescrip($A82&amp;B$2&amp;"_x")</f>
        <v>Liabilities And Equity</v>
      </c>
      <c r="C82" s="40">
        <f>_xll.xlqAAII($C$3,$A82&amp;C$2&amp;"_x",C$1,$B$1)</f>
        <v>263281</v>
      </c>
      <c r="D82" s="40">
        <f>_xll.xlqAAII($C$3,$A82&amp;D$2&amp;"_x",D$1,$B$1)</f>
        <v>258859</v>
      </c>
      <c r="E82" s="40">
        <f>_xll.xlqAAII($C$3,$A82&amp;E$2&amp;"_x",E$1,$B$1)</f>
        <v>257619</v>
      </c>
      <c r="F82" s="40">
        <f>_xll.xlqAAII($C$3,$A82&amp;F$2&amp;"_x",F$1,$B$1)</f>
        <v>258848</v>
      </c>
      <c r="G82" s="40">
        <f>_xll.xlqAAII($C$3,$A82&amp;G$2&amp;"_x",G$1,$B$1)</f>
        <v>245497</v>
      </c>
      <c r="H82" s="40">
        <f>_xll.xlqAAII($C$3,$A82&amp;H$2&amp;"_x",H$1,$B$1)</f>
        <v>256003</v>
      </c>
      <c r="I82" s="40">
        <f>_xll.xlqAAII($C$3,$A82&amp;I$2&amp;"_x",I$1,$B$1)</f>
        <v>249097</v>
      </c>
      <c r="J82" s="40">
        <f>_xll.xlqAAII($C$3,$A82&amp;J$2&amp;"_x",J$1,$B$1)</f>
        <v>250312</v>
      </c>
      <c r="L82" s="43"/>
    </row>
    <row r="83" spans="1:12" x14ac:dyDescent="0.25">
      <c r="C83" s="25"/>
      <c r="D83" s="25"/>
      <c r="E83" s="25"/>
      <c r="F83" s="25"/>
      <c r="G83" s="25"/>
      <c r="H83" s="25"/>
      <c r="I83" s="25"/>
      <c r="J83" s="25"/>
      <c r="L83" s="25"/>
    </row>
    <row r="84" spans="1:12" x14ac:dyDescent="0.25">
      <c r="A84" s="2" t="s">
        <v>195</v>
      </c>
      <c r="B84" s="1" t="str">
        <f>_xll.xlqAAIIDescrip($A84&amp;B$2&amp;"_x")</f>
        <v>Book Value/Share</v>
      </c>
      <c r="C84" s="25">
        <f>_xll.xlqAAII($C$3,$A84&amp;C$2&amp;"_x",C$1,$B$1)</f>
        <v>12.36</v>
      </c>
      <c r="D84" s="25">
        <f>_xll.xlqAAII($C$3,$A84&amp;D$2&amp;"_x",D$1,$B$1)</f>
        <v>11.98</v>
      </c>
      <c r="E84" s="25">
        <f>_xll.xlqAAII($C$3,$A84&amp;E$2&amp;"_x",E$1,$B$1)</f>
        <v>11.2</v>
      </c>
      <c r="F84" s="25">
        <f>_xll.xlqAAII($C$3,$A84&amp;F$2&amp;"_x",F$1,$B$1)</f>
        <v>10.77</v>
      </c>
      <c r="G84" s="25">
        <f>_xll.xlqAAII($C$3,$A84&amp;G$2&amp;"_x",G$1,$B$1)</f>
        <v>10.29</v>
      </c>
      <c r="H84" s="25">
        <f>_xll.xlqAAII($C$3,$A84&amp;H$2&amp;"_x",H$1,$B$1)</f>
        <v>10.16</v>
      </c>
      <c r="I84" s="25">
        <f>_xll.xlqAAII($C$3,$A84&amp;I$2&amp;"_x",I$1,$B$1)</f>
        <v>11.63</v>
      </c>
      <c r="J84" s="25">
        <f>_xll.xlqAAII($C$3,$A84&amp;J$2&amp;"_x",J$1,$B$1)</f>
        <v>11.37</v>
      </c>
      <c r="L84" s="25"/>
    </row>
  </sheetData>
  <phoneticPr fontId="2" type="noConversion"/>
  <pageMargins left="0.75" right="0.75" top="1" bottom="1" header="0.5" footer="0.5"/>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N59"/>
  <sheetViews>
    <sheetView workbookViewId="0">
      <pane xSplit="2" ySplit="5" topLeftCell="C6" activePane="bottomRight" state="frozen"/>
      <selection pane="topRight" activeCell="C1" sqref="C1"/>
      <selection pane="bottomLeft" activeCell="A6" sqref="A6"/>
      <selection pane="bottomRight" activeCell="C4" sqref="C4"/>
    </sheetView>
  </sheetViews>
  <sheetFormatPr defaultRowHeight="15" x14ac:dyDescent="0.25"/>
  <cols>
    <col min="1" max="1" width="29.42578125" style="2" bestFit="1" customWidth="1"/>
    <col min="2" max="2" width="29.42578125" style="1" customWidth="1"/>
    <col min="3" max="6" width="9.140625" style="2"/>
    <col min="7" max="7" width="10.85546875" style="2" customWidth="1"/>
    <col min="8" max="16384" width="9.140625" style="2"/>
  </cols>
  <sheetData>
    <row r="1" spans="1:14" x14ac:dyDescent="0.25">
      <c r="A1" s="2" t="s">
        <v>613</v>
      </c>
      <c r="B1" s="1">
        <v>0</v>
      </c>
    </row>
    <row r="2" spans="1:14" s="1" customFormat="1" x14ac:dyDescent="0.25">
      <c r="B2" s="1" t="s">
        <v>495</v>
      </c>
      <c r="C2" s="1" t="s">
        <v>495</v>
      </c>
      <c r="D2" s="1" t="s">
        <v>496</v>
      </c>
      <c r="E2" s="1" t="s">
        <v>497</v>
      </c>
      <c r="F2" s="1" t="s">
        <v>498</v>
      </c>
      <c r="G2" s="1" t="s">
        <v>499</v>
      </c>
      <c r="H2" s="1" t="s">
        <v>500</v>
      </c>
      <c r="I2" s="1" t="s">
        <v>501</v>
      </c>
      <c r="J2" s="1" t="s">
        <v>502</v>
      </c>
      <c r="K2" s="1" t="s">
        <v>503</v>
      </c>
      <c r="L2" s="1" t="s">
        <v>504</v>
      </c>
      <c r="M2" s="1" t="s">
        <v>505</v>
      </c>
      <c r="N2" s="1" t="s">
        <v>506</v>
      </c>
    </row>
    <row r="3" spans="1:14" s="1" customFormat="1" x14ac:dyDescent="0.25">
      <c r="B3" s="1" t="s">
        <v>542</v>
      </c>
      <c r="C3" s="17" t="s">
        <v>1808</v>
      </c>
      <c r="E3" s="2" t="str">
        <f>_xll.xlqAAII($C$3,"name",,$B$1)</f>
        <v>Dmc Global Inc</v>
      </c>
    </row>
    <row r="4" spans="1:14" s="1" customFormat="1" x14ac:dyDescent="0.25">
      <c r="C4" s="17"/>
    </row>
    <row r="5" spans="1:14" s="33" customFormat="1" ht="15.75" thickBot="1" x14ac:dyDescent="0.3">
      <c r="C5" s="33" t="s">
        <v>544</v>
      </c>
      <c r="D5" s="33" t="s">
        <v>545</v>
      </c>
      <c r="E5" s="33" t="s">
        <v>546</v>
      </c>
      <c r="F5" s="33" t="s">
        <v>547</v>
      </c>
      <c r="G5" s="33" t="s">
        <v>548</v>
      </c>
      <c r="H5" s="33" t="s">
        <v>500</v>
      </c>
      <c r="I5" s="33" t="s">
        <v>501</v>
      </c>
      <c r="J5" s="33" t="s">
        <v>502</v>
      </c>
      <c r="K5" s="33" t="s">
        <v>503</v>
      </c>
      <c r="L5" s="33" t="s">
        <v>504</v>
      </c>
      <c r="M5" s="33" t="s">
        <v>505</v>
      </c>
      <c r="N5" s="33" t="s">
        <v>506</v>
      </c>
    </row>
    <row r="6" spans="1:14" x14ac:dyDescent="0.25">
      <c r="A6" s="14" t="s">
        <v>508</v>
      </c>
      <c r="B6" s="44" t="str">
        <f>_xll.xlqAAIIDescrip(A6&amp;B$2,1)</f>
        <v>Sales-Growth</v>
      </c>
      <c r="C6" s="2">
        <f>_xll.xlqAAII($C$3, $A6&amp;C$2,,$B$1)</f>
        <v>69.3</v>
      </c>
      <c r="D6" s="2">
        <f>_xll.xlqAAII($C$3, $A6&amp;D$2,,$B$1)</f>
        <v>25.1</v>
      </c>
      <c r="E6" s="2">
        <f>_xll.xlqAAII($C$3, $A6&amp;E$2,,$B$1)</f>
        <v>10.1</v>
      </c>
      <c r="F6" s="2">
        <f>_xll.xlqAAII($C$3, $A6&amp;F$2,,$B$1)</f>
        <v>6.6</v>
      </c>
      <c r="G6" s="2">
        <f>_xll.xlqAAII($C$3, $A6&amp;G$2,,$B$1)</f>
        <v>62.4</v>
      </c>
      <c r="H6" s="2">
        <f>_xll.xlqAAII($C$3, $A6&amp;H$2,,$B$1)</f>
        <v>48.7</v>
      </c>
      <c r="I6" s="2">
        <f>_xll.xlqAAII($C$3, $A6&amp;I$2,,$B$1)</f>
        <v>65.7</v>
      </c>
      <c r="J6" s="2">
        <f>_xll.xlqAAII($C$3, $A6&amp;J$2,,$B$1)</f>
        <v>68.400000000000006</v>
      </c>
      <c r="K6" s="2">
        <f>_xll.xlqAAII($C$3, $A6&amp;K$2,,$B$1)</f>
        <v>71.900000000000006</v>
      </c>
      <c r="L6" s="2">
        <f>_xll.xlqAAII($C$3, $A6&amp;L$2,,$B$1)</f>
        <v>22.1</v>
      </c>
      <c r="M6" s="2">
        <f>_xll.xlqAAII($C$3, $A6&amp;M$2,,$B$1)</f>
        <v>6.3</v>
      </c>
      <c r="N6" s="2">
        <f>_xll.xlqAAII($C$3, $A6&amp;N$2,,$B$1)</f>
        <v>16.7</v>
      </c>
    </row>
    <row r="7" spans="1:14" x14ac:dyDescent="0.25">
      <c r="A7" s="14" t="s">
        <v>509</v>
      </c>
      <c r="B7" s="44" t="str">
        <f>_xll.xlqAAIIDescrip(A7&amp;B$2,1)</f>
        <v>Gross Income-Growth</v>
      </c>
      <c r="C7" s="2">
        <f>_xll.xlqAAII($C$3, $A7&amp;C$2,,$B$1)</f>
        <v>86.4</v>
      </c>
      <c r="D7" s="2">
        <f>_xll.xlqAAII($C$3, $A7&amp;D$2,,$B$1)</f>
        <v>45.9</v>
      </c>
      <c r="E7" s="2">
        <f>_xll.xlqAAII($C$3, $A7&amp;E$2,,$B$1)</f>
        <v>13.7</v>
      </c>
      <c r="F7" s="2">
        <f>_xll.xlqAAII($C$3, $A7&amp;F$2,,$B$1)</f>
        <v>10.4</v>
      </c>
      <c r="G7" s="2">
        <f>_xll.xlqAAII($C$3, $A7&amp;G$2,,$B$1)</f>
        <v>51.2</v>
      </c>
      <c r="H7" s="2">
        <f>_xll.xlqAAII($C$3, $A7&amp;H$2,,$B$1)</f>
        <v>59.9</v>
      </c>
      <c r="I7" s="2">
        <f>_xll.xlqAAII($C$3, $A7&amp;I$2,,$B$1)</f>
        <v>76</v>
      </c>
      <c r="J7" s="2">
        <f>_xll.xlqAAII($C$3, $A7&amp;J$2,,$B$1)</f>
        <v>72.900000000000006</v>
      </c>
      <c r="K7" s="2">
        <f>_xll.xlqAAII($C$3, $A7&amp;K$2,,$B$1)</f>
        <v>102.6</v>
      </c>
    </row>
    <row r="8" spans="1:14" x14ac:dyDescent="0.25">
      <c r="A8" s="14" t="s">
        <v>510</v>
      </c>
      <c r="B8" s="44" t="str">
        <f>_xll.xlqAAIIDescrip(A8&amp;B$2,1)</f>
        <v>Pre-tax Income-Growth</v>
      </c>
      <c r="C8" s="2">
        <f>_xll.xlqAAII($C$3, $A8&amp;C$2,,$B$1)</f>
        <v>326.39999999999998</v>
      </c>
      <c r="D8" s="2">
        <f>_xll.xlqAAII($C$3, $A8&amp;D$2,,$B$1)</f>
        <v>49.3</v>
      </c>
      <c r="E8" s="2">
        <f>_xll.xlqAAII($C$3, $A8&amp;E$2,,$B$1)</f>
        <v>28.7</v>
      </c>
      <c r="F8" s="2">
        <f>_xll.xlqAAII($C$3, $A8&amp;F$2,,$B$1)</f>
        <v>10.9</v>
      </c>
      <c r="G8" s="2">
        <f>_xll.xlqAAII($C$3, $A8&amp;G$2,,$B$1)</f>
        <v>564.20000000000005</v>
      </c>
      <c r="H8" s="2">
        <f>_xll.xlqAAII($C$3, $A8&amp;H$2,,$B$1)</f>
        <v>348.7</v>
      </c>
      <c r="I8" s="2" t="str">
        <f>_xll.xlqAAII($C$3, $A8&amp;I$2,,$B$1)</f>
        <v>NA</v>
      </c>
      <c r="J8" s="2">
        <f>_xll.xlqAAII($C$3, $A8&amp;J$2,,$B$1)</f>
        <v>160.30000000000001</v>
      </c>
      <c r="K8" s="2">
        <f>_xll.xlqAAII($C$3, $A8&amp;K$2,,$B$1)</f>
        <v>945.4</v>
      </c>
    </row>
    <row r="9" spans="1:14" x14ac:dyDescent="0.25">
      <c r="A9" s="14" t="s">
        <v>511</v>
      </c>
      <c r="B9" s="44" t="str">
        <f>_xll.xlqAAIIDescrip(A9&amp;B$2,1)</f>
        <v>Oper. Income-Growth</v>
      </c>
      <c r="C9" s="2">
        <f>_xll.xlqAAII($C$3, $A9&amp;C$2,,$B$1)</f>
        <v>405.3</v>
      </c>
      <c r="D9" s="2">
        <f>_xll.xlqAAII($C$3, $A9&amp;D$2,,$B$1)</f>
        <v>53</v>
      </c>
      <c r="E9" s="2">
        <f>_xll.xlqAAII($C$3, $A9&amp;E$2,,$B$1)</f>
        <v>27.8</v>
      </c>
      <c r="F9" s="2">
        <f>_xll.xlqAAII($C$3, $A9&amp;F$2,,$B$1)</f>
        <v>10.8</v>
      </c>
      <c r="G9" s="2" t="str">
        <f>_xll.xlqAAII($C$3, $A9&amp;G$2,,$B$1)</f>
        <v>NA</v>
      </c>
      <c r="H9" s="2">
        <f>_xll.xlqAAII($C$3, $A9&amp;H$2,,$B$1)</f>
        <v>285.3</v>
      </c>
      <c r="I9" s="2" t="str">
        <f>_xll.xlqAAII($C$3, $A9&amp;I$2,,$B$1)</f>
        <v>NA</v>
      </c>
      <c r="J9" s="2">
        <f>_xll.xlqAAII($C$3, $A9&amp;J$2,,$B$1)</f>
        <v>171.2</v>
      </c>
      <c r="K9" s="2" t="str">
        <f>_xll.xlqAAII($C$3, $A9&amp;K$2,,$B$1)</f>
        <v>NA</v>
      </c>
    </row>
    <row r="10" spans="1:14" x14ac:dyDescent="0.25">
      <c r="A10" s="14" t="s">
        <v>512</v>
      </c>
      <c r="B10" s="44" t="str">
        <f>_xll.xlqAAIIDescrip(A10&amp;B$2,1)</f>
        <v>Net Income-Growth</v>
      </c>
      <c r="C10" s="2">
        <f>_xll.xlqAAII($C$3, $A10&amp;C$2,,$B$1)</f>
        <v>258</v>
      </c>
      <c r="D10" s="2">
        <f>_xll.xlqAAII($C$3, $A10&amp;D$2,,$B$1)</f>
        <v>48</v>
      </c>
      <c r="E10" s="2">
        <f>_xll.xlqAAII($C$3, $A10&amp;E$2,,$B$1)</f>
        <v>36.299999999999997</v>
      </c>
      <c r="F10" s="2">
        <f>_xll.xlqAAII($C$3, $A10&amp;F$2,,$B$1)</f>
        <v>14.2</v>
      </c>
      <c r="G10" s="2" t="str">
        <f>_xll.xlqAAII($C$3, $A10&amp;G$2,,$B$1)</f>
        <v>NA</v>
      </c>
      <c r="H10" s="2">
        <f>_xll.xlqAAII($C$3, $A10&amp;H$2,,$B$1)</f>
        <v>287.89999999999998</v>
      </c>
      <c r="I10" s="2">
        <f>_xll.xlqAAII($C$3, $A10&amp;I$2,,$B$1)</f>
        <v>860.9</v>
      </c>
      <c r="J10" s="2">
        <f>_xll.xlqAAII($C$3, $A10&amp;J$2,,$B$1)</f>
        <v>134.1</v>
      </c>
      <c r="K10" s="2">
        <f>_xll.xlqAAII($C$3, $A10&amp;K$2,,$B$1)</f>
        <v>455.7</v>
      </c>
    </row>
    <row r="11" spans="1:14" x14ac:dyDescent="0.25">
      <c r="A11" s="14" t="s">
        <v>513</v>
      </c>
      <c r="B11" s="44" t="str">
        <f>_xll.xlqAAIIDescrip(A11&amp;B$2,1)</f>
        <v>EPS-Growth</v>
      </c>
      <c r="C11" s="2">
        <f>_xll.xlqAAII($C$3, $A11&amp;C$2,,$B$1)</f>
        <v>256</v>
      </c>
      <c r="D11" s="2">
        <f>_xll.xlqAAII($C$3, $A11&amp;D$2,,$B$1)</f>
        <v>47.2</v>
      </c>
      <c r="E11" s="2">
        <f>_xll.xlqAAII($C$3, $A11&amp;E$2,,$B$1)</f>
        <v>33.799999999999997</v>
      </c>
      <c r="F11" s="2">
        <f>_xll.xlqAAII($C$3, $A11&amp;F$2,,$B$1)</f>
        <v>11.9</v>
      </c>
      <c r="G11" s="2" t="str">
        <f>_xll.xlqAAII($C$3, $A11&amp;G$2,,$B$1)</f>
        <v>NA</v>
      </c>
      <c r="H11" s="2">
        <f>_xll.xlqAAII($C$3, $A11&amp;H$2,,$B$1)</f>
        <v>285.39999999999998</v>
      </c>
      <c r="I11" s="2">
        <f>_xll.xlqAAII($C$3, $A11&amp;I$2,,$B$1)</f>
        <v>851.7</v>
      </c>
      <c r="J11" s="2">
        <f>_xll.xlqAAII($C$3, $A11&amp;J$2,,$B$1)</f>
        <v>133.6</v>
      </c>
      <c r="K11" s="2">
        <f>_xll.xlqAAII($C$3, $A11&amp;K$2,,$B$1)</f>
        <v>451</v>
      </c>
    </row>
    <row r="12" spans="1:14" x14ac:dyDescent="0.25">
      <c r="A12" s="14" t="s">
        <v>514</v>
      </c>
      <c r="B12" s="44" t="str">
        <f>_xll.xlqAAIIDescrip(A12&amp;B$2,1)</f>
        <v>EPS Cont-Growth</v>
      </c>
      <c r="C12" s="2">
        <f>_xll.xlqAAII($C$3, $A12&amp;C$2,,$B$1)</f>
        <v>267.5</v>
      </c>
      <c r="D12" s="2">
        <f>_xll.xlqAAII($C$3, $A12&amp;D$2,,$B$1)</f>
        <v>47.6</v>
      </c>
      <c r="E12" s="2">
        <f>_xll.xlqAAII($C$3, $A12&amp;E$2,,$B$1)</f>
        <v>36.5</v>
      </c>
      <c r="F12" s="2">
        <f>_xll.xlqAAII($C$3, $A12&amp;F$2,,$B$1)</f>
        <v>12.2</v>
      </c>
      <c r="G12" s="2">
        <f>_xll.xlqAAII($C$3, $A12&amp;G$2,,$B$1)</f>
        <v>462.1</v>
      </c>
      <c r="H12" s="2">
        <f>_xll.xlqAAII($C$3, $A12&amp;H$2,,$B$1)</f>
        <v>314.39999999999998</v>
      </c>
      <c r="I12" s="2" t="str">
        <f>_xll.xlqAAII($C$3, $A12&amp;I$2,,$B$1)</f>
        <v>NA</v>
      </c>
      <c r="J12" s="2">
        <f>_xll.xlqAAII($C$3, $A12&amp;J$2,,$B$1)</f>
        <v>133.6</v>
      </c>
      <c r="K12" s="2">
        <f>_xll.xlqAAII($C$3, $A12&amp;K$2,,$B$1)</f>
        <v>441.6</v>
      </c>
      <c r="L12" s="2" t="str">
        <f>_xll.xlqAAII($C$3, $A12&amp;L$2,,$B$1)</f>
        <v>NA</v>
      </c>
      <c r="M12" s="2" t="str">
        <f>_xll.xlqAAII($C$3, $A12&amp;M$2,,$B$1)</f>
        <v>NA</v>
      </c>
      <c r="N12" s="2" t="str">
        <f>_xll.xlqAAII($C$3, $A12&amp;N$2,,$B$1)</f>
        <v>NA</v>
      </c>
    </row>
    <row r="13" spans="1:14" x14ac:dyDescent="0.25">
      <c r="A13" s="14" t="s">
        <v>515</v>
      </c>
      <c r="B13" s="44" t="str">
        <f>_xll.xlqAAIIDescrip(A13&amp;B$2,1)</f>
        <v>EPS Dil-Growth</v>
      </c>
      <c r="C13" s="2">
        <f>_xll.xlqAAII($C$3, $A13&amp;C$2,,$B$1)</f>
        <v>255</v>
      </c>
      <c r="D13" s="2">
        <f>_xll.xlqAAII($C$3, $A13&amp;D$2,,$B$1)</f>
        <v>47.1</v>
      </c>
      <c r="E13" s="2">
        <f>_xll.xlqAAII($C$3, $A13&amp;E$2,,$B$1)</f>
        <v>33.700000000000003</v>
      </c>
      <c r="F13" s="2">
        <f>_xll.xlqAAII($C$3, $A13&amp;F$2,,$B$1)</f>
        <v>11.8</v>
      </c>
      <c r="G13" s="2" t="str">
        <f>_xll.xlqAAII($C$3, $A13&amp;G$2,,$B$1)</f>
        <v>NA</v>
      </c>
      <c r="H13" s="2">
        <f>_xll.xlqAAII($C$3, $A13&amp;H$2,,$B$1)</f>
        <v>283.7</v>
      </c>
      <c r="I13" s="2">
        <f>_xll.xlqAAII($C$3, $A13&amp;I$2,,$B$1)</f>
        <v>833.6</v>
      </c>
      <c r="J13" s="2">
        <f>_xll.xlqAAII($C$3, $A13&amp;J$2,,$B$1)</f>
        <v>133.6</v>
      </c>
      <c r="K13" s="2">
        <f>_xll.xlqAAII($C$3, $A13&amp;K$2,,$B$1)</f>
        <v>451</v>
      </c>
    </row>
    <row r="14" spans="1:14" x14ac:dyDescent="0.25">
      <c r="A14" s="14" t="s">
        <v>516</v>
      </c>
      <c r="B14" s="44" t="str">
        <f>_xll.xlqAAIIDescrip(A14&amp;B$2,1)</f>
        <v>EPS Dil Cont-Growth</v>
      </c>
      <c r="C14" s="2">
        <f>_xll.xlqAAII($C$3, $A14&amp;C$2,,$B$1)</f>
        <v>266.5</v>
      </c>
      <c r="D14" s="2">
        <f>_xll.xlqAAII($C$3, $A14&amp;D$2,,$B$1)</f>
        <v>47.5</v>
      </c>
      <c r="E14" s="2">
        <f>_xll.xlqAAII($C$3, $A14&amp;E$2,,$B$1)</f>
        <v>36.299999999999997</v>
      </c>
      <c r="F14" s="2">
        <f>_xll.xlqAAII($C$3, $A14&amp;F$2,,$B$1)</f>
        <v>12.1</v>
      </c>
      <c r="G14" s="2">
        <f>_xll.xlqAAII($C$3, $A14&amp;G$2,,$B$1)</f>
        <v>458.2</v>
      </c>
      <c r="H14" s="2">
        <f>_xll.xlqAAII($C$3, $A14&amp;H$2,,$B$1)</f>
        <v>312.60000000000002</v>
      </c>
      <c r="I14" s="2" t="str">
        <f>_xll.xlqAAII($C$3, $A14&amp;I$2,,$B$1)</f>
        <v>NA</v>
      </c>
      <c r="J14" s="2">
        <f>_xll.xlqAAII($C$3, $A14&amp;J$2,,$B$1)</f>
        <v>133.6</v>
      </c>
      <c r="K14" s="2">
        <f>_xll.xlqAAII($C$3, $A14&amp;K$2,,$B$1)</f>
        <v>441.6</v>
      </c>
      <c r="L14" s="2" t="str">
        <f>_xll.xlqAAII($C$3, $A14&amp;L$2,,$B$1)</f>
        <v>NA</v>
      </c>
      <c r="M14" s="2" t="str">
        <f>_xll.xlqAAII($C$3, $A14&amp;M$2,,$B$1)</f>
        <v>NA</v>
      </c>
      <c r="N14" s="2" t="str">
        <f>_xll.xlqAAII($C$3, $A14&amp;N$2,,$B$1)</f>
        <v>NA</v>
      </c>
    </row>
    <row r="15" spans="1:14" x14ac:dyDescent="0.25">
      <c r="A15" s="14" t="s">
        <v>517</v>
      </c>
      <c r="B15" s="44" t="str">
        <f>_xll.xlqAAIIDescrip(A15&amp;B$2,1)</f>
        <v>Cash Flow-Growth</v>
      </c>
      <c r="C15" s="2">
        <f>_xll.xlqAAII($C$3, $A15&amp;C$2,,$B$1)</f>
        <v>68.099999999999994</v>
      </c>
      <c r="D15" s="2">
        <f>_xll.xlqAAII($C$3, $A15&amp;D$2,,$B$1)</f>
        <v>49.6</v>
      </c>
      <c r="E15" s="2">
        <f>_xll.xlqAAII($C$3, $A15&amp;E$2,,$B$1)</f>
        <v>11.3</v>
      </c>
      <c r="F15" s="2">
        <f>_xll.xlqAAII($C$3, $A15&amp;F$2,,$B$1)</f>
        <v>27.9</v>
      </c>
      <c r="G15" s="2" t="str">
        <f>_xll.xlqAAII($C$3, $A15&amp;G$2,,$B$1)</f>
        <v>NA</v>
      </c>
    </row>
    <row r="16" spans="1:14" x14ac:dyDescent="0.25">
      <c r="A16" s="14" t="s">
        <v>518</v>
      </c>
      <c r="B16" s="44" t="str">
        <f>_xll.xlqAAIIDescrip(A16&amp;B$2,1)</f>
        <v>Free Cash Flow-Growth</v>
      </c>
      <c r="C16" s="2" t="str">
        <f>_xll.xlqAAII($C$3, $A16&amp;C$2,,$B$1)</f>
        <v>NA</v>
      </c>
      <c r="D16" s="2">
        <f>_xll.xlqAAII($C$3, $A16&amp;D$2,,$B$1)</f>
        <v>-43</v>
      </c>
      <c r="E16" s="2">
        <f>_xll.xlqAAII($C$3, $A16&amp;E$2,,$B$1)</f>
        <v>-26.7</v>
      </c>
      <c r="F16" s="2">
        <f>_xll.xlqAAII($C$3, $A16&amp;F$2,,$B$1)</f>
        <v>-100.1</v>
      </c>
      <c r="G16" s="2" t="str">
        <f>_xll.xlqAAII($C$3, $A16&amp;G$2,,$B$1)</f>
        <v>NA</v>
      </c>
    </row>
    <row r="17" spans="1:7" x14ac:dyDescent="0.25">
      <c r="A17" s="14" t="s">
        <v>519</v>
      </c>
      <c r="B17" s="44" t="str">
        <f>_xll.xlqAAIIDescrip(A17&amp;B$2,1)</f>
        <v>Dividend-Growth</v>
      </c>
      <c r="C17" s="2">
        <f>_xll.xlqAAII($C$3, $A17&amp;C$2,,$B$1)</f>
        <v>0</v>
      </c>
      <c r="D17" s="2">
        <f>_xll.xlqAAII($C$3, $A17&amp;D$2,,$B$1)</f>
        <v>-20.6</v>
      </c>
      <c r="E17" s="2">
        <f>_xll.xlqAAII($C$3, $A17&amp;E$2,,$B$1)</f>
        <v>-12.9</v>
      </c>
      <c r="F17" s="2">
        <f>_xll.xlqAAII($C$3, $A17&amp;F$2,,$B$1)</f>
        <v>-9.4</v>
      </c>
      <c r="G17" s="2">
        <f>_xll.xlqAAII($C$3, $A17&amp;G$2,,$B$1)</f>
        <v>-100</v>
      </c>
    </row>
    <row r="18" spans="1:7" x14ac:dyDescent="0.25">
      <c r="A18" s="14"/>
      <c r="B18" s="44"/>
    </row>
    <row r="19" spans="1:7" s="1" customFormat="1" x14ac:dyDescent="0.25">
      <c r="A19" s="44" t="s">
        <v>549</v>
      </c>
      <c r="B19" s="44" t="s">
        <v>549</v>
      </c>
      <c r="C19" s="1" t="str">
        <f>_xll.xlqAAII($C$3,$A19,,$B$1)</f>
        <v>Iron &amp; Steel</v>
      </c>
    </row>
    <row r="20" spans="1:7" x14ac:dyDescent="0.25">
      <c r="A20" s="14" t="s">
        <v>550</v>
      </c>
      <c r="B20" s="44" t="str">
        <f>_xll.xlqAAIIDescrip(A20&amp;B$2,1)</f>
        <v>Industry Sales-Growth</v>
      </c>
      <c r="C20" s="2">
        <f>_xll.xlqAAII($C$3, $A20&amp;C$2,,$B$1)</f>
        <v>20.8</v>
      </c>
      <c r="D20" s="2">
        <f>_xll.xlqAAII($C$3, $A20&amp;D$2,,$B$1)</f>
        <v>7.1</v>
      </c>
      <c r="E20" s="2">
        <f>_xll.xlqAAII($C$3, $A20&amp;E$2,,$B$1)</f>
        <v>4</v>
      </c>
      <c r="F20" s="2">
        <f>_xll.xlqAAII($C$3, $A20&amp;F$2,,$B$1)</f>
        <v>2.6</v>
      </c>
      <c r="G20" s="2">
        <f>_xll.xlqAAII($C$3, $A20&amp;G$2,,$B$1)</f>
        <v>16.7</v>
      </c>
    </row>
    <row r="21" spans="1:7" x14ac:dyDescent="0.25">
      <c r="A21" s="14" t="s">
        <v>551</v>
      </c>
      <c r="B21" s="44" t="str">
        <f>_xll.xlqAAIIDescrip(A21&amp;B$2,1)</f>
        <v>Industry Gross Income-Growth</v>
      </c>
      <c r="C21" s="2">
        <f>_xll.xlqAAII($C$3, $A21&amp;C$2,,$B$1)</f>
        <v>32.200000000000003</v>
      </c>
      <c r="D21" s="2">
        <f>_xll.xlqAAII($C$3, $A21&amp;D$2,,$B$1)</f>
        <v>18.2</v>
      </c>
      <c r="E21" s="2">
        <f>_xll.xlqAAII($C$3, $A21&amp;E$2,,$B$1)</f>
        <v>6.5</v>
      </c>
      <c r="F21" s="2">
        <f>_xll.xlqAAII($C$3, $A21&amp;F$2,,$B$1)</f>
        <v>4.4000000000000004</v>
      </c>
      <c r="G21" s="2">
        <f>_xll.xlqAAII($C$3, $A21&amp;G$2,,$B$1)</f>
        <v>25.5</v>
      </c>
    </row>
    <row r="22" spans="1:7" x14ac:dyDescent="0.25">
      <c r="A22" s="14"/>
      <c r="B22" s="44"/>
    </row>
    <row r="23" spans="1:7" x14ac:dyDescent="0.25">
      <c r="A23" s="14"/>
      <c r="B23" s="44"/>
    </row>
    <row r="24" spans="1:7" x14ac:dyDescent="0.25">
      <c r="A24" s="14" t="s">
        <v>552</v>
      </c>
      <c r="B24" s="44" t="str">
        <f>_xll.xlqAAIIDescrip(A24&amp;B$2,1)</f>
        <v>Industry Net Income-Growth</v>
      </c>
      <c r="C24" s="2">
        <f>_xll.xlqAAII($C$3, $A24&amp;C$2,,$B$1)</f>
        <v>54.8</v>
      </c>
      <c r="D24" s="2">
        <f>_xll.xlqAAII($C$3, $A24&amp;D$2,,$B$1)</f>
        <v>38.299999999999997</v>
      </c>
      <c r="E24" s="2">
        <f>_xll.xlqAAII($C$3, $A24&amp;E$2,,$B$1)</f>
        <v>20.6</v>
      </c>
      <c r="F24" s="2">
        <f>_xll.xlqAAII($C$3, $A24&amp;F$2,,$B$1)</f>
        <v>5.3</v>
      </c>
      <c r="G24" s="2">
        <f>_xll.xlqAAII($C$3, $A24&amp;G$2,,$B$1)</f>
        <v>30.9</v>
      </c>
    </row>
    <row r="25" spans="1:7" x14ac:dyDescent="0.25">
      <c r="A25" s="14" t="s">
        <v>553</v>
      </c>
      <c r="B25" s="44" t="str">
        <f>_xll.xlqAAIIDescrip(A25&amp;B$2,1)</f>
        <v>Industry EPS-Growth</v>
      </c>
      <c r="C25" s="2">
        <f>_xll.xlqAAII($C$3, $A25&amp;C$2,,$B$1)</f>
        <v>58.9</v>
      </c>
      <c r="D25" s="2">
        <f>_xll.xlqAAII($C$3, $A25&amp;D$2,,$B$1)</f>
        <v>38</v>
      </c>
      <c r="E25" s="2">
        <f>_xll.xlqAAII($C$3, $A25&amp;E$2,,$B$1)</f>
        <v>16.2</v>
      </c>
      <c r="F25" s="2">
        <f>_xll.xlqAAII($C$3, $A25&amp;F$2,,$B$1)</f>
        <v>5</v>
      </c>
      <c r="G25" s="2">
        <f>_xll.xlqAAII($C$3, $A25&amp;G$2,,$B$1)</f>
        <v>37.4</v>
      </c>
    </row>
    <row r="26" spans="1:7" x14ac:dyDescent="0.25">
      <c r="A26" s="14" t="s">
        <v>554</v>
      </c>
      <c r="B26" s="44" t="str">
        <f>_xll.xlqAAIIDescrip(A26&amp;B$2,1)</f>
        <v>Industry EPS Cont-Growth</v>
      </c>
      <c r="C26" s="2">
        <f>_xll.xlqAAII($C$3, $A26&amp;C$2,,$B$1)</f>
        <v>63</v>
      </c>
      <c r="D26" s="2">
        <f>_xll.xlqAAII($C$3, $A26&amp;D$2,,$B$1)</f>
        <v>36.299999999999997</v>
      </c>
      <c r="E26" s="2">
        <f>_xll.xlqAAII($C$3, $A26&amp;E$2,,$B$1)</f>
        <v>11.5</v>
      </c>
      <c r="F26" s="2">
        <f>_xll.xlqAAII($C$3, $A26&amp;F$2,,$B$1)</f>
        <v>5</v>
      </c>
      <c r="G26" s="2">
        <f>_xll.xlqAAII($C$3, $A26&amp;G$2,,$B$1)</f>
        <v>48.4</v>
      </c>
    </row>
    <row r="27" spans="1:7" x14ac:dyDescent="0.25">
      <c r="A27" s="14" t="s">
        <v>555</v>
      </c>
      <c r="B27" s="44" t="str">
        <f>_xll.xlqAAIIDescrip(A27&amp;B$2,1)</f>
        <v>Industry EPS Dil Cont-Growth</v>
      </c>
      <c r="C27" s="2">
        <f>_xll.xlqAAII($C$3, $A27&amp;C$2,,$B$1)</f>
        <v>62.8</v>
      </c>
      <c r="D27" s="2">
        <f>_xll.xlqAAII($C$3, $A27&amp;D$2,,$B$1)</f>
        <v>36.299999999999997</v>
      </c>
      <c r="E27" s="2">
        <f>_xll.xlqAAII($C$3, $A27&amp;E$2,,$B$1)</f>
        <v>11.5</v>
      </c>
      <c r="F27" s="2">
        <f>_xll.xlqAAII($C$3, $A27&amp;F$2,,$B$1)</f>
        <v>5</v>
      </c>
      <c r="G27" s="2">
        <f>_xll.xlqAAII($C$3, $A27&amp;G$2,,$B$1)</f>
        <v>47.5</v>
      </c>
    </row>
    <row r="28" spans="1:7" x14ac:dyDescent="0.25">
      <c r="A28" s="14"/>
      <c r="B28" s="44"/>
    </row>
    <row r="29" spans="1:7" x14ac:dyDescent="0.25">
      <c r="A29" s="14" t="s">
        <v>556</v>
      </c>
      <c r="B29" s="44" t="str">
        <f>_xll.xlqAAIIDescrip(A29&amp;B$2,1)</f>
        <v>Industry Cash Flow-Growth</v>
      </c>
      <c r="C29" s="2">
        <f>_xll.xlqAAII($C$3, $A29&amp;C$2,,$B$1)</f>
        <v>21.2</v>
      </c>
      <c r="D29" s="2">
        <f>_xll.xlqAAII($C$3, $A29&amp;D$2,,$B$1)</f>
        <v>-11.7</v>
      </c>
      <c r="E29" s="2">
        <f>_xll.xlqAAII($C$3, $A29&amp;E$2,,$B$1)</f>
        <v>0.5</v>
      </c>
      <c r="F29" s="2">
        <f>_xll.xlqAAII($C$3, $A29&amp;F$2,,$B$1)</f>
        <v>-11.4</v>
      </c>
      <c r="G29" s="2">
        <f>_xll.xlqAAII($C$3, $A29&amp;G$2,,$B$1)</f>
        <v>59.1</v>
      </c>
    </row>
    <row r="30" spans="1:7" x14ac:dyDescent="0.25">
      <c r="A30" s="14" t="s">
        <v>557</v>
      </c>
      <c r="B30" s="44" t="str">
        <f>_xll.xlqAAIIDescrip(A30&amp;B$2,1)</f>
        <v>Industry Free Cash Flow-Growth</v>
      </c>
      <c r="C30" s="2">
        <f>_xll.xlqAAII($C$3, $A30&amp;C$2,,$B$1)</f>
        <v>16.7</v>
      </c>
      <c r="D30" s="2">
        <f>_xll.xlqAAII($C$3, $A30&amp;D$2,,$B$1)</f>
        <v>-14.3</v>
      </c>
      <c r="E30" s="2">
        <f>_xll.xlqAAII($C$3, $A30&amp;E$2,,$B$1)</f>
        <v>-2</v>
      </c>
      <c r="F30" s="2">
        <f>_xll.xlqAAII($C$3, $A30&amp;F$2,,$B$1)</f>
        <v>11.5</v>
      </c>
      <c r="G30" s="2">
        <f>_xll.xlqAAII($C$3, $A30&amp;G$2,,$B$1)</f>
        <v>31.4</v>
      </c>
    </row>
    <row r="31" spans="1:7" x14ac:dyDescent="0.25">
      <c r="A31" s="14" t="s">
        <v>558</v>
      </c>
      <c r="B31" s="44" t="str">
        <f>_xll.xlqAAIIDescrip(A31&amp;B$2,1)</f>
        <v>Industry Dividend-Growth</v>
      </c>
      <c r="C31" s="2">
        <f>_xll.xlqAAII($C$3, $A31&amp;C$2,,$B$1)</f>
        <v>0.4</v>
      </c>
      <c r="D31" s="2">
        <f>_xll.xlqAAII($C$3, $A31&amp;D$2,,$B$1)</f>
        <v>0</v>
      </c>
      <c r="E31" s="2">
        <f>_xll.xlqAAII($C$3, $A31&amp;E$2,,$B$1)</f>
        <v>0</v>
      </c>
      <c r="F31" s="2">
        <f>_xll.xlqAAII($C$3, $A31&amp;F$2,,$B$1)</f>
        <v>0</v>
      </c>
      <c r="G31" s="2">
        <f>_xll.xlqAAII($C$3, $A31&amp;G$2,,$B$1)</f>
        <v>0</v>
      </c>
    </row>
    <row r="33" spans="1:7" s="1" customFormat="1" x14ac:dyDescent="0.25">
      <c r="A33" s="44" t="s">
        <v>559</v>
      </c>
      <c r="B33" s="44" t="s">
        <v>559</v>
      </c>
      <c r="C33" s="1" t="str">
        <f>_xll.xlqAAII($C$3,$A33,,$B$1)</f>
        <v>Basic Materials</v>
      </c>
    </row>
    <row r="34" spans="1:7" x14ac:dyDescent="0.25">
      <c r="A34" s="14" t="s">
        <v>560</v>
      </c>
      <c r="B34" s="44" t="str">
        <f>_xll.xlqAAIIDescrip(A34&amp;B$2,1)</f>
        <v>Sector Sales-Growth</v>
      </c>
      <c r="C34" s="2">
        <f>_xll.xlqAAII($C$3, $A34&amp;C$2,,$B$1)</f>
        <v>9</v>
      </c>
      <c r="D34" s="2">
        <f>_xll.xlqAAII($C$3, $A34&amp;D$2,,$B$1)</f>
        <v>6.1</v>
      </c>
      <c r="E34" s="2">
        <f>_xll.xlqAAII($C$3, $A34&amp;E$2,,$B$1)</f>
        <v>3.2</v>
      </c>
      <c r="F34" s="2">
        <f>_xll.xlqAAII($C$3, $A34&amp;F$2,,$B$1)</f>
        <v>2.4</v>
      </c>
      <c r="G34" s="2">
        <f>_xll.xlqAAII($C$3, $A34&amp;G$2,,$B$1)</f>
        <v>5.9</v>
      </c>
    </row>
    <row r="35" spans="1:7" x14ac:dyDescent="0.25">
      <c r="A35" s="14" t="s">
        <v>561</v>
      </c>
      <c r="B35" s="44" t="str">
        <f>_xll.xlqAAIIDescrip(A35&amp;B$2,1)</f>
        <v>Sector Gross Income-Growth</v>
      </c>
      <c r="C35" s="2">
        <f>_xll.xlqAAII($C$3, $A35&amp;C$2,,$B$1)</f>
        <v>9.1</v>
      </c>
      <c r="D35" s="2">
        <f>_xll.xlqAAII($C$3, $A35&amp;D$2,,$B$1)</f>
        <v>9.8000000000000007</v>
      </c>
      <c r="E35" s="2">
        <f>_xll.xlqAAII($C$3, $A35&amp;E$2,,$B$1)</f>
        <v>5.4</v>
      </c>
      <c r="F35" s="2">
        <f>_xll.xlqAAII($C$3, $A35&amp;F$2,,$B$1)</f>
        <v>2.8</v>
      </c>
      <c r="G35" s="2">
        <f>_xll.xlqAAII($C$3, $A35&amp;G$2,,$B$1)</f>
        <v>2</v>
      </c>
    </row>
    <row r="36" spans="1:7" x14ac:dyDescent="0.25">
      <c r="A36" s="14"/>
      <c r="B36" s="44"/>
    </row>
    <row r="37" spans="1:7" x14ac:dyDescent="0.25">
      <c r="A37" s="14"/>
      <c r="B37" s="44"/>
    </row>
    <row r="38" spans="1:7" x14ac:dyDescent="0.25">
      <c r="A38" s="14" t="s">
        <v>562</v>
      </c>
      <c r="B38" s="44" t="str">
        <f>_xll.xlqAAIIDescrip(A38&amp;B$2,1)</f>
        <v>Sector Net Income-Growth</v>
      </c>
      <c r="C38" s="2">
        <f>_xll.xlqAAII($C$3, $A38&amp;C$2,,$B$1)</f>
        <v>1.2</v>
      </c>
      <c r="D38" s="2">
        <f>_xll.xlqAAII($C$3, $A38&amp;D$2,,$B$1)</f>
        <v>17.100000000000001</v>
      </c>
      <c r="E38" s="2">
        <f>_xll.xlqAAII($C$3, $A38&amp;E$2,,$B$1)</f>
        <v>8.1</v>
      </c>
      <c r="F38" s="2">
        <f>_xll.xlqAAII($C$3, $A38&amp;F$2,,$B$1)</f>
        <v>2.7</v>
      </c>
      <c r="G38" s="2">
        <f>_xll.xlqAAII($C$3, $A38&amp;G$2,,$B$1)</f>
        <v>1.6</v>
      </c>
    </row>
    <row r="39" spans="1:7" x14ac:dyDescent="0.25">
      <c r="A39" s="14" t="s">
        <v>563</v>
      </c>
      <c r="B39" s="44" t="str">
        <f>_xll.xlqAAIIDescrip(A39&amp;B$2,1)</f>
        <v>Sector EPS-Growth</v>
      </c>
      <c r="C39" s="2">
        <f>_xll.xlqAAII($C$3, $A39&amp;C$2,,$B$1)</f>
        <v>10.6</v>
      </c>
      <c r="D39" s="2">
        <f>_xll.xlqAAII($C$3, $A39&amp;D$2,,$B$1)</f>
        <v>21.4</v>
      </c>
      <c r="E39" s="2">
        <f>_xll.xlqAAII($C$3, $A39&amp;E$2,,$B$1)</f>
        <v>12.3</v>
      </c>
      <c r="F39" s="2">
        <f>_xll.xlqAAII($C$3, $A39&amp;F$2,,$B$1)</f>
        <v>5.8</v>
      </c>
      <c r="G39" s="2">
        <f>_xll.xlqAAII($C$3, $A39&amp;G$2,,$B$1)</f>
        <v>8.1</v>
      </c>
    </row>
    <row r="40" spans="1:7" x14ac:dyDescent="0.25">
      <c r="A40" s="14" t="s">
        <v>564</v>
      </c>
      <c r="B40" s="44" t="str">
        <f>_xll.xlqAAIIDescrip(A40&amp;B$2,1)</f>
        <v>Sector EPS Cont-Growth</v>
      </c>
      <c r="C40" s="2">
        <f>_xll.xlqAAII($C$3, $A40&amp;C$2,,$B$1)</f>
        <v>10.8</v>
      </c>
      <c r="D40" s="2">
        <f>_xll.xlqAAII($C$3, $A40&amp;D$2,,$B$1)</f>
        <v>22</v>
      </c>
      <c r="E40" s="2">
        <f>_xll.xlqAAII($C$3, $A40&amp;E$2,,$B$1)</f>
        <v>12.8</v>
      </c>
      <c r="F40" s="2">
        <f>_xll.xlqAAII($C$3, $A40&amp;F$2,,$B$1)</f>
        <v>5.6</v>
      </c>
      <c r="G40" s="2">
        <f>_xll.xlqAAII($C$3, $A40&amp;G$2,,$B$1)</f>
        <v>8.4</v>
      </c>
    </row>
    <row r="41" spans="1:7" x14ac:dyDescent="0.25">
      <c r="A41" s="14" t="s">
        <v>565</v>
      </c>
      <c r="B41" s="44" t="str">
        <f>_xll.xlqAAIIDescrip(A41&amp;B$2,1)</f>
        <v>Sector EPS Dil Cont-Growth</v>
      </c>
      <c r="C41" s="2">
        <f>_xll.xlqAAII($C$3, $A41&amp;C$2,,$B$1)</f>
        <v>11.3</v>
      </c>
      <c r="D41" s="2">
        <f>_xll.xlqAAII($C$3, $A41&amp;D$2,,$B$1)</f>
        <v>22.1</v>
      </c>
      <c r="E41" s="2">
        <f>_xll.xlqAAII($C$3, $A41&amp;E$2,,$B$1)</f>
        <v>12.8</v>
      </c>
      <c r="F41" s="2">
        <f>_xll.xlqAAII($C$3, $A41&amp;F$2,,$B$1)</f>
        <v>5.8</v>
      </c>
      <c r="G41" s="2">
        <f>_xll.xlqAAII($C$3, $A41&amp;G$2,,$B$1)</f>
        <v>8.1</v>
      </c>
    </row>
    <row r="42" spans="1:7" x14ac:dyDescent="0.25">
      <c r="A42" s="14"/>
      <c r="B42" s="44"/>
    </row>
    <row r="43" spans="1:7" x14ac:dyDescent="0.25">
      <c r="A43" s="14" t="s">
        <v>566</v>
      </c>
      <c r="B43" s="44" t="str">
        <f>_xll.xlqAAIIDescrip(A43&amp;B$2,1)</f>
        <v>Sector Cash Flow-Growth</v>
      </c>
      <c r="C43" s="2">
        <f>_xll.xlqAAII($C$3, $A43&amp;C$2,,$B$1)</f>
        <v>-67.900000000000006</v>
      </c>
      <c r="D43" s="2">
        <f>_xll.xlqAAII($C$3, $A43&amp;D$2,,$B$1)</f>
        <v>0</v>
      </c>
      <c r="E43" s="2">
        <f>_xll.xlqAAII($C$3, $A43&amp;E$2,,$B$1)</f>
        <v>-2.5</v>
      </c>
      <c r="F43" s="2">
        <f>_xll.xlqAAII($C$3, $A43&amp;F$2,,$B$1)</f>
        <v>-10.4</v>
      </c>
      <c r="G43" s="2">
        <f>_xll.xlqAAII($C$3, $A43&amp;G$2,,$B$1)</f>
        <v>-21.3</v>
      </c>
    </row>
    <row r="44" spans="1:7" x14ac:dyDescent="0.25">
      <c r="A44" s="14" t="s">
        <v>567</v>
      </c>
      <c r="B44" s="44" t="str">
        <f>_xll.xlqAAIIDescrip(A44&amp;B$2,1)</f>
        <v>Sector Free Cash Flow-Growth</v>
      </c>
      <c r="C44" s="2">
        <f>_xll.xlqAAII($C$3, $A44&amp;C$2,,$B$1)</f>
        <v>0.1</v>
      </c>
      <c r="D44" s="2">
        <f>_xll.xlqAAII($C$3, $A44&amp;D$2,,$B$1)</f>
        <v>6.4</v>
      </c>
      <c r="E44" s="2">
        <f>_xll.xlqAAII($C$3, $A44&amp;E$2,,$B$1)</f>
        <v>11.8</v>
      </c>
      <c r="F44" s="2">
        <f>_xll.xlqAAII($C$3, $A44&amp;F$2,,$B$1)</f>
        <v>10.8</v>
      </c>
      <c r="G44" s="2">
        <f>_xll.xlqAAII($C$3, $A44&amp;G$2,,$B$1)</f>
        <v>-2.6</v>
      </c>
    </row>
    <row r="45" spans="1:7" x14ac:dyDescent="0.25">
      <c r="A45" s="14" t="s">
        <v>568</v>
      </c>
      <c r="B45" s="44" t="str">
        <f>_xll.xlqAAIIDescrip(A45&amp;B$2,1)</f>
        <v>Sector Dividend-Growth</v>
      </c>
      <c r="C45" s="2">
        <f>_xll.xlqAAII($C$3, $A45&amp;C$2,,$B$1)</f>
        <v>5.2</v>
      </c>
      <c r="D45" s="2">
        <f>_xll.xlqAAII($C$3, $A45&amp;D$2,,$B$1)</f>
        <v>5</v>
      </c>
      <c r="E45" s="2">
        <f>_xll.xlqAAII($C$3, $A45&amp;E$2,,$B$1)</f>
        <v>2.8</v>
      </c>
      <c r="F45" s="2">
        <f>_xll.xlqAAII($C$3, $A45&amp;F$2,,$B$1)</f>
        <v>3.5</v>
      </c>
      <c r="G45" s="2">
        <f>_xll.xlqAAII($C$3, $A45&amp;G$2,,$B$1)</f>
        <v>3.9</v>
      </c>
    </row>
    <row r="47" spans="1:7" x14ac:dyDescent="0.25">
      <c r="B47" s="1" t="s">
        <v>686</v>
      </c>
    </row>
    <row r="48" spans="1:7" x14ac:dyDescent="0.25">
      <c r="A48" s="14" t="s">
        <v>687</v>
      </c>
      <c r="B48" s="44" t="str">
        <f>_xll.xlqAAIIDescrip(A48&amp;B$2,1)</f>
        <v>% Rank-Sales Growth</v>
      </c>
      <c r="C48" s="2">
        <f>_xll.xlqAAII($C$3, $A48&amp;C$2,,$B$1)</f>
        <v>92</v>
      </c>
      <c r="D48" s="2">
        <f>_xll.xlqAAII($C$3, $A48&amp;D$2,,$B$1)</f>
        <v>82</v>
      </c>
      <c r="E48" s="2">
        <f>_xll.xlqAAII($C$3, $A48&amp;E$2,,$B$1)</f>
        <v>64</v>
      </c>
      <c r="F48" s="2">
        <f>_xll.xlqAAII($C$3, $A48&amp;F$2,,$B$1)</f>
        <v>56</v>
      </c>
      <c r="G48" s="2">
        <f>_xll.xlqAAII($C$3, $A48&amp;G$2,,$B$1)</f>
        <v>92</v>
      </c>
    </row>
    <row r="49" spans="1:7" x14ac:dyDescent="0.25">
      <c r="A49" s="14" t="s">
        <v>688</v>
      </c>
      <c r="B49" s="44" t="str">
        <f>_xll.xlqAAIIDescrip(A49&amp;B$2,1)</f>
        <v>% Rank-Gross Income Growth</v>
      </c>
      <c r="C49" s="2">
        <f>_xll.xlqAAII($C$3, $A49&amp;C$2,,$B$1)</f>
        <v>91</v>
      </c>
      <c r="D49" s="2">
        <f>_xll.xlqAAII($C$3, $A49&amp;D$2,,$B$1)</f>
        <v>90</v>
      </c>
      <c r="E49" s="2">
        <f>_xll.xlqAAII($C$3, $A49&amp;E$2,,$B$1)</f>
        <v>69</v>
      </c>
      <c r="F49" s="2">
        <f>_xll.xlqAAII($C$3, $A49&amp;F$2,,$B$1)</f>
        <v>65</v>
      </c>
    </row>
    <row r="50" spans="1:7" x14ac:dyDescent="0.25">
      <c r="A50" s="14"/>
      <c r="B50" s="44"/>
    </row>
    <row r="51" spans="1:7" x14ac:dyDescent="0.25">
      <c r="A51" s="14"/>
      <c r="B51" s="44"/>
    </row>
    <row r="52" spans="1:7" x14ac:dyDescent="0.25">
      <c r="A52" s="14" t="s">
        <v>689</v>
      </c>
      <c r="B52" s="44" t="str">
        <f>_xll.xlqAAIIDescrip(A52&amp;B$2,1)</f>
        <v>% Rank-Net Income Growth</v>
      </c>
      <c r="C52" s="2">
        <f>_xll.xlqAAII($C$3, $A52&amp;C$2,,$B$1)</f>
        <v>95</v>
      </c>
      <c r="D52" s="2">
        <f>_xll.xlqAAII($C$3, $A52&amp;D$2,,$B$1)</f>
        <v>87</v>
      </c>
      <c r="E52" s="2">
        <f>_xll.xlqAAII($C$3, $A52&amp;E$2,,$B$1)</f>
        <v>89</v>
      </c>
      <c r="F52" s="2">
        <f>_xll.xlqAAII($C$3, $A52&amp;F$2,,$B$1)</f>
        <v>71</v>
      </c>
    </row>
    <row r="53" spans="1:7" x14ac:dyDescent="0.25">
      <c r="A53" s="14" t="s">
        <v>690</v>
      </c>
      <c r="B53" s="44" t="str">
        <f>_xll.xlqAAIIDescrip(A53&amp;B$2,1)</f>
        <v>% Rank-EPS Growth</v>
      </c>
      <c r="C53" s="2">
        <f>_xll.xlqAAII($C$3, $A53&amp;C$2,,$B$1)</f>
        <v>95</v>
      </c>
      <c r="D53" s="2">
        <f>_xll.xlqAAII($C$3, $A53&amp;D$2,,$B$1)</f>
        <v>85</v>
      </c>
      <c r="E53" s="2">
        <f>_xll.xlqAAII($C$3, $A53&amp;E$2,,$B$1)</f>
        <v>85</v>
      </c>
      <c r="F53" s="2">
        <f>_xll.xlqAAII($C$3, $A53&amp;F$2,,$B$1)</f>
        <v>61</v>
      </c>
      <c r="G53" s="2" t="str">
        <f>_xll.xlqAAII($C$3, $A53&amp;G$2,,$B$1)</f>
        <v>NA</v>
      </c>
    </row>
    <row r="54" spans="1:7" x14ac:dyDescent="0.25">
      <c r="A54" s="14" t="s">
        <v>691</v>
      </c>
      <c r="B54" s="44" t="str">
        <f>_xll.xlqAAIIDescrip(A54&amp;B$2,1)</f>
        <v>% Rank-EPS Cont Growth</v>
      </c>
      <c r="C54" s="2">
        <f>_xll.xlqAAII($C$3, $A54&amp;C$2,,$B$1)</f>
        <v>96</v>
      </c>
      <c r="D54" s="2">
        <f>_xll.xlqAAII($C$3, $A54&amp;D$2,,$B$1)</f>
        <v>85</v>
      </c>
      <c r="E54" s="2">
        <f>_xll.xlqAAII($C$3, $A54&amp;E$2,,$B$1)</f>
        <v>87</v>
      </c>
      <c r="F54" s="2">
        <f>_xll.xlqAAII($C$3, $A54&amp;F$2,,$B$1)</f>
        <v>63</v>
      </c>
      <c r="G54" s="2">
        <f>_xll.xlqAAII($C$3, $A54&amp;G$2,,$B$1)</f>
        <v>98</v>
      </c>
    </row>
    <row r="55" spans="1:7" x14ac:dyDescent="0.25">
      <c r="A55" s="14" t="s">
        <v>1077</v>
      </c>
      <c r="B55" s="44" t="str">
        <f>_xll.xlqAAIIDescrip(A55&amp;B$2,1)</f>
        <v>% Rank-EPS Dil Cont-Growth</v>
      </c>
      <c r="C55" s="2">
        <f>_xll.xlqAAII($C$3, $A55&amp;C$2,,$B$1)</f>
        <v>96</v>
      </c>
      <c r="D55" s="2">
        <f>_xll.xlqAAII($C$3, $A55&amp;D$2,,$B$1)</f>
        <v>85</v>
      </c>
      <c r="E55" s="2">
        <f>_xll.xlqAAII($C$3, $A55&amp;E$2,,$B$1)</f>
        <v>87</v>
      </c>
      <c r="F55" s="2">
        <f>_xll.xlqAAII($C$3, $A55&amp;F$2,,$B$1)</f>
        <v>62</v>
      </c>
      <c r="G55" s="2">
        <f>_xll.xlqAAII($C$3, $A55&amp;G$2,,$B$1)</f>
        <v>98</v>
      </c>
    </row>
    <row r="56" spans="1:7" x14ac:dyDescent="0.25">
      <c r="A56" s="14"/>
      <c r="B56" s="44"/>
    </row>
    <row r="57" spans="1:7" x14ac:dyDescent="0.25">
      <c r="A57" s="14" t="s">
        <v>692</v>
      </c>
      <c r="B57" s="44" t="str">
        <f>_xll.xlqAAIIDescrip(A57&amp;B$2,1)</f>
        <v>% Rank-Cash Flow Growth</v>
      </c>
      <c r="C57" s="2">
        <f>_xll.xlqAAII($C$3, $A57&amp;C$2,,$B$1)</f>
        <v>59</v>
      </c>
      <c r="D57" s="2">
        <f>_xll.xlqAAII($C$3, $A57&amp;D$2,,$B$1)</f>
        <v>78</v>
      </c>
      <c r="E57" s="2">
        <f>_xll.xlqAAII($C$3, $A57&amp;E$2,,$B$1)</f>
        <v>59</v>
      </c>
      <c r="F57" s="2">
        <f>_xll.xlqAAII($C$3, $A57&amp;F$2,,$B$1)</f>
        <v>85</v>
      </c>
      <c r="G57" s="2" t="str">
        <f>_xll.xlqAAII($C$3, $A57&amp;G$2,,$B$1)</f>
        <v>NA</v>
      </c>
    </row>
    <row r="58" spans="1:7" x14ac:dyDescent="0.25">
      <c r="A58" s="14" t="s">
        <v>693</v>
      </c>
      <c r="B58" s="44" t="str">
        <f>_xll.xlqAAIIDescrip(A58&amp;B$2,1)</f>
        <v>% Rank-Free Cash Flow Growth</v>
      </c>
      <c r="C58" s="2" t="str">
        <f>_xll.xlqAAII($C$3, $A58&amp;C$2,,$B$1)</f>
        <v>NA</v>
      </c>
      <c r="D58" s="2">
        <f>_xll.xlqAAII($C$3, $A58&amp;D$2,,$B$1)</f>
        <v>13</v>
      </c>
      <c r="E58" s="2">
        <f>_xll.xlqAAII($C$3, $A58&amp;E$2,,$B$1)</f>
        <v>13</v>
      </c>
      <c r="F58" s="2">
        <f>_xll.xlqAAII($C$3, $A58&amp;F$2,,$B$1)</f>
        <v>0</v>
      </c>
      <c r="G58" s="2" t="str">
        <f>_xll.xlqAAII($C$3, $A58&amp;G$2,,$B$1)</f>
        <v>NA</v>
      </c>
    </row>
    <row r="59" spans="1:7" x14ac:dyDescent="0.25">
      <c r="A59" s="14" t="s">
        <v>694</v>
      </c>
      <c r="B59" s="44" t="str">
        <f>_xll.xlqAAIIDescrip(A59&amp;B$2,1)</f>
        <v>% Rank-Dividend Growth</v>
      </c>
      <c r="C59" s="2">
        <f>_xll.xlqAAII($C$3, $A59&amp;C$2,,$B$1)</f>
        <v>12</v>
      </c>
      <c r="D59" s="2">
        <f>_xll.xlqAAII($C$3, $A59&amp;D$2,,$B$1)</f>
        <v>13</v>
      </c>
      <c r="E59" s="2">
        <f>_xll.xlqAAII($C$3, $A59&amp;E$2,,$B$1)</f>
        <v>17</v>
      </c>
      <c r="F59" s="2">
        <f>_xll.xlqAAII($C$3, $A59&amp;F$2,,$B$1)</f>
        <v>18</v>
      </c>
      <c r="G59" s="2">
        <f>_xll.xlqAAII($C$3, $A59&amp;G$2,,$B$1)</f>
        <v>0</v>
      </c>
    </row>
  </sheetData>
  <phoneticPr fontId="2" type="noConversion"/>
  <pageMargins left="0.75" right="0.75" top="1" bottom="1" header="0.5" footer="0.5"/>
  <pageSetup paperSize="9"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4"/>
  <sheetViews>
    <sheetView workbookViewId="0">
      <selection activeCell="A6" sqref="A6"/>
    </sheetView>
  </sheetViews>
  <sheetFormatPr defaultRowHeight="15" x14ac:dyDescent="0.25"/>
  <cols>
    <col min="1" max="1" width="27.42578125" style="2" bestFit="1" customWidth="1"/>
    <col min="2" max="2" width="30.7109375" style="1" bestFit="1" customWidth="1"/>
    <col min="3" max="3" width="11.28515625" style="2" customWidth="1"/>
    <col min="4" max="4" width="10.85546875" style="2" bestFit="1" customWidth="1"/>
    <col min="5" max="5" width="11" style="2" customWidth="1"/>
    <col min="6" max="7" width="8.5703125" style="2" bestFit="1" customWidth="1"/>
    <col min="8" max="15" width="10.7109375" style="2" bestFit="1" customWidth="1"/>
    <col min="16" max="16" width="13.140625" style="2" customWidth="1"/>
    <col min="17" max="17" width="10.7109375" style="2" bestFit="1" customWidth="1"/>
    <col min="18" max="16384" width="9.140625" style="2"/>
  </cols>
  <sheetData>
    <row r="1" spans="1:17" x14ac:dyDescent="0.25">
      <c r="A1" s="2" t="s">
        <v>613</v>
      </c>
      <c r="B1" s="1">
        <v>0</v>
      </c>
      <c r="C1" s="2">
        <v>1</v>
      </c>
      <c r="D1" s="2">
        <v>2</v>
      </c>
      <c r="E1" s="2">
        <v>3</v>
      </c>
      <c r="F1" s="2">
        <v>4</v>
      </c>
      <c r="G1" s="2">
        <v>5</v>
      </c>
      <c r="H1" s="2">
        <v>1</v>
      </c>
      <c r="I1" s="2">
        <v>2</v>
      </c>
      <c r="J1" s="2">
        <v>3</v>
      </c>
      <c r="K1" s="2">
        <v>4</v>
      </c>
      <c r="L1" s="2">
        <v>5</v>
      </c>
      <c r="M1" s="2">
        <v>6</v>
      </c>
      <c r="N1" s="2">
        <v>7</v>
      </c>
    </row>
    <row r="2" spans="1:17" s="1" customFormat="1" x14ac:dyDescent="0.25">
      <c r="D2" s="1" t="s">
        <v>115</v>
      </c>
      <c r="E2" s="1" t="s">
        <v>118</v>
      </c>
      <c r="F2" s="1" t="s">
        <v>119</v>
      </c>
      <c r="G2" s="1" t="s">
        <v>122</v>
      </c>
      <c r="H2" s="1" t="s">
        <v>130</v>
      </c>
      <c r="I2" s="1" t="s">
        <v>130</v>
      </c>
      <c r="J2" s="1" t="s">
        <v>130</v>
      </c>
      <c r="K2" s="1" t="s">
        <v>130</v>
      </c>
      <c r="L2" s="1" t="s">
        <v>130</v>
      </c>
      <c r="M2" s="1" t="s">
        <v>130</v>
      </c>
      <c r="N2" s="1" t="s">
        <v>130</v>
      </c>
      <c r="O2" s="1" t="s">
        <v>131</v>
      </c>
      <c r="P2" s="1" t="s">
        <v>132</v>
      </c>
      <c r="Q2" s="1" t="s">
        <v>133</v>
      </c>
    </row>
    <row r="3" spans="1:17" s="1" customFormat="1" x14ac:dyDescent="0.25">
      <c r="B3" s="1" t="s">
        <v>542</v>
      </c>
      <c r="C3" s="17" t="s">
        <v>543</v>
      </c>
      <c r="E3" s="2" t="str">
        <f>_xll.xlqAAII($C$3,"name")</f>
        <v>Microsoft Corporation</v>
      </c>
    </row>
    <row r="4" spans="1:17" s="1" customFormat="1" x14ac:dyDescent="0.25">
      <c r="C4" s="17"/>
    </row>
    <row r="5" spans="1:17" s="33" customFormat="1" ht="15.75" thickBot="1" x14ac:dyDescent="0.3">
      <c r="C5" s="33" t="s">
        <v>198</v>
      </c>
      <c r="D5" s="33" t="s">
        <v>116</v>
      </c>
      <c r="E5" s="33" t="s">
        <v>117</v>
      </c>
      <c r="F5" s="33" t="s">
        <v>120</v>
      </c>
      <c r="G5" s="33" t="s">
        <v>121</v>
      </c>
      <c r="H5" s="33" t="s">
        <v>123</v>
      </c>
      <c r="I5" s="33" t="s">
        <v>124</v>
      </c>
      <c r="J5" s="33" t="s">
        <v>125</v>
      </c>
      <c r="K5" s="33" t="s">
        <v>126</v>
      </c>
      <c r="L5" s="33" t="s">
        <v>127</v>
      </c>
      <c r="M5" s="33" t="s">
        <v>128</v>
      </c>
      <c r="N5" s="33" t="s">
        <v>129</v>
      </c>
      <c r="O5" s="33" t="s">
        <v>134</v>
      </c>
      <c r="P5" s="33" t="s">
        <v>135</v>
      </c>
      <c r="Q5" s="33" t="s">
        <v>136</v>
      </c>
    </row>
    <row r="6" spans="1:17" x14ac:dyDescent="0.25">
      <c r="A6" s="14" t="s">
        <v>813</v>
      </c>
      <c r="B6" s="44" t="str">
        <f>_xll.xlqAAIIDescrip(A6)</f>
        <v>PE / EPS</v>
      </c>
      <c r="C6" s="2">
        <f>_xll.xlqAAII($C$3, $A6&amp;C$2,,$B$1)</f>
        <v>31</v>
      </c>
      <c r="D6" s="2">
        <f>_xll.xlqAAII($C$3, $A6&amp;D$2,,$B$1)</f>
        <v>27.9</v>
      </c>
      <c r="E6" s="2">
        <f>_xll.xlqAAII($C$3, $A6&amp;E$2,,$B$1)</f>
        <v>23.5</v>
      </c>
      <c r="F6" s="2">
        <f>_xll.xlqAAII($C$3, $A6&amp;F$2,,$B$1)</f>
        <v>23.9</v>
      </c>
      <c r="G6" s="2">
        <f>_xll.xlqAAII($C$3, $A6&amp;G$2,,$B$1)</f>
        <v>21</v>
      </c>
      <c r="H6" s="2">
        <f>_xll.xlqAAII($C$3, $A6&amp;H$2,H$1,$B$1)</f>
        <v>25.7</v>
      </c>
      <c r="I6" s="2">
        <f>_xll.xlqAAII($C$3, $A6&amp;I$2,I$1,$B$1)</f>
        <v>23</v>
      </c>
      <c r="J6" s="2">
        <f>_xll.xlqAAII($C$3, $A6&amp;J$2,J$1,$B$1)</f>
        <v>21.9</v>
      </c>
      <c r="K6" s="2">
        <f>_xll.xlqAAII($C$3, $A6&amp;K$2,K$1,$B$1)</f>
        <v>32.700000000000003</v>
      </c>
      <c r="L6" s="2">
        <f>_xll.xlqAAII($C$3, $A6&amp;L$2,L$1,$B$1)</f>
        <v>16.100000000000001</v>
      </c>
      <c r="M6" s="2">
        <f>_xll.xlqAAII($C$3, $A6&amp;M$2,M$1,$B$1)</f>
        <v>12.6</v>
      </c>
      <c r="N6" s="2">
        <f>_xll.xlqAAII($C$3, $A6&amp;N$2,N$1,$B$1)</f>
        <v>14.8</v>
      </c>
      <c r="O6" s="2">
        <f>_xll.xlqAAII($C$3, $A6&amp;O$2,,$B$1)</f>
        <v>30.3</v>
      </c>
      <c r="P6" s="2">
        <f>_xll.xlqAAII($C$3, $A6&amp;P$2,,$B$1)</f>
        <v>27.2</v>
      </c>
      <c r="Q6" s="2">
        <f>_xll.xlqAAII($C$3, $A6&amp;Q$2,,$B$1)</f>
        <v>23.6</v>
      </c>
    </row>
    <row r="7" spans="1:17" x14ac:dyDescent="0.25">
      <c r="A7" s="14" t="s">
        <v>814</v>
      </c>
      <c r="B7" s="44" t="str">
        <f>_xll.xlqAAIIDescrip(A7)</f>
        <v>Price/Book</v>
      </c>
      <c r="C7" s="2">
        <f>_xll.xlqAAII($C$3, $A7&amp;C$2,,$B$1)</f>
        <v>11.23</v>
      </c>
      <c r="D7" s="2">
        <f>_xll.xlqAAII($C$3, $A7&amp;D$2,,$B$1)</f>
        <v>10.31</v>
      </c>
      <c r="E7" s="2">
        <f>_xll.xlqAAII($C$3, $A7&amp;E$2,,$B$1)</f>
        <v>7.36</v>
      </c>
      <c r="F7" s="2">
        <f>_xll.xlqAAII($C$3, $A7&amp;F$2,,$B$1)</f>
        <v>6.18</v>
      </c>
      <c r="G7" s="2">
        <f>_xll.xlqAAII($C$3, $A7&amp;G$2,,$B$1)</f>
        <v>5.45</v>
      </c>
      <c r="H7" s="2">
        <f>_xll.xlqAAII($C$3, $A7&amp;H$2,H$1,$B$1)</f>
        <v>9.31</v>
      </c>
      <c r="I7" s="2">
        <f>_xll.xlqAAII($C$3, $A7&amp;I$2,I$1,$B$1)</f>
        <v>6.6</v>
      </c>
      <c r="J7" s="2">
        <f>_xll.xlqAAII($C$3, $A7&amp;J$2,J$1,$B$1)</f>
        <v>6.17</v>
      </c>
      <c r="K7" s="2">
        <f>_xll.xlqAAII($C$3, $A7&amp;K$2,K$1,$B$1)</f>
        <v>4.93</v>
      </c>
      <c r="L7" s="2">
        <f>_xll.xlqAAII($C$3, $A7&amp;L$2,L$1,$B$1)</f>
        <v>3.91</v>
      </c>
      <c r="M7" s="2">
        <f>_xll.xlqAAII($C$3, $A7&amp;M$2,M$1,$B$1)</f>
        <v>3.46</v>
      </c>
      <c r="N7" s="2">
        <f>_xll.xlqAAII($C$3, $A7&amp;N$2,N$1,$B$1)</f>
        <v>3.75</v>
      </c>
    </row>
    <row r="8" spans="1:17" x14ac:dyDescent="0.25">
      <c r="A8" s="14" t="s">
        <v>815</v>
      </c>
      <c r="B8" s="44" t="str">
        <f>_xll.xlqAAIIDescrip(A8)</f>
        <v>Price/Sales</v>
      </c>
      <c r="C8" s="2">
        <f>_xll.xlqAAII($C$3, $A8&amp;C$2,,$B$1)</f>
        <v>8.7200000000000006</v>
      </c>
      <c r="D8" s="2">
        <f>_xll.xlqAAII($C$3, $A8&amp;D$2,,$B$1)</f>
        <v>7.71</v>
      </c>
      <c r="E8" s="2">
        <f>_xll.xlqAAII($C$3, $A8&amp;E$2,,$B$1)</f>
        <v>5.95</v>
      </c>
      <c r="F8" s="2">
        <f>_xll.xlqAAII($C$3, $A8&amp;F$2,,$B$1)</f>
        <v>5.22</v>
      </c>
      <c r="G8" s="2">
        <f>_xll.xlqAAII($C$3, $A8&amp;G$2,,$B$1)</f>
        <v>4.71</v>
      </c>
      <c r="H8" s="2">
        <f>_xll.xlqAAII($C$3, $A8&amp;H$2,H$1,$B$1)</f>
        <v>6.98</v>
      </c>
      <c r="I8" s="2">
        <f>_xll.xlqAAII($C$3, $A8&amp;I$2,I$1,$B$1)</f>
        <v>5.99</v>
      </c>
      <c r="J8" s="2">
        <f>_xll.xlqAAII($C$3, $A8&amp;J$2,J$1,$B$1)</f>
        <v>4.87</v>
      </c>
      <c r="K8" s="2">
        <f>_xll.xlqAAII($C$3, $A8&amp;K$2,K$1,$B$1)</f>
        <v>4.22</v>
      </c>
      <c r="L8" s="2">
        <f>_xll.xlqAAII($C$3, $A8&amp;L$2,L$1,$B$1)</f>
        <v>4.05</v>
      </c>
      <c r="M8" s="2">
        <f>_xll.xlqAAII($C$3, $A8&amp;M$2,M$1,$B$1)</f>
        <v>3.51</v>
      </c>
      <c r="N8" s="2">
        <f>_xll.xlqAAII($C$3, $A8&amp;N$2,N$1,$B$1)</f>
        <v>3.37</v>
      </c>
    </row>
    <row r="9" spans="1:17" x14ac:dyDescent="0.25">
      <c r="A9" s="14" t="s">
        <v>816</v>
      </c>
      <c r="B9" s="44" t="str">
        <f>_xll.xlqAAIIDescrip(A9)</f>
        <v>Price/CFPS</v>
      </c>
      <c r="C9" s="2">
        <f>_xll.xlqAAII($C$3, $A9&amp;C$2,,$B$1)</f>
        <v>539.20000000000005</v>
      </c>
      <c r="D9" s="2">
        <f>_xll.xlqAAII($C$3, $A9&amp;D$2,,$B$1)</f>
        <v>321.5</v>
      </c>
      <c r="E9" s="2">
        <f>_xll.xlqAAII($C$3, $A9&amp;E$2,,$B$1)</f>
        <v>393.5</v>
      </c>
      <c r="F9" s="2" t="str">
        <f>_xll.xlqAAII($C$3, $A9&amp;F$2,,$B$1)</f>
        <v>NA</v>
      </c>
      <c r="G9" s="2" t="str">
        <f>_xll.xlqAAII($C$3, $A9&amp;G$2,,$B$1)</f>
        <v>NA</v>
      </c>
      <c r="H9" s="2">
        <f>_xll.xlqAAII($C$3, $A9&amp;H$2,H$1,$B$1)</f>
        <v>182</v>
      </c>
      <c r="I9" s="2">
        <f>_xll.xlqAAII($C$3, $A9&amp;I$2,I$1,$B$1)</f>
        <v>507.6</v>
      </c>
      <c r="J9" s="2">
        <f>_xll.xlqAAII($C$3, $A9&amp;J$2,J$1,$B$1)</f>
        <v>491</v>
      </c>
      <c r="K9" s="2" t="str">
        <f>_xll.xlqAAII($C$3, $A9&amp;K$2,K$1,$B$1)</f>
        <v>NA</v>
      </c>
      <c r="L9" s="2">
        <f>_xll.xlqAAII($C$3, $A9&amp;L$2,L$1,$B$1)</f>
        <v>73.099999999999994</v>
      </c>
      <c r="M9" s="2" t="str">
        <f>_xll.xlqAAII($C$3, $A9&amp;M$2,M$1,$B$1)</f>
        <v>NA</v>
      </c>
      <c r="N9" s="2" t="str">
        <f>_xll.xlqAAII($C$3, $A9&amp;N$2,N$1,$B$1)</f>
        <v>NA</v>
      </c>
    </row>
    <row r="10" spans="1:17" x14ac:dyDescent="0.25">
      <c r="A10" s="14" t="s">
        <v>817</v>
      </c>
      <c r="B10" s="44" t="str">
        <f>_xll.xlqAAIIDescrip(A10)</f>
        <v>Price/FCFPS</v>
      </c>
      <c r="C10" s="2">
        <f>_xll.xlqAAII($C$3, $A10&amp;C$2,,$B$1)</f>
        <v>53.6</v>
      </c>
      <c r="D10" s="2">
        <f>_xll.xlqAAII($C$3, $A10&amp;D$2,,$B$1)</f>
        <v>39.299999999999997</v>
      </c>
      <c r="E10" s="2">
        <f>_xll.xlqAAII($C$3, $A10&amp;E$2,,$B$1)</f>
        <v>34</v>
      </c>
      <c r="F10" s="2">
        <f>_xll.xlqAAII($C$3, $A10&amp;F$2,,$B$1)</f>
        <v>30.4</v>
      </c>
      <c r="G10" s="2">
        <f>_xll.xlqAAII($C$3, $A10&amp;G$2,,$B$1)</f>
        <v>25.6</v>
      </c>
      <c r="H10" s="2">
        <f>_xll.xlqAAII($C$3, $A10&amp;H$2,H$1,$B$1)</f>
        <v>39.9</v>
      </c>
      <c r="I10" s="2">
        <f>_xll.xlqAAII($C$3, $A10&amp;I$2,I$1,$B$1)</f>
        <v>30</v>
      </c>
      <c r="J10" s="2">
        <f>_xll.xlqAAII($C$3, $A10&amp;J$2,J$1,$B$1)</f>
        <v>32.1</v>
      </c>
      <c r="K10" s="2">
        <f>_xll.xlqAAII($C$3, $A10&amp;K$2,K$1,$B$1)</f>
        <v>30.1</v>
      </c>
      <c r="L10" s="2">
        <f>_xll.xlqAAII($C$3, $A10&amp;L$2,L$1,$B$1)</f>
        <v>19.899999999999999</v>
      </c>
      <c r="M10" s="2">
        <f>_xll.xlqAAII($C$3, $A10&amp;M$2,M$1,$B$1)</f>
        <v>16.100000000000001</v>
      </c>
      <c r="N10" s="2">
        <f>_xll.xlqAAII($C$3, $A10&amp;N$2,N$1,$B$1)</f>
        <v>11</v>
      </c>
    </row>
    <row r="11" spans="1:17" x14ac:dyDescent="0.25">
      <c r="A11" s="14" t="s">
        <v>818</v>
      </c>
      <c r="B11" s="44" t="str">
        <f>_xll.xlqAAIIDescrip(A11)</f>
        <v>Yield</v>
      </c>
      <c r="C11" s="2">
        <f>_xll.xlqAAII($C$3, $A11&amp;C$2,,$B$1)</f>
        <v>1.3</v>
      </c>
      <c r="D11" s="2">
        <f>_xll.xlqAAII($C$3, $A11&amp;D$2,,$B$1)</f>
        <v>1.5</v>
      </c>
      <c r="E11" s="2">
        <f>_xll.xlqAAII($C$3, $A11&amp;E$2,,$B$1)</f>
        <v>2.1</v>
      </c>
      <c r="F11" s="2">
        <f>_xll.xlqAAII($C$3, $A11&amp;F$2,,$B$1)</f>
        <v>2.2000000000000002</v>
      </c>
      <c r="G11" s="2">
        <f>_xll.xlqAAII($C$3, $A11&amp;G$2,,$B$1)</f>
        <v>2.4</v>
      </c>
      <c r="H11" s="2">
        <f>_xll.xlqAAII($C$3, $A11&amp;H$2,H$1,$B$1)</f>
        <v>1.6</v>
      </c>
      <c r="I11" s="2">
        <f>_xll.xlqAAII($C$3, $A11&amp;I$2,I$1,$B$1)</f>
        <v>2</v>
      </c>
      <c r="J11" s="2">
        <f>_xll.xlqAAII($C$3, $A11&amp;J$2,J$1,$B$1)</f>
        <v>2.5</v>
      </c>
      <c r="K11" s="2">
        <f>_xll.xlqAAII($C$3, $A11&amp;K$2,K$1,$B$1)</f>
        <v>2.5</v>
      </c>
      <c r="L11" s="2">
        <f>_xll.xlqAAII($C$3, $A11&amp;L$2,L$1,$B$1)</f>
        <v>2.5</v>
      </c>
      <c r="M11" s="2">
        <f>_xll.xlqAAII($C$3, $A11&amp;M$2,M$1,$B$1)</f>
        <v>2.7</v>
      </c>
      <c r="N11" s="2">
        <f>_xll.xlqAAII($C$3, $A11&amp;N$2,N$1,$B$1)</f>
        <v>2.7</v>
      </c>
    </row>
    <row r="12" spans="1:17" x14ac:dyDescent="0.25">
      <c r="A12" s="14"/>
      <c r="B12" s="44"/>
    </row>
    <row r="13" spans="1:17" s="1" customFormat="1" x14ac:dyDescent="0.25">
      <c r="A13" s="44" t="s">
        <v>549</v>
      </c>
      <c r="B13" s="44" t="s">
        <v>549</v>
      </c>
      <c r="C13" s="1" t="str">
        <f>_xll.xlqAAII($C$3,$A13,,$B$1)</f>
        <v>Software</v>
      </c>
    </row>
    <row r="14" spans="1:17" x14ac:dyDescent="0.25">
      <c r="A14" s="14" t="s">
        <v>902</v>
      </c>
      <c r="B14" s="44" t="str">
        <f>_xll.xlqAAIIDescrip(A14)</f>
        <v>Industry PE / EPS</v>
      </c>
      <c r="C14" s="2">
        <f>_xll.xlqAAII($C$3, $A14&amp;C$2,,$B$1)</f>
        <v>44.5</v>
      </c>
      <c r="D14" s="2">
        <f>_xll.xlqAAII($C$3, $A14&amp;D$2,,$B$1)</f>
        <v>41.6</v>
      </c>
      <c r="E14" s="2">
        <f>_xll.xlqAAII($C$3, $A14&amp;E$2,,$B$1)</f>
        <v>37.5</v>
      </c>
      <c r="F14" s="2">
        <f>_xll.xlqAAII($C$3, $A14&amp;F$2,,$B$1)</f>
        <v>33.6</v>
      </c>
      <c r="G14" s="2">
        <f>_xll.xlqAAII($C$3, $A14&amp;G$2,,$B$1)</f>
        <v>35.5</v>
      </c>
      <c r="H14" s="2">
        <f>_xll.xlqAAII($C$3, $A14&amp;H$2,H$1,$B$1)</f>
        <v>40.6</v>
      </c>
      <c r="I14" s="2">
        <f>_xll.xlqAAII($C$3, $A14&amp;I$2,I$1,$B$1)</f>
        <v>32.799999999999997</v>
      </c>
      <c r="J14" s="2">
        <f>_xll.xlqAAII($C$3, $A14&amp;J$2,J$1,$B$1)</f>
        <v>30.9</v>
      </c>
      <c r="K14" s="2">
        <f>_xll.xlqAAII($C$3, $A14&amp;K$2,K$1,$B$1)</f>
        <v>33.700000000000003</v>
      </c>
      <c r="L14" s="2">
        <f>_xll.xlqAAII($C$3, $A14&amp;L$2,L$1,$B$1)</f>
        <v>31.7</v>
      </c>
      <c r="M14" s="2">
        <f>_xll.xlqAAII($C$3, $A14&amp;M$2,M$1,$B$1)</f>
        <v>33</v>
      </c>
      <c r="N14" s="2">
        <f>_xll.xlqAAII($C$3, $A14&amp;N$2,N$1,$B$1)</f>
        <v>30.2</v>
      </c>
      <c r="O14" s="2">
        <f>_xll.xlqAAII($C$3, $A14&amp;O$2,O$1,$B$1)</f>
        <v>40.4</v>
      </c>
      <c r="P14" s="2">
        <f>_xll.xlqAAII($C$3, $A14&amp;P$2,P$1,$B$1)</f>
        <v>34.799999999999997</v>
      </c>
      <c r="Q14" s="2">
        <f>_xll.xlqAAII($C$3, $A14&amp;Q$2,Q$1,$B$1)</f>
        <v>32.1</v>
      </c>
    </row>
    <row r="15" spans="1:17" x14ac:dyDescent="0.25">
      <c r="A15" s="14" t="s">
        <v>912</v>
      </c>
      <c r="B15" s="44" t="str">
        <f>_xll.xlqAAIIDescrip(A15)</f>
        <v>Industry Price/Book</v>
      </c>
      <c r="C15" s="2">
        <f>_xll.xlqAAII($C$3, $A15&amp;C$2,,$B$1)</f>
        <v>5.49</v>
      </c>
      <c r="D15" s="2">
        <f>_xll.xlqAAII($C$3, $A15&amp;D$2,,$B$1)</f>
        <v>5.21</v>
      </c>
      <c r="E15" s="2">
        <f>_xll.xlqAAII($C$3, $A15&amp;E$2,,$B$1)</f>
        <v>4.46</v>
      </c>
      <c r="F15" s="2">
        <f>_xll.xlqAAII($C$3, $A15&amp;F$2,,$B$1)</f>
        <v>4.45</v>
      </c>
      <c r="G15" s="2">
        <f>_xll.xlqAAII($C$3, $A15&amp;G$2,,$B$1)</f>
        <v>3.82</v>
      </c>
    </row>
    <row r="16" spans="1:17" x14ac:dyDescent="0.25">
      <c r="A16" s="14" t="s">
        <v>918</v>
      </c>
      <c r="B16" s="44" t="str">
        <f>_xll.xlqAAIIDescrip(A16)</f>
        <v>Industry Price/Sales</v>
      </c>
      <c r="C16" s="2">
        <f>_xll.xlqAAII($C$3, $A16&amp;C$2,,$B$1)</f>
        <v>4.63</v>
      </c>
      <c r="D16" s="2">
        <f>_xll.xlqAAII($C$3, $A16&amp;D$2,,$B$1)</f>
        <v>5.25</v>
      </c>
      <c r="E16" s="2">
        <f>_xll.xlqAAII($C$3, $A16&amp;E$2,,$B$1)</f>
        <v>3.95</v>
      </c>
      <c r="F16" s="2">
        <f>_xll.xlqAAII($C$3, $A16&amp;F$2,,$B$1)</f>
        <v>4</v>
      </c>
      <c r="G16" s="2">
        <f>_xll.xlqAAII($C$3, $A16&amp;G$2,,$B$1)</f>
        <v>3.68</v>
      </c>
    </row>
    <row r="17" spans="1:17" x14ac:dyDescent="0.25">
      <c r="A17" s="14" t="s">
        <v>924</v>
      </c>
      <c r="B17" s="44" t="str">
        <f>_xll.xlqAAIIDescrip(A17)</f>
        <v>Industry Price/CFPS</v>
      </c>
      <c r="C17" s="2">
        <f>_xll.xlqAAII($C$3, $A17&amp;C$2,,$B$1)</f>
        <v>44.8</v>
      </c>
      <c r="D17" s="2">
        <f>_xll.xlqAAII($C$3, $A17&amp;D$2,,$B$1)</f>
        <v>36.700000000000003</v>
      </c>
      <c r="E17" s="2">
        <f>_xll.xlqAAII($C$3, $A17&amp;E$2,,$B$1)</f>
        <v>69.400000000000006</v>
      </c>
      <c r="F17" s="2">
        <f>_xll.xlqAAII($C$3, $A17&amp;F$2,,$B$1)</f>
        <v>124.9</v>
      </c>
      <c r="G17" s="2">
        <f>_xll.xlqAAII($C$3, $A17&amp;G$2,,$B$1)</f>
        <v>0</v>
      </c>
    </row>
    <row r="18" spans="1:17" x14ac:dyDescent="0.25">
      <c r="A18" s="14" t="s">
        <v>930</v>
      </c>
      <c r="B18" s="44" t="str">
        <f>_xll.xlqAAIIDescrip(A18)</f>
        <v>Industry Price/FCFPS</v>
      </c>
      <c r="C18" s="2">
        <f>_xll.xlqAAII($C$3, $A18&amp;C$2,,$B$1)</f>
        <v>40.9</v>
      </c>
      <c r="D18" s="2">
        <f>_xll.xlqAAII($C$3, $A18&amp;D$2,,$B$1)</f>
        <v>38.6</v>
      </c>
      <c r="E18" s="2">
        <f>_xll.xlqAAII($C$3, $A18&amp;E$2,,$B$1)</f>
        <v>33.299999999999997</v>
      </c>
      <c r="F18" s="2">
        <f>_xll.xlqAAII($C$3, $A18&amp;F$2,,$B$1)</f>
        <v>29</v>
      </c>
      <c r="G18" s="2">
        <f>_xll.xlqAAII($C$3, $A18&amp;G$2,,$B$1)</f>
        <v>25.9</v>
      </c>
    </row>
    <row r="19" spans="1:17" x14ac:dyDescent="0.25">
      <c r="A19" s="14" t="s">
        <v>936</v>
      </c>
      <c r="B19" s="44" t="str">
        <f>_xll.xlqAAIIDescrip(A19)</f>
        <v>Industry Yield</v>
      </c>
      <c r="C19" s="2">
        <f>_xll.xlqAAII($C$3, $A19&amp;C$2,,$B$1)</f>
        <v>0</v>
      </c>
      <c r="D19" s="2">
        <f>_xll.xlqAAII($C$3, $A19&amp;D$2,,$B$1)</f>
        <v>0</v>
      </c>
      <c r="E19" s="2">
        <f>_xll.xlqAAII($C$3, $A19&amp;E$2,,$B$1)</f>
        <v>1.5</v>
      </c>
      <c r="F19" s="2">
        <f>_xll.xlqAAII($C$3, $A19&amp;F$2,,$B$1)</f>
        <v>1.5</v>
      </c>
      <c r="G19" s="2">
        <f>_xll.xlqAAII($C$3, $A19&amp;G$2,,$B$1)</f>
        <v>1.8</v>
      </c>
    </row>
    <row r="21" spans="1:17" s="1" customFormat="1" x14ac:dyDescent="0.25">
      <c r="A21" s="44" t="s">
        <v>559</v>
      </c>
      <c r="B21" s="44" t="s">
        <v>559</v>
      </c>
      <c r="C21" s="1" t="str">
        <f>_xll.xlqAAII($C$3,$A21,,$B$1)</f>
        <v>Technology</v>
      </c>
    </row>
    <row r="22" spans="1:17" x14ac:dyDescent="0.25">
      <c r="A22" s="14" t="s">
        <v>942</v>
      </c>
      <c r="B22" s="44" t="str">
        <f>_xll.xlqAAIIDescrip(A22)</f>
        <v>Sector PE / EPS</v>
      </c>
      <c r="C22" s="2">
        <f>_xll.xlqAAII($C$3, $A22&amp;C$2,,$B$1)</f>
        <v>27.3</v>
      </c>
      <c r="D22" s="2">
        <f>_xll.xlqAAII($C$3, $A22&amp;D$2,,$B$1)</f>
        <v>27.7</v>
      </c>
      <c r="E22" s="2">
        <f>_xll.xlqAAII($C$3, $A22&amp;E$2,,$B$1)</f>
        <v>25.2</v>
      </c>
      <c r="F22" s="2">
        <f>_xll.xlqAAII($C$3, $A22&amp;F$2,,$B$1)</f>
        <v>25.8</v>
      </c>
      <c r="G22" s="2">
        <f>_xll.xlqAAII($C$3, $A22&amp;G$2,,$B$1)</f>
        <v>24.9</v>
      </c>
      <c r="H22" s="2">
        <f>_xll.xlqAAII($C$3, $A22&amp;H$2,H$1,$B$1)</f>
        <v>25.9</v>
      </c>
      <c r="I22" s="2">
        <f>_xll.xlqAAII($C$3, $A22&amp;I$2,I$1,$B$1)</f>
        <v>25</v>
      </c>
      <c r="J22" s="2">
        <f>_xll.xlqAAII($C$3, $A22&amp;J$2,J$1,$B$1)</f>
        <v>23.9</v>
      </c>
      <c r="K22" s="2">
        <f>_xll.xlqAAII($C$3, $A22&amp;K$2,K$1,$B$1)</f>
        <v>24.5</v>
      </c>
      <c r="L22" s="2">
        <f>_xll.xlqAAII($C$3, $A22&amp;L$2,L$1,$B$1)</f>
        <v>25.4</v>
      </c>
      <c r="M22" s="2">
        <f>_xll.xlqAAII($C$3, $A22&amp;M$2,M$1,$B$1)</f>
        <v>23.7</v>
      </c>
      <c r="N22" s="2">
        <f>_xll.xlqAAII($C$3, $A22&amp;N$2,N$1,$B$1)</f>
        <v>19.2</v>
      </c>
      <c r="O22" s="2">
        <f>_xll.xlqAAII($C$3, $A22&amp;O$2,O$1,$B$1)</f>
        <v>24.1</v>
      </c>
      <c r="P22" s="2">
        <f>_xll.xlqAAII($C$3, $A22&amp;P$2,P$1,$B$1)</f>
        <v>20</v>
      </c>
      <c r="Q22" s="2">
        <f>_xll.xlqAAII($C$3, $A22&amp;Q$2,Q$1,$B$1)</f>
        <v>17.7</v>
      </c>
    </row>
    <row r="23" spans="1:17" x14ac:dyDescent="0.25">
      <c r="A23" s="14" t="s">
        <v>954</v>
      </c>
      <c r="B23" s="44" t="str">
        <f>_xll.xlqAAIIDescrip(A23)</f>
        <v>Sector Price/Book</v>
      </c>
      <c r="C23" s="2">
        <f>_xll.xlqAAII($C$3, $A23&amp;C$2,,$B$1)</f>
        <v>3.29</v>
      </c>
      <c r="D23" s="2">
        <f>_xll.xlqAAII($C$3, $A23&amp;D$2,,$B$1)</f>
        <v>3.4</v>
      </c>
      <c r="E23" s="2">
        <f>_xll.xlqAAII($C$3, $A23&amp;E$2,,$B$1)</f>
        <v>3.11</v>
      </c>
      <c r="F23" s="2">
        <f>_xll.xlqAAII($C$3, $A23&amp;F$2,,$B$1)</f>
        <v>2.99</v>
      </c>
      <c r="G23" s="2">
        <f>_xll.xlqAAII($C$3, $A23&amp;G$2,,$B$1)</f>
        <v>2.6</v>
      </c>
    </row>
    <row r="24" spans="1:17" x14ac:dyDescent="0.25">
      <c r="A24" s="14" t="s">
        <v>960</v>
      </c>
      <c r="B24" s="44" t="str">
        <f>_xll.xlqAAIIDescrip(A24)</f>
        <v>Sector Price/Sales</v>
      </c>
      <c r="C24" s="2">
        <f>_xll.xlqAAII($C$3, $A24&amp;C$2,,$B$1)</f>
        <v>2.5</v>
      </c>
      <c r="D24" s="2">
        <f>_xll.xlqAAII($C$3, $A24&amp;D$2,,$B$1)</f>
        <v>2.7</v>
      </c>
      <c r="E24" s="2">
        <f>_xll.xlqAAII($C$3, $A24&amp;E$2,,$B$1)</f>
        <v>2.44</v>
      </c>
      <c r="F24" s="2">
        <f>_xll.xlqAAII($C$3, $A24&amp;F$2,,$B$1)</f>
        <v>2.4900000000000002</v>
      </c>
      <c r="G24" s="2">
        <f>_xll.xlqAAII($C$3, $A24&amp;G$2,,$B$1)</f>
        <v>2.2799999999999998</v>
      </c>
    </row>
    <row r="25" spans="1:17" x14ac:dyDescent="0.25">
      <c r="A25" s="14" t="s">
        <v>966</v>
      </c>
      <c r="B25" s="44" t="str">
        <f>_xll.xlqAAIIDescrip(A25)</f>
        <v>Sector Price/CFPS</v>
      </c>
      <c r="C25" s="2">
        <f>_xll.xlqAAII($C$3, $A25&amp;C$2,,$B$1)</f>
        <v>36.5</v>
      </c>
      <c r="D25" s="2">
        <f>_xll.xlqAAII($C$3, $A25&amp;D$2,,$B$1)</f>
        <v>33.1</v>
      </c>
      <c r="E25" s="2">
        <f>_xll.xlqAAII($C$3, $A25&amp;E$2,,$B$1)</f>
        <v>60.3</v>
      </c>
      <c r="F25" s="2">
        <f>_xll.xlqAAII($C$3, $A25&amp;F$2,,$B$1)</f>
        <v>98.3</v>
      </c>
      <c r="G25" s="2">
        <f>_xll.xlqAAII($C$3, $A25&amp;G$2,,$B$1)</f>
        <v>197.7</v>
      </c>
    </row>
    <row r="26" spans="1:17" x14ac:dyDescent="0.25">
      <c r="A26" s="14" t="s">
        <v>972</v>
      </c>
      <c r="B26" s="44" t="str">
        <f>_xll.xlqAAIIDescrip(A26)</f>
        <v>Sector Price/FCFPS</v>
      </c>
      <c r="C26" s="2">
        <f>_xll.xlqAAII($C$3, $A26&amp;C$2,,$B$1)</f>
        <v>30.6</v>
      </c>
      <c r="D26" s="2">
        <f>_xll.xlqAAII($C$3, $A26&amp;D$2,,$B$1)</f>
        <v>29.6</v>
      </c>
      <c r="E26" s="2">
        <f>_xll.xlqAAII($C$3, $A26&amp;E$2,,$B$1)</f>
        <v>26.5</v>
      </c>
      <c r="F26" s="2">
        <f>_xll.xlqAAII($C$3, $A26&amp;F$2,,$B$1)</f>
        <v>26.5</v>
      </c>
      <c r="G26" s="2">
        <f>_xll.xlqAAII($C$3, $A26&amp;G$2,,$B$1)</f>
        <v>26.2</v>
      </c>
    </row>
    <row r="27" spans="1:17" x14ac:dyDescent="0.25">
      <c r="A27" s="14" t="s">
        <v>978</v>
      </c>
      <c r="B27" s="44" t="str">
        <f>_xll.xlqAAIIDescrip(A27)</f>
        <v>Sector Yield</v>
      </c>
      <c r="C27" s="2">
        <f>_xll.xlqAAII($C$3, $A27&amp;C$2,,$B$1)</f>
        <v>0</v>
      </c>
      <c r="D27" s="2">
        <f>_xll.xlqAAII($C$3, $A27&amp;D$2,,$B$1)</f>
        <v>0</v>
      </c>
      <c r="E27" s="2">
        <f>_xll.xlqAAII($C$3, $A27&amp;E$2,,$B$1)</f>
        <v>2</v>
      </c>
      <c r="F27" s="2">
        <f>_xll.xlqAAII($C$3, $A27&amp;F$2,,$B$1)</f>
        <v>2.1</v>
      </c>
      <c r="G27" s="2">
        <f>_xll.xlqAAII($C$3, $A27&amp;G$2,,$B$1)</f>
        <v>2.4</v>
      </c>
    </row>
    <row r="29" spans="1:17" s="1" customFormat="1" x14ac:dyDescent="0.25">
      <c r="A29" s="44"/>
      <c r="B29" s="44" t="s">
        <v>686</v>
      </c>
    </row>
    <row r="30" spans="1:17" x14ac:dyDescent="0.25">
      <c r="A30" s="14" t="str">
        <f t="shared" ref="A30:A35" si="0">"PcntRank"&amp;A6</f>
        <v>PcntRankPE</v>
      </c>
      <c r="B30" s="44" t="str">
        <f>_xll.xlqAAIIDescrip(A30)</f>
        <v>% Rank-PE</v>
      </c>
      <c r="C30" s="2">
        <f>_xll.xlqAAII($C$3, $A30&amp;C$2,,$B$1)</f>
        <v>74</v>
      </c>
      <c r="D30" s="2">
        <f>_xll.xlqAAII($C$3, $A30&amp;D$2,,$B$1)</f>
        <v>68</v>
      </c>
      <c r="E30" s="2">
        <f>_xll.xlqAAII($C$3, $A30&amp;E$2,,$B$1)</f>
        <v>63</v>
      </c>
      <c r="F30" s="2">
        <f>_xll.xlqAAII($C$3, $A30&amp;F$2,,$B$1)</f>
        <v>63</v>
      </c>
      <c r="G30" s="2">
        <f>_xll.xlqAAII($C$3, $A30&amp;G$2,,$B$1)</f>
        <v>56</v>
      </c>
      <c r="H30" s="2">
        <f>_xll.xlqAAII($C$3, $A30&amp;H$2,H$1,$B$1)</f>
        <v>67</v>
      </c>
      <c r="I30" s="2">
        <f>_xll.xlqAAII($C$3, $A30&amp;I$2,I$1,$B$1)</f>
        <v>58</v>
      </c>
      <c r="J30" s="2">
        <f>_xll.xlqAAII($C$3, $A30&amp;J$2,J$1,$B$1)</f>
        <v>60</v>
      </c>
      <c r="K30" s="2">
        <f>_xll.xlqAAII($C$3, $A30&amp;K$2,K$1,$B$1)</f>
        <v>78</v>
      </c>
      <c r="L30" s="2">
        <f>_xll.xlqAAII($C$3, $A30&amp;L$2,L$1,$B$1)</f>
        <v>35</v>
      </c>
      <c r="M30" s="2" t="str">
        <f>_xll.xlqAAII($C$3, $A30&amp;M$2,M$1,$B$1)</f>
        <v>NA</v>
      </c>
      <c r="N30" s="2" t="str">
        <f>_xll.xlqAAII($C$3, $A30&amp;N$2,N$1,$B$1)</f>
        <v>NA</v>
      </c>
      <c r="O30" s="2">
        <f>_xll.xlqAAII($C$3, $A30&amp;O$2,O$1,$B$1)</f>
        <v>80</v>
      </c>
      <c r="P30" s="2">
        <f>_xll.xlqAAII($C$3, $A30&amp;P$2,P$1,$B$1)</f>
        <v>81</v>
      </c>
      <c r="Q30" s="2">
        <f>_xll.xlqAAII($C$3, $A30&amp;Q$2,Q$1,$B$1)</f>
        <v>78</v>
      </c>
    </row>
    <row r="31" spans="1:17" x14ac:dyDescent="0.25">
      <c r="A31" s="14" t="str">
        <f t="shared" si="0"/>
        <v>PcntRankPricePerBook</v>
      </c>
      <c r="B31" s="44" t="str">
        <f>_xll.xlqAAIIDescrip(A31)</f>
        <v>% Rank-Price/Book</v>
      </c>
      <c r="C31" s="2">
        <f>_xll.xlqAAII($C$3, $A31&amp;C$2,,$B$1)</f>
        <v>92</v>
      </c>
      <c r="D31" s="2">
        <f>_xll.xlqAAII($C$3, $A31&amp;D$2,,$B$1)</f>
        <v>90</v>
      </c>
      <c r="E31" s="2">
        <f>_xll.xlqAAII($C$3, $A31&amp;E$2,,$B$1)</f>
        <v>89</v>
      </c>
      <c r="F31" s="2">
        <f>_xll.xlqAAII($C$3, $A31&amp;F$2,,$B$1)</f>
        <v>88</v>
      </c>
      <c r="G31" s="2">
        <f>_xll.xlqAAII($C$3, $A31&amp;G$2,,$B$1)</f>
        <v>87</v>
      </c>
    </row>
    <row r="32" spans="1:17" x14ac:dyDescent="0.25">
      <c r="A32" s="14" t="str">
        <f t="shared" si="0"/>
        <v>PcntRankPricePerSales</v>
      </c>
      <c r="B32" s="44" t="str">
        <f>_xll.xlqAAIIDescrip(A32)</f>
        <v>% Rank-Price/Sales</v>
      </c>
      <c r="C32" s="2">
        <f>_xll.xlqAAII($C$3, $A32&amp;C$2,,$B$1)</f>
        <v>87</v>
      </c>
      <c r="D32" s="2">
        <f>_xll.xlqAAII($C$3, $A32&amp;D$2,,$B$1)</f>
        <v>85</v>
      </c>
      <c r="E32" s="2">
        <f>_xll.xlqAAII($C$3, $A32&amp;E$2,,$B$1)</f>
        <v>83</v>
      </c>
      <c r="F32" s="2">
        <f>_xll.xlqAAII($C$3, $A32&amp;F$2,,$B$1)</f>
        <v>81</v>
      </c>
      <c r="G32" s="2">
        <f>_xll.xlqAAII($C$3, $A32&amp;G$2,,$B$1)</f>
        <v>81</v>
      </c>
    </row>
    <row r="33" spans="1:7" x14ac:dyDescent="0.25">
      <c r="A33" s="14" t="str">
        <f t="shared" si="0"/>
        <v>PcntRankPricePerCFPS</v>
      </c>
      <c r="B33" s="44" t="str">
        <f>_xll.xlqAAIIDescrip(A33)</f>
        <v>% Rank-Price/CFPS</v>
      </c>
      <c r="C33" s="2">
        <f>_xll.xlqAAII($C$3, $A33&amp;C$2,,$B$1)</f>
        <v>96</v>
      </c>
      <c r="D33" s="2">
        <f>_xll.xlqAAII($C$3, $A33&amp;D$2,,$B$1)</f>
        <v>92</v>
      </c>
      <c r="E33" s="2">
        <f>_xll.xlqAAII($C$3, $A33&amp;E$2,,$B$1)</f>
        <v>97</v>
      </c>
      <c r="F33" s="2" t="str">
        <f>_xll.xlqAAII($C$3, $A33&amp;F$2,,$B$1)</f>
        <v>NA</v>
      </c>
      <c r="G33" s="2" t="str">
        <f>_xll.xlqAAII($C$3, $A33&amp;G$2,,$B$1)</f>
        <v>NA</v>
      </c>
    </row>
    <row r="34" spans="1:7" x14ac:dyDescent="0.25">
      <c r="A34" s="14" t="str">
        <f t="shared" si="0"/>
        <v>PcntRankPricePerFCFPS</v>
      </c>
      <c r="B34" s="44" t="str">
        <f>_xll.xlqAAIIDescrip(A34)</f>
        <v>% Rank-Price/FCFPS</v>
      </c>
      <c r="C34" s="2">
        <f>_xll.xlqAAII($C$3, $A34&amp;C$2,,$B$1)</f>
        <v>82</v>
      </c>
      <c r="D34" s="2">
        <f>_xll.xlqAAII($C$3, $A34&amp;D$2,,$B$1)</f>
        <v>71</v>
      </c>
      <c r="E34" s="2">
        <f>_xll.xlqAAII($C$3, $A34&amp;E$2,,$B$1)</f>
        <v>72</v>
      </c>
      <c r="F34" s="2">
        <f>_xll.xlqAAII($C$3, $A34&amp;F$2,,$B$1)</f>
        <v>64</v>
      </c>
      <c r="G34" s="2">
        <f>_xll.xlqAAII($C$3, $A34&amp;G$2,,$B$1)</f>
        <v>56</v>
      </c>
    </row>
    <row r="35" spans="1:7" x14ac:dyDescent="0.25">
      <c r="A35" s="14" t="str">
        <f t="shared" si="0"/>
        <v>PcntRankYield</v>
      </c>
      <c r="B35" s="44" t="str">
        <f>_xll.xlqAAIIDescrip(A35)</f>
        <v>% Rank-Yield</v>
      </c>
      <c r="C35" s="2">
        <f>_xll.xlqAAII($C$3, $A35&amp;C$2,,$B$1)</f>
        <v>70</v>
      </c>
      <c r="D35" s="2">
        <f>_xll.xlqAAII($C$3, $A35&amp;D$2,,$B$1)</f>
        <v>75</v>
      </c>
      <c r="E35" s="2">
        <f>_xll.xlqAAII($C$3, $A35&amp;E$2,,$B$1)</f>
        <v>39</v>
      </c>
      <c r="F35" s="2">
        <f>_xll.xlqAAII($C$3, $A35&amp;F$2,,$B$1)</f>
        <v>42</v>
      </c>
      <c r="G35" s="2">
        <f>_xll.xlqAAII($C$3, $A35&amp;G$2,,$B$1)</f>
        <v>43</v>
      </c>
    </row>
    <row r="38" spans="1:7" s="33" customFormat="1" ht="15.75" thickBot="1" x14ac:dyDescent="0.3">
      <c r="C38" s="33" t="s">
        <v>542</v>
      </c>
      <c r="D38" s="33" t="s">
        <v>549</v>
      </c>
      <c r="E38" s="33" t="s">
        <v>559</v>
      </c>
      <c r="F38" s="33" t="s">
        <v>686</v>
      </c>
    </row>
    <row r="39" spans="1:7" x14ac:dyDescent="0.25">
      <c r="A39" s="2" t="s">
        <v>1025</v>
      </c>
      <c r="B39" s="44" t="str">
        <f>_xll.xlqAAIIDescrip(A39)</f>
        <v>PE to EPS growth 5 Years</v>
      </c>
      <c r="C39" s="2">
        <f>_xll.xlqAAII($C$3, $A39,,$B$1)</f>
        <v>3.6</v>
      </c>
      <c r="D39" s="2">
        <f>_xll.xlqAAII($C$3, "Industry"&amp;$A39,,$B$1)</f>
        <v>2.6</v>
      </c>
      <c r="E39" s="2">
        <f>_xll.xlqAAII($C$3,"sector"&amp; $A39,,$B$1)</f>
        <v>1.5</v>
      </c>
      <c r="F39" s="2">
        <f>_xll.xlqAAII($C$3, "pcntrank"&amp;$A39,,$B$1)</f>
        <v>80</v>
      </c>
    </row>
    <row r="40" spans="1:7" x14ac:dyDescent="0.25">
      <c r="A40" s="2" t="s">
        <v>1026</v>
      </c>
      <c r="B40" s="44" t="str">
        <f>_xll.xlqAAIIDescrip(A40)</f>
        <v>PE to EPS Est growth 5 Years</v>
      </c>
      <c r="C40" s="2">
        <f>_xll.xlqAAII($C$3, $A40,,$B$1)</f>
        <v>2</v>
      </c>
      <c r="D40" s="2">
        <f>_xll.xlqAAII($C$3, "Industry"&amp;$A40,,$B$1)</f>
        <v>2.4</v>
      </c>
      <c r="E40" s="2">
        <f>_xll.xlqAAII($C$3,"sector"&amp; $A40,,$B$1)</f>
        <v>1.9</v>
      </c>
      <c r="F40" s="2">
        <f>_xll.xlqAAII($C$3, "pcntrank"&amp;$A40,,$B$1)</f>
        <v>58</v>
      </c>
    </row>
    <row r="41" spans="1:7" x14ac:dyDescent="0.25">
      <c r="A41" s="2" t="s">
        <v>1030</v>
      </c>
      <c r="B41" s="44" t="str">
        <f>_xll.xlqAAIIDescrip(A41)</f>
        <v>PE to Div Adj EPS growth 5 Years</v>
      </c>
      <c r="C41" s="2">
        <f>_xll.xlqAAII($C$3, $A41,,$B$1)</f>
        <v>3.2</v>
      </c>
      <c r="D41" s="2">
        <f>_xll.xlqAAII($C$3, "Industry"&amp;$A41,,$B$1)</f>
        <v>2.5</v>
      </c>
      <c r="E41" s="2">
        <f>_xll.xlqAAII($C$3,"sector"&amp; $A41,,$B$1)</f>
        <v>1.4</v>
      </c>
      <c r="F41" s="2">
        <f>_xll.xlqAAII($C$3, "pcntrank"&amp;$A41,,$B$1)</f>
        <v>80</v>
      </c>
    </row>
    <row r="42" spans="1:7" x14ac:dyDescent="0.25">
      <c r="A42" s="2" t="s">
        <v>1031</v>
      </c>
      <c r="B42" s="44" t="str">
        <f>_xll.xlqAAIIDescrip(A42)</f>
        <v>PE using Avg EPS 3 Years</v>
      </c>
      <c r="C42" s="2">
        <f>_xll.xlqAAII($C$3, $A42,,$B$1)</f>
        <v>43</v>
      </c>
      <c r="D42" s="2">
        <f>_xll.xlqAAII($C$3, "Industry"&amp;$A42,,$B$1)</f>
        <v>68.599999999999994</v>
      </c>
      <c r="E42" s="2">
        <f>_xll.xlqAAII($C$3,"sector"&amp; $A42,,$B$1)</f>
        <v>32.1</v>
      </c>
      <c r="F42" s="2">
        <f>_xll.xlqAAII($C$3, "pcntrank"&amp;$A42,,$B$1)</f>
        <v>80</v>
      </c>
    </row>
    <row r="44" spans="1:7" x14ac:dyDescent="0.25">
      <c r="A44" s="2" t="s">
        <v>1044</v>
      </c>
      <c r="B44" s="44" t="str">
        <f>_xll.xlqAAIIDescrip(A44)</f>
        <v>PE High - Average 3 Years</v>
      </c>
      <c r="C44" s="2">
        <f>_xll.xlqAAII($C$3, $A44,,$B$1)</f>
        <v>27.3</v>
      </c>
      <c r="D44" s="2">
        <f>_xll.xlqAAII($C$3, "Industry"&amp;$A44,,$B$1)</f>
        <v>45.1</v>
      </c>
      <c r="E44" s="2">
        <f>_xll.xlqAAII($C$3,"sector"&amp; $A44,,$B$1)</f>
        <v>31.7</v>
      </c>
      <c r="F44" s="2">
        <f>_xll.xlqAAII($C$3, "pcntrank"&amp;$A44,,$B$1)</f>
        <v>59</v>
      </c>
    </row>
    <row r="45" spans="1:7" x14ac:dyDescent="0.25">
      <c r="A45" s="2" t="s">
        <v>1045</v>
      </c>
      <c r="B45" s="44" t="str">
        <f>_xll.xlqAAIIDescrip(A45)</f>
        <v>PE High - Average 5 Years</v>
      </c>
      <c r="C45" s="2">
        <f>_xll.xlqAAII($C$3, $A45,,$B$1)</f>
        <v>27.9</v>
      </c>
      <c r="D45" s="2">
        <f>_xll.xlqAAII($C$3, "Industry"&amp;$A45,,$B$1)</f>
        <v>42</v>
      </c>
      <c r="E45" s="2">
        <f>_xll.xlqAAII($C$3,"sector"&amp; $A45,,$B$1)</f>
        <v>32.4</v>
      </c>
      <c r="F45" s="2">
        <f>_xll.xlqAAII($C$3, "pcntrank"&amp;$A45,,$B$1)</f>
        <v>61</v>
      </c>
    </row>
    <row r="46" spans="1:7" x14ac:dyDescent="0.25">
      <c r="A46" s="2" t="s">
        <v>1046</v>
      </c>
      <c r="B46" s="44" t="str">
        <f>_xll.xlqAAIIDescrip(A46)</f>
        <v>PE High - Average 7 Years</v>
      </c>
      <c r="C46" s="2">
        <f>_xll.xlqAAII($C$3, $A46,,$B$1)</f>
        <v>24.4</v>
      </c>
      <c r="D46" s="2">
        <f>_xll.xlqAAII($C$3, "Industry"&amp;$A46,,$B$1)</f>
        <v>41.8</v>
      </c>
      <c r="E46" s="2">
        <f>_xll.xlqAAII($C$3,"sector"&amp; $A46,,$B$1)</f>
        <v>30.5</v>
      </c>
      <c r="F46" s="2">
        <f>_xll.xlqAAII($C$3, "pcntrank"&amp;$A46,,$B$1)</f>
        <v>54</v>
      </c>
    </row>
    <row r="47" spans="1:7" x14ac:dyDescent="0.25">
      <c r="B47" s="44"/>
    </row>
    <row r="48" spans="1:7" x14ac:dyDescent="0.25">
      <c r="A48" s="2" t="s">
        <v>1047</v>
      </c>
      <c r="B48" s="44" t="str">
        <f>_xll.xlqAAIIDescrip(A48)</f>
        <v>PE Low - Average 3 Years</v>
      </c>
      <c r="C48" s="2">
        <f>_xll.xlqAAII($C$3, $A48,,$B$1)</f>
        <v>19.8</v>
      </c>
      <c r="D48" s="2">
        <f>_xll.xlqAAII($C$3, "Industry"&amp;$A48,,$B$1)</f>
        <v>30.1</v>
      </c>
      <c r="E48" s="2">
        <f>_xll.xlqAAII($C$3,"sector"&amp; $A48,,$B$1)</f>
        <v>19.3</v>
      </c>
      <c r="F48" s="2">
        <f>_xll.xlqAAII($C$3, "pcntrank"&amp;$A48,,$B$1)</f>
        <v>67</v>
      </c>
    </row>
    <row r="49" spans="1:7" x14ac:dyDescent="0.25">
      <c r="A49" s="2" t="s">
        <v>1048</v>
      </c>
      <c r="B49" s="44" t="str">
        <f>_xll.xlqAAIIDescrip(A49)</f>
        <v>PE Low - Average 5 Years</v>
      </c>
      <c r="C49" s="2">
        <f>_xll.xlqAAII($C$3, $A49,,$B$1)</f>
        <v>19.899999999999999</v>
      </c>
      <c r="D49" s="2">
        <f>_xll.xlqAAII($C$3, "Industry"&amp;$A49,,$B$1)</f>
        <v>28</v>
      </c>
      <c r="E49" s="2">
        <f>_xll.xlqAAII($C$3,"sector"&amp; $A49,,$B$1)</f>
        <v>20.100000000000001</v>
      </c>
      <c r="F49" s="2">
        <f>_xll.xlqAAII($C$3, "pcntrank"&amp;$A49,,$B$1)</f>
        <v>66</v>
      </c>
    </row>
    <row r="50" spans="1:7" x14ac:dyDescent="0.25">
      <c r="A50" s="2" t="s">
        <v>1049</v>
      </c>
      <c r="B50" s="44" t="str">
        <f>_xll.xlqAAIIDescrip(A50)</f>
        <v>PE Low - Average 7 Years</v>
      </c>
      <c r="C50" s="2">
        <f>_xll.xlqAAII($C$3, $A50,,$B$1)</f>
        <v>17.5</v>
      </c>
      <c r="D50" s="2">
        <f>_xll.xlqAAII($C$3, "Industry"&amp;$A50,,$B$1)</f>
        <v>28</v>
      </c>
      <c r="E50" s="2">
        <f>_xll.xlqAAII($C$3,"sector"&amp; $A50,,$B$1)</f>
        <v>19.600000000000001</v>
      </c>
      <c r="F50" s="2">
        <f>_xll.xlqAAII($C$3, "pcntrank"&amp;$A50,,$B$1)</f>
        <v>59</v>
      </c>
    </row>
    <row r="52" spans="1:7" s="33" customFormat="1" ht="15.75" thickBot="1" x14ac:dyDescent="0.3">
      <c r="C52" s="33" t="s">
        <v>527</v>
      </c>
      <c r="D52" s="33" t="s">
        <v>1261</v>
      </c>
      <c r="E52" s="33" t="s">
        <v>521</v>
      </c>
      <c r="F52" s="33" t="s">
        <v>1262</v>
      </c>
      <c r="G52" s="33" t="s">
        <v>522</v>
      </c>
    </row>
    <row r="53" spans="1:7" x14ac:dyDescent="0.25">
      <c r="A53" s="2" t="s">
        <v>14</v>
      </c>
      <c r="B53" s="44" t="str">
        <f>_xll.xlqAAIIDescrip(A53)</f>
        <v>PE High</v>
      </c>
      <c r="C53" s="2">
        <f>_xll.xlqAAII($C$3, $A53,C$1,$B$1)</f>
        <v>29.91</v>
      </c>
      <c r="D53" s="2">
        <f>_xll.xlqAAII($C$3, $A53,D$1,$B$1)</f>
        <v>26.89</v>
      </c>
      <c r="E53" s="2">
        <f>_xll.xlqAAII($C$3, $A53,E$1,$B$1)</f>
        <v>25.01</v>
      </c>
      <c r="F53" s="2">
        <f>_xll.xlqAAII($C$3, $A53,F$1,$B$1)</f>
        <v>38.479999999999997</v>
      </c>
      <c r="G53" s="2">
        <f>_xll.xlqAAII($C$3, $A53,G$1,$B$1)</f>
        <v>19.04</v>
      </c>
    </row>
    <row r="54" spans="1:7" x14ac:dyDescent="0.25">
      <c r="A54" s="2" t="s">
        <v>15</v>
      </c>
      <c r="B54" s="44" t="str">
        <f>_xll.xlqAAIIDescrip(A54)</f>
        <v>PE Low</v>
      </c>
      <c r="C54" s="2">
        <f>_xll.xlqAAII($C$3, $A54,C$1,$B$1)</f>
        <v>21.58</v>
      </c>
      <c r="D54" s="2">
        <f>_xll.xlqAAII($C$3, $A54,D$1,$B$1)</f>
        <v>19.04</v>
      </c>
      <c r="E54" s="2">
        <f>_xll.xlqAAII($C$3, $A54,E$1,$B$1)</f>
        <v>18.739999999999998</v>
      </c>
      <c r="F54" s="2">
        <f>_xll.xlqAAII($C$3, $A54,F$1,$B$1)</f>
        <v>26.89</v>
      </c>
      <c r="G54" s="2">
        <f>_xll.xlqAAII($C$3, $A54,G$1,$B$1)</f>
        <v>13.18</v>
      </c>
    </row>
  </sheetData>
  <phoneticPr fontId="2"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Best</vt:lpstr>
      <vt:lpstr>Best (2)</vt:lpstr>
      <vt:lpstr>Sheet2</vt:lpstr>
      <vt:lpstr>Overview</vt:lpstr>
      <vt:lpstr>Summary</vt:lpstr>
      <vt:lpstr>Prices</vt:lpstr>
      <vt:lpstr>Financials</vt:lpstr>
      <vt:lpstr>Growth</vt:lpstr>
      <vt:lpstr>Multiples</vt:lpstr>
      <vt:lpstr>Ratios</vt:lpstr>
      <vt:lpstr>Estimates</vt:lpstr>
      <vt:lpstr>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van Rijswijk</dc:creator>
  <cp:lastModifiedBy>Andy</cp:lastModifiedBy>
  <dcterms:created xsi:type="dcterms:W3CDTF">2004-03-03T13:27:39Z</dcterms:created>
  <dcterms:modified xsi:type="dcterms:W3CDTF">2019-07-16T00:13:19Z</dcterms:modified>
</cp:coreProperties>
</file>