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ml.chartshapes+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6.xml" ContentType="application/vnd.openxmlformats-officedocument.drawingml.chartshapes+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7.xml" ContentType="application/vnd.openxmlformats-officedocument.drawingml.chartshapes+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8.xml" ContentType="application/vnd.openxmlformats-officedocument.drawingml.chartshap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9.xml" ContentType="application/vnd.openxmlformats-officedocument.drawingml.chartshapes+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0.xml" ContentType="application/vnd.openxmlformats-officedocument.drawingml.chartshapes+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1.xml" ContentType="application/vnd.openxmlformats-officedocument.drawingml.chartshapes+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2.xml" ContentType="application/vnd.openxmlformats-officedocument.drawingml.chartshapes+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3.xml" ContentType="application/vnd.openxmlformats-officedocument.drawingml.chartshapes+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ml.chartshapes+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ml.chartshap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6.xml" ContentType="application/vnd.openxmlformats-officedocument.drawingml.chartshapes+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pivotTables/pivotTable1.xml" ContentType="application/vnd.openxmlformats-officedocument.spreadsheetml.pivotTable+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slicers/slicer1.xml" ContentType="application/vnd.ms-excel.slicer+xml"/>
  <Override PartName="/xl/drawings/drawing18.xml" ContentType="application/vnd.openxmlformats-officedocument.drawing+xml"/>
  <Override PartName="/xl/ink/ink1.xml" ContentType="application/inkml+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2109D909-C6D8-E34B-4C66-09127ED2DC46}"/>
  <workbookPr codeName="ThisWorkbook" hidePivotFieldList="1" defaultThemeVersion="166925"/>
  <mc:AlternateContent xmlns:mc="http://schemas.openxmlformats.org/markup-compatibility/2006">
    <mc:Choice Requires="x15">
      <x15ac:absPath xmlns:x15ac="http://schemas.microsoft.com/office/spreadsheetml/2010/11/ac" url="C:\Users\Lunatecs\Documents\"/>
    </mc:Choice>
  </mc:AlternateContent>
  <xr:revisionPtr revIDLastSave="0" documentId="13_ncr:1_{CDBD6159-6065-4FD3-BD36-2E5761202A9A}" xr6:coauthVersionLast="45" xr6:coauthVersionMax="45" xr10:uidLastSave="{00000000-0000-0000-0000-000000000000}"/>
  <bookViews>
    <workbookView xWindow="-120" yWindow="-120" windowWidth="29040" windowHeight="15840" activeTab="4" xr2:uid="{359FFFC7-6EB2-4A38-9C36-520E2E4D5C7B}"/>
  </bookViews>
  <sheets>
    <sheet name="Score" sheetId="1" r:id="rId1"/>
    <sheet name="Auton" sheetId="7" r:id="rId2"/>
    <sheet name="5420" sheetId="8" state="hidden" r:id="rId3"/>
    <sheet name="alliance" sheetId="3" r:id="rId4"/>
    <sheet name="alliance selection" sheetId="5" r:id="rId5"/>
    <sheet name="Draw" sheetId="11" r:id="rId6"/>
    <sheet name="field" sheetId="12" r:id="rId7"/>
    <sheet name="weighting" sheetId="4" r:id="rId8"/>
    <sheet name="team listing" sheetId="2" r:id="rId9"/>
  </sheets>
  <definedNames>
    <definedName name="Adjustable_Climber">Score!$AB$2:$AB$702</definedName>
    <definedName name="all_balls_scored">Score!$AP$2:$AP$700</definedName>
    <definedName name="all_balls_scored_high">Score!$AQ$2:$AQ$700</definedName>
    <definedName name="all_balls_scored_Low">Score!$AR$2:$AR$700</definedName>
    <definedName name="Any_Fouls">Score!$AE$2:$AE$702</definedName>
    <definedName name="Auton_Balls_Picked_Up">Score!$I$2:$I$702</definedName>
    <definedName name="Auton_Balls_Picked_Up_in_Mid">Score!$F$2:$F$700</definedName>
    <definedName name="Auton_Balls_Picked_Up_In_our_Trench">Score!$E$2:$E$700</definedName>
    <definedName name="Auton_Balls_Picked_Up_In_Their_Trench">Score!$G$2:$G$700</definedName>
    <definedName name="auton_balls_scored">Score!$J$2:$J$702</definedName>
    <definedName name="Auton_Extra_Balls_Picked_Up">Score!$E$2:$E$702</definedName>
    <definedName name="Auton_Move_Off_Line">Score!$H$2:$H$702</definedName>
    <definedName name="auton_our_score">Score!$K$2:$K$702</definedName>
    <definedName name="Auton_Scored_High">Score!$C$2:$C$702</definedName>
    <definedName name="Auton_Scored_Low">Score!$D$2:$D$702</definedName>
    <definedName name="Auton_start">Score!$B$2:$B$702</definedName>
    <definedName name="Auton_start_center">Score!$AN$2:$AN$700</definedName>
    <definedName name="auton_start_left">Score!$AM$2:$AM$700</definedName>
    <definedName name="auton_start_right">Score!$AO$2:$AO$700</definedName>
    <definedName name="Balanced">Score!$AC$2:$AC$700</definedName>
    <definedName name="Balls_Passed">Score!$P$2:$P$702</definedName>
    <definedName name="balls_scored">Score!$W$2:$W$702</definedName>
    <definedName name="Balls_Scored_From_Alliance_zone">Score!$N$2:$N$702</definedName>
    <definedName name="Balls_Scored_from_Mid">Score!$M$2:$M$702</definedName>
    <definedName name="Balls_Scored_From_Trench">Score!$L$2:$L$702</definedName>
    <definedName name="balls_scored_high">Score!$V$2:$V$702</definedName>
    <definedName name="balls_scored_low">Score!$O$2:$O$702</definedName>
    <definedName name="Breakdown__No_Show">Score!$AF$2:$AF$702</definedName>
    <definedName name="Climbed">Score!$AA$2:$AA$702</definedName>
    <definedName name="commment">Score!$AJ$2:$AJ$702</definedName>
    <definedName name="Contol_Panels_Spun">Score!$Y$2:$Y$702</definedName>
    <definedName name="Control_Panel_Color">Score!$S$2:$S$702</definedName>
    <definedName name="Control_Panel_Color_Time">Score!$T$2:$T$700</definedName>
    <definedName name="Control_Panel_Spun_Time">Score!$R$2:$R$700</definedName>
    <definedName name="Control_Panel_Time">Score!$X$2:$X$700</definedName>
    <definedName name="Control_Panels_Spun">Score!$Q$2:$Q$702</definedName>
    <definedName name="Defense_Level">Score!$U$2:$U$702</definedName>
    <definedName name="Endgame_our_score">Score!$AK$2:$AK$702</definedName>
    <definedName name="Lift_other_Robot">Score!$AD$2:$AD$702</definedName>
    <definedName name="match_number">Score!$AH$2:$AH$702</definedName>
    <definedName name="our_score">Score!$AL$2:$AL$700</definedName>
    <definedName name="recovery">Score!$AG$2:$AG$702</definedName>
    <definedName name="scouter_initials">Score!$AI$2:$AI$702</definedName>
    <definedName name="Slicer_commment">#N/A</definedName>
    <definedName name="Slicer_Team_number">#N/A</definedName>
    <definedName name="Team">Score!$A$2:$A$702</definedName>
    <definedName name="teleop_our_score">Score!$Z$2:$Z$702</definedName>
    <definedName name="time_spun_color_w__out_0">Score!$AT$2:$AT$700</definedName>
    <definedName name="time_spun_w__out_0">Score!$AS$2:$AS$700</definedName>
  </definedNames>
  <calcPr calcId="191029"/>
  <pivotCaches>
    <pivotCache cacheId="4"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R38" i="1" l="1"/>
  <c r="AS38" i="1"/>
  <c r="AR39" i="1"/>
  <c r="AS39" i="1"/>
  <c r="AR40" i="1"/>
  <c r="AS40" i="1"/>
  <c r="AR41" i="1"/>
  <c r="AS41" i="1"/>
  <c r="AR42" i="1"/>
  <c r="AS42" i="1"/>
  <c r="AR43" i="1"/>
  <c r="AS43" i="1"/>
  <c r="AR44" i="1"/>
  <c r="AS44" i="1"/>
  <c r="AR45" i="1"/>
  <c r="AS45" i="1"/>
  <c r="AR46" i="1"/>
  <c r="AS46" i="1"/>
  <c r="AR47" i="1"/>
  <c r="AS47" i="1"/>
  <c r="AR48" i="1"/>
  <c r="AS48" i="1"/>
  <c r="AR49" i="1"/>
  <c r="AS49" i="1"/>
  <c r="AR50" i="1"/>
  <c r="AS50" i="1"/>
  <c r="AR51" i="1"/>
  <c r="AS51" i="1"/>
  <c r="AR52" i="1"/>
  <c r="AS52" i="1"/>
  <c r="AR53" i="1"/>
  <c r="AS53" i="1"/>
  <c r="AR54" i="1"/>
  <c r="AS54" i="1"/>
  <c r="AR55" i="1"/>
  <c r="AS55" i="1"/>
  <c r="AR56" i="1"/>
  <c r="AS56" i="1"/>
  <c r="AR57" i="1"/>
  <c r="AS57" i="1"/>
  <c r="AR58" i="1"/>
  <c r="AS58" i="1"/>
  <c r="AR59" i="1"/>
  <c r="AS59" i="1"/>
  <c r="AR60" i="1"/>
  <c r="AS60" i="1"/>
  <c r="AR61" i="1"/>
  <c r="AS61" i="1"/>
  <c r="AR62" i="1"/>
  <c r="AS62" i="1"/>
  <c r="AR63" i="1"/>
  <c r="AS63" i="1"/>
  <c r="AR64" i="1"/>
  <c r="AS64" i="1"/>
  <c r="AR65" i="1"/>
  <c r="AS65" i="1"/>
  <c r="AR66" i="1"/>
  <c r="AS66" i="1"/>
  <c r="AR67" i="1"/>
  <c r="AS67" i="1"/>
  <c r="AR68" i="1"/>
  <c r="AS68" i="1"/>
  <c r="AR69" i="1"/>
  <c r="AS69" i="1"/>
  <c r="AR70" i="1"/>
  <c r="AS70" i="1"/>
  <c r="AR71" i="1"/>
  <c r="AS71" i="1"/>
  <c r="AR72" i="1"/>
  <c r="AS72" i="1"/>
  <c r="AR73" i="1"/>
  <c r="AS73" i="1"/>
  <c r="AR74" i="1"/>
  <c r="AS74" i="1"/>
  <c r="AR75" i="1"/>
  <c r="AS75" i="1"/>
  <c r="AR76" i="1"/>
  <c r="AS76" i="1"/>
  <c r="AR77" i="1"/>
  <c r="AS77" i="1"/>
  <c r="AR78" i="1"/>
  <c r="AS78" i="1"/>
  <c r="AR79" i="1"/>
  <c r="AS79" i="1"/>
  <c r="AR80" i="1"/>
  <c r="AS80" i="1"/>
  <c r="AR81" i="1"/>
  <c r="AS81" i="1"/>
  <c r="AR82" i="1"/>
  <c r="AS82" i="1"/>
  <c r="AR83" i="1"/>
  <c r="AS83" i="1"/>
  <c r="AR84" i="1"/>
  <c r="AS84" i="1"/>
  <c r="AR85" i="1"/>
  <c r="AS85" i="1"/>
  <c r="AR86" i="1"/>
  <c r="AS86" i="1"/>
  <c r="AR87" i="1"/>
  <c r="AS87" i="1"/>
  <c r="AR88" i="1"/>
  <c r="AS88" i="1"/>
  <c r="AR89" i="1"/>
  <c r="AS89" i="1"/>
  <c r="AR90" i="1"/>
  <c r="AS90" i="1"/>
  <c r="AR91" i="1"/>
  <c r="AS91" i="1"/>
  <c r="AR92" i="1"/>
  <c r="AS92" i="1"/>
  <c r="AR93" i="1"/>
  <c r="AS93" i="1"/>
  <c r="AR94" i="1"/>
  <c r="AS94" i="1"/>
  <c r="AR95" i="1"/>
  <c r="AS95" i="1"/>
  <c r="AR96" i="1"/>
  <c r="AS96" i="1"/>
  <c r="AR97" i="1"/>
  <c r="AS97" i="1"/>
  <c r="AR98" i="1"/>
  <c r="AS98" i="1"/>
  <c r="AR99" i="1"/>
  <c r="AS99" i="1"/>
  <c r="AR100" i="1"/>
  <c r="AS100" i="1"/>
  <c r="AR101" i="1"/>
  <c r="AS101" i="1"/>
  <c r="AR102" i="1"/>
  <c r="AS102" i="1"/>
  <c r="AR103" i="1"/>
  <c r="AS103" i="1"/>
  <c r="AR104" i="1"/>
  <c r="AS104" i="1"/>
  <c r="AR105" i="1"/>
  <c r="AS105" i="1"/>
  <c r="AR106" i="1"/>
  <c r="AS106" i="1"/>
  <c r="AR107" i="1"/>
  <c r="AS107" i="1"/>
  <c r="AR108" i="1"/>
  <c r="AS108" i="1"/>
  <c r="AR109" i="1"/>
  <c r="AS109" i="1"/>
  <c r="AR110" i="1"/>
  <c r="AS110" i="1"/>
  <c r="AR111" i="1"/>
  <c r="AS111" i="1"/>
  <c r="AR112" i="1"/>
  <c r="AS112" i="1"/>
  <c r="AR113" i="1"/>
  <c r="AS113" i="1"/>
  <c r="AR114" i="1"/>
  <c r="AS114" i="1"/>
  <c r="AR115" i="1"/>
  <c r="AS115" i="1"/>
  <c r="AR116" i="1"/>
  <c r="AS116" i="1"/>
  <c r="AR117" i="1"/>
  <c r="AS117" i="1"/>
  <c r="AR118" i="1"/>
  <c r="AS118" i="1"/>
  <c r="AR119" i="1"/>
  <c r="AS119" i="1"/>
  <c r="AR120" i="1"/>
  <c r="AS120" i="1"/>
  <c r="AR121" i="1"/>
  <c r="AS121" i="1"/>
  <c r="AR122" i="1"/>
  <c r="AS122" i="1"/>
  <c r="AR123" i="1"/>
  <c r="AS123" i="1"/>
  <c r="AR124" i="1"/>
  <c r="AS124" i="1"/>
  <c r="AR125" i="1"/>
  <c r="AS125" i="1"/>
  <c r="AR126" i="1"/>
  <c r="AS126" i="1"/>
  <c r="AR127" i="1"/>
  <c r="AS127" i="1"/>
  <c r="AR128" i="1"/>
  <c r="AS128" i="1"/>
  <c r="AR129" i="1"/>
  <c r="AS129" i="1"/>
  <c r="AR130" i="1"/>
  <c r="AS130" i="1"/>
  <c r="AR131" i="1"/>
  <c r="AS131" i="1"/>
  <c r="AR132" i="1"/>
  <c r="AS132" i="1"/>
  <c r="AR133" i="1"/>
  <c r="AS133" i="1"/>
  <c r="AR134" i="1"/>
  <c r="AS134" i="1"/>
  <c r="AR135" i="1"/>
  <c r="AS135" i="1"/>
  <c r="AR136" i="1"/>
  <c r="AS136" i="1"/>
  <c r="AR137" i="1"/>
  <c r="AS137" i="1"/>
  <c r="AR138" i="1"/>
  <c r="AS138" i="1"/>
  <c r="AR139" i="1"/>
  <c r="AS139" i="1"/>
  <c r="AR140" i="1"/>
  <c r="AS140" i="1"/>
  <c r="AR141" i="1"/>
  <c r="AS141" i="1"/>
  <c r="AR142" i="1"/>
  <c r="AS142" i="1"/>
  <c r="AR143" i="1"/>
  <c r="AS143" i="1"/>
  <c r="AR144" i="1"/>
  <c r="AS144" i="1"/>
  <c r="AR145" i="1"/>
  <c r="AS145" i="1"/>
  <c r="AR146" i="1"/>
  <c r="AS146" i="1"/>
  <c r="AR147" i="1"/>
  <c r="AS147" i="1"/>
  <c r="AR148" i="1"/>
  <c r="AS148" i="1"/>
  <c r="AR149" i="1"/>
  <c r="AS149" i="1"/>
  <c r="AR150" i="1"/>
  <c r="AS150" i="1"/>
  <c r="AR151" i="1"/>
  <c r="AS151" i="1"/>
  <c r="AR152" i="1"/>
  <c r="AS152" i="1"/>
  <c r="AR153" i="1"/>
  <c r="AS153" i="1"/>
  <c r="AR154" i="1"/>
  <c r="AS154" i="1"/>
  <c r="AR155" i="1"/>
  <c r="AS155" i="1"/>
  <c r="AR156" i="1"/>
  <c r="AS156" i="1"/>
  <c r="AR157" i="1"/>
  <c r="AS157" i="1"/>
  <c r="AR158" i="1"/>
  <c r="AS158" i="1"/>
  <c r="AR159" i="1"/>
  <c r="AS159" i="1"/>
  <c r="AR160" i="1"/>
  <c r="AS160" i="1"/>
  <c r="AR161" i="1"/>
  <c r="AS161" i="1"/>
  <c r="AR162" i="1"/>
  <c r="AS162" i="1"/>
  <c r="AR163" i="1"/>
  <c r="AS163" i="1"/>
  <c r="AR164" i="1"/>
  <c r="AS164" i="1"/>
  <c r="AR165" i="1"/>
  <c r="AS165" i="1"/>
  <c r="AR166" i="1"/>
  <c r="AS166" i="1"/>
  <c r="AR167" i="1"/>
  <c r="AS167" i="1"/>
  <c r="AR168" i="1"/>
  <c r="AS168" i="1"/>
  <c r="AR169" i="1"/>
  <c r="AS169" i="1"/>
  <c r="AR170" i="1"/>
  <c r="AS170" i="1"/>
  <c r="AR171" i="1"/>
  <c r="AS171" i="1"/>
  <c r="AR172" i="1"/>
  <c r="AS172" i="1"/>
  <c r="AR173" i="1"/>
  <c r="AS173" i="1"/>
  <c r="AR174" i="1"/>
  <c r="AS174" i="1"/>
  <c r="AR175" i="1"/>
  <c r="AS175" i="1"/>
  <c r="AR176" i="1"/>
  <c r="AS176" i="1"/>
  <c r="AR177" i="1"/>
  <c r="AS177" i="1"/>
  <c r="AR178" i="1"/>
  <c r="AS178" i="1"/>
  <c r="AR179" i="1"/>
  <c r="AS179" i="1"/>
  <c r="AR180" i="1"/>
  <c r="AS180" i="1"/>
  <c r="AR181" i="1"/>
  <c r="AS181" i="1"/>
  <c r="AR182" i="1"/>
  <c r="AS182" i="1"/>
  <c r="AR183" i="1"/>
  <c r="AS183" i="1"/>
  <c r="AR184" i="1"/>
  <c r="AS184" i="1"/>
  <c r="AR185" i="1"/>
  <c r="AS185" i="1"/>
  <c r="AR186" i="1"/>
  <c r="AS186" i="1"/>
  <c r="AR187" i="1"/>
  <c r="AS187" i="1"/>
  <c r="AR188" i="1"/>
  <c r="AS188" i="1"/>
  <c r="AR189" i="1"/>
  <c r="AS189" i="1"/>
  <c r="AR190" i="1"/>
  <c r="AS190" i="1"/>
  <c r="AR191" i="1"/>
  <c r="AS191" i="1"/>
  <c r="AR192" i="1"/>
  <c r="AS192" i="1"/>
  <c r="AR193" i="1"/>
  <c r="AS193" i="1"/>
  <c r="AR194" i="1"/>
  <c r="AS194" i="1"/>
  <c r="AR195" i="1"/>
  <c r="AS195" i="1"/>
  <c r="AR196" i="1"/>
  <c r="AS196" i="1"/>
  <c r="AR197" i="1"/>
  <c r="AS197" i="1"/>
  <c r="AR198" i="1"/>
  <c r="AS198" i="1"/>
  <c r="AR199" i="1"/>
  <c r="AS199" i="1"/>
  <c r="AR200" i="1"/>
  <c r="AS200" i="1"/>
  <c r="AR201" i="1"/>
  <c r="AS201" i="1"/>
  <c r="AR202" i="1"/>
  <c r="AS202" i="1"/>
  <c r="AR203" i="1"/>
  <c r="AS203" i="1"/>
  <c r="AR204" i="1"/>
  <c r="AS204" i="1"/>
  <c r="AR205" i="1"/>
  <c r="AS205" i="1"/>
  <c r="AR206" i="1"/>
  <c r="AS206" i="1"/>
  <c r="AR207" i="1"/>
  <c r="AS207" i="1"/>
  <c r="AR208" i="1"/>
  <c r="AS208" i="1"/>
  <c r="AR209" i="1"/>
  <c r="AS209" i="1"/>
  <c r="AR210" i="1"/>
  <c r="AS210" i="1"/>
  <c r="AR211" i="1"/>
  <c r="AS211" i="1"/>
  <c r="AR212" i="1"/>
  <c r="AS212" i="1"/>
  <c r="AR213" i="1"/>
  <c r="AS213" i="1"/>
  <c r="AR214" i="1"/>
  <c r="AS214" i="1"/>
  <c r="AR215" i="1"/>
  <c r="AS215" i="1"/>
  <c r="AR216" i="1"/>
  <c r="AS216" i="1"/>
  <c r="AR217" i="1"/>
  <c r="AS217" i="1"/>
  <c r="AR218" i="1"/>
  <c r="AS218" i="1"/>
  <c r="AR219" i="1"/>
  <c r="AS219" i="1"/>
  <c r="AR220" i="1"/>
  <c r="AS220" i="1"/>
  <c r="AR221" i="1"/>
  <c r="AS221" i="1"/>
  <c r="AR222" i="1"/>
  <c r="AS222" i="1"/>
  <c r="AR223" i="1"/>
  <c r="AS223" i="1"/>
  <c r="AR224" i="1"/>
  <c r="AS224" i="1"/>
  <c r="AR225" i="1"/>
  <c r="AS225" i="1"/>
  <c r="AR226" i="1"/>
  <c r="AS226" i="1"/>
  <c r="AR227" i="1"/>
  <c r="AS227" i="1"/>
  <c r="AR228" i="1"/>
  <c r="AS228" i="1"/>
  <c r="AR229" i="1"/>
  <c r="AS229" i="1"/>
  <c r="AR230" i="1"/>
  <c r="AS230" i="1"/>
  <c r="AR231" i="1"/>
  <c r="AS231" i="1"/>
  <c r="AR232" i="1"/>
  <c r="AS232" i="1"/>
  <c r="AR233" i="1"/>
  <c r="AS233" i="1"/>
  <c r="AR234" i="1"/>
  <c r="AS234" i="1"/>
  <c r="AR235" i="1"/>
  <c r="AS235" i="1"/>
  <c r="AR236" i="1"/>
  <c r="AS236" i="1"/>
  <c r="AR237" i="1"/>
  <c r="AS237" i="1"/>
  <c r="AR238" i="1"/>
  <c r="AS238" i="1"/>
  <c r="AR239" i="1"/>
  <c r="AS239" i="1"/>
  <c r="AR240" i="1"/>
  <c r="AS240" i="1"/>
  <c r="AR241" i="1"/>
  <c r="AS241" i="1"/>
  <c r="AR242" i="1"/>
  <c r="AS242" i="1"/>
  <c r="AR243" i="1"/>
  <c r="AS243" i="1"/>
  <c r="AR244" i="1"/>
  <c r="AS244" i="1"/>
  <c r="AR245" i="1"/>
  <c r="AS245" i="1"/>
  <c r="AR246" i="1"/>
  <c r="AS246" i="1"/>
  <c r="AR247" i="1"/>
  <c r="AS247" i="1"/>
  <c r="AR248" i="1"/>
  <c r="AS248" i="1"/>
  <c r="AR249" i="1"/>
  <c r="AS249" i="1"/>
  <c r="AR250" i="1"/>
  <c r="AS250" i="1"/>
  <c r="AR251" i="1"/>
  <c r="AS251" i="1"/>
  <c r="AR252" i="1"/>
  <c r="AS252" i="1"/>
  <c r="AR253" i="1"/>
  <c r="AS253" i="1"/>
  <c r="AR254" i="1"/>
  <c r="AS254" i="1"/>
  <c r="AR255" i="1"/>
  <c r="AS255" i="1"/>
  <c r="AR256" i="1"/>
  <c r="AS256" i="1"/>
  <c r="AR257" i="1"/>
  <c r="AS257" i="1"/>
  <c r="AR258" i="1"/>
  <c r="AS258" i="1"/>
  <c r="AR259" i="1"/>
  <c r="AS259" i="1"/>
  <c r="AR260" i="1"/>
  <c r="AS260" i="1"/>
  <c r="AR261" i="1"/>
  <c r="AS261" i="1"/>
  <c r="AR262" i="1"/>
  <c r="AS262" i="1"/>
  <c r="AR263" i="1"/>
  <c r="AS263" i="1"/>
  <c r="AR264" i="1"/>
  <c r="AS264" i="1"/>
  <c r="AR265" i="1"/>
  <c r="AS265" i="1"/>
  <c r="AR266" i="1"/>
  <c r="AS266" i="1"/>
  <c r="AR267" i="1"/>
  <c r="AS267" i="1"/>
  <c r="AR268" i="1"/>
  <c r="AS268" i="1"/>
  <c r="AR269" i="1"/>
  <c r="AS269" i="1"/>
  <c r="AR270" i="1"/>
  <c r="AS270" i="1"/>
  <c r="AR271" i="1"/>
  <c r="AS271" i="1"/>
  <c r="AR272" i="1"/>
  <c r="AS272" i="1"/>
  <c r="AR273" i="1"/>
  <c r="AS273" i="1"/>
  <c r="AR274" i="1"/>
  <c r="AS274" i="1"/>
  <c r="AR275" i="1"/>
  <c r="AS275" i="1"/>
  <c r="AR276" i="1"/>
  <c r="AS276" i="1"/>
  <c r="AR277" i="1"/>
  <c r="AS277" i="1"/>
  <c r="AR278" i="1"/>
  <c r="AS278" i="1"/>
  <c r="AR279" i="1"/>
  <c r="AS279" i="1"/>
  <c r="AR280" i="1"/>
  <c r="AS280" i="1"/>
  <c r="AR281" i="1"/>
  <c r="AS281" i="1"/>
  <c r="AR282" i="1"/>
  <c r="AS282" i="1"/>
  <c r="AR283" i="1"/>
  <c r="AS283" i="1"/>
  <c r="AR284" i="1"/>
  <c r="AS284" i="1"/>
  <c r="AR285" i="1"/>
  <c r="AS285" i="1"/>
  <c r="AR286" i="1"/>
  <c r="AS286" i="1"/>
  <c r="AR287" i="1"/>
  <c r="AS287" i="1"/>
  <c r="AR288" i="1"/>
  <c r="AS288" i="1"/>
  <c r="AR289" i="1"/>
  <c r="AS289" i="1"/>
  <c r="AR290" i="1"/>
  <c r="AS290" i="1"/>
  <c r="AR291" i="1"/>
  <c r="AS291" i="1"/>
  <c r="AR292" i="1"/>
  <c r="AS292" i="1"/>
  <c r="AR293" i="1"/>
  <c r="AS293" i="1"/>
  <c r="AR294" i="1"/>
  <c r="AS294" i="1"/>
  <c r="AR295" i="1"/>
  <c r="AS295" i="1"/>
  <c r="AR296" i="1"/>
  <c r="AS296" i="1"/>
  <c r="AR297" i="1"/>
  <c r="AS297" i="1"/>
  <c r="AR298" i="1"/>
  <c r="AS298" i="1"/>
  <c r="AR299" i="1"/>
  <c r="AS299" i="1"/>
  <c r="AR300" i="1"/>
  <c r="AS300" i="1"/>
  <c r="AR301" i="1"/>
  <c r="AS301" i="1"/>
  <c r="AR302" i="1"/>
  <c r="AS302" i="1"/>
  <c r="AR303" i="1"/>
  <c r="AS303" i="1"/>
  <c r="AR304" i="1"/>
  <c r="AS304" i="1"/>
  <c r="AR305" i="1"/>
  <c r="AS305" i="1"/>
  <c r="AR306" i="1"/>
  <c r="AS306" i="1"/>
  <c r="AR307" i="1"/>
  <c r="AS307" i="1"/>
  <c r="AR308" i="1"/>
  <c r="AS308" i="1"/>
  <c r="AR309" i="1"/>
  <c r="AS309" i="1"/>
  <c r="AR310" i="1"/>
  <c r="AS310" i="1"/>
  <c r="AR311" i="1"/>
  <c r="AS311" i="1"/>
  <c r="AR312" i="1"/>
  <c r="AS312" i="1"/>
  <c r="AR313" i="1"/>
  <c r="AS313" i="1"/>
  <c r="AR314" i="1"/>
  <c r="AS314" i="1"/>
  <c r="AR315" i="1"/>
  <c r="AS315" i="1"/>
  <c r="AR316" i="1"/>
  <c r="AS316" i="1"/>
  <c r="AR317" i="1"/>
  <c r="AS317" i="1"/>
  <c r="AR318" i="1"/>
  <c r="AS318" i="1"/>
  <c r="AR319" i="1"/>
  <c r="AS319" i="1"/>
  <c r="AR320" i="1"/>
  <c r="AS320" i="1"/>
  <c r="AR321" i="1"/>
  <c r="AS321" i="1"/>
  <c r="AR322" i="1"/>
  <c r="AS322" i="1"/>
  <c r="AR323" i="1"/>
  <c r="AS323" i="1"/>
  <c r="AR324" i="1"/>
  <c r="AS324" i="1"/>
  <c r="AR325" i="1"/>
  <c r="AS325" i="1"/>
  <c r="AR326" i="1"/>
  <c r="AS326" i="1"/>
  <c r="AR327" i="1"/>
  <c r="AS327" i="1"/>
  <c r="AR328" i="1"/>
  <c r="AS328" i="1"/>
  <c r="AR329" i="1"/>
  <c r="AS329" i="1"/>
  <c r="AR330" i="1"/>
  <c r="AS330" i="1"/>
  <c r="AR331" i="1"/>
  <c r="AS331" i="1"/>
  <c r="AR332" i="1"/>
  <c r="AS332" i="1"/>
  <c r="AR333" i="1"/>
  <c r="AS333" i="1"/>
  <c r="AR334" i="1"/>
  <c r="AS334" i="1"/>
  <c r="AR335" i="1"/>
  <c r="AS335" i="1"/>
  <c r="AR336" i="1"/>
  <c r="AS336" i="1"/>
  <c r="AR337" i="1"/>
  <c r="AS337" i="1"/>
  <c r="AR338" i="1"/>
  <c r="AS338" i="1"/>
  <c r="AR339" i="1"/>
  <c r="AS339" i="1"/>
  <c r="AR340" i="1"/>
  <c r="AS340" i="1"/>
  <c r="AR341" i="1"/>
  <c r="AS341" i="1"/>
  <c r="AR342" i="1"/>
  <c r="AS342" i="1"/>
  <c r="AR343" i="1"/>
  <c r="AS343" i="1"/>
  <c r="AR344" i="1"/>
  <c r="AS344" i="1"/>
  <c r="AR345" i="1"/>
  <c r="AS345" i="1"/>
  <c r="AR346" i="1"/>
  <c r="AS346" i="1"/>
  <c r="AR347" i="1"/>
  <c r="AS347" i="1"/>
  <c r="AR348" i="1"/>
  <c r="AS348" i="1"/>
  <c r="AR349" i="1"/>
  <c r="AS349" i="1"/>
  <c r="AR350" i="1"/>
  <c r="AS350" i="1"/>
  <c r="AR351" i="1"/>
  <c r="AS351" i="1"/>
  <c r="AR352" i="1"/>
  <c r="AS352" i="1"/>
  <c r="AR353" i="1"/>
  <c r="AS353" i="1"/>
  <c r="AR354" i="1"/>
  <c r="AS354" i="1"/>
  <c r="AR355" i="1"/>
  <c r="AS355" i="1"/>
  <c r="AR356" i="1"/>
  <c r="AS356" i="1"/>
  <c r="AR357" i="1"/>
  <c r="AS357" i="1"/>
  <c r="AR358" i="1"/>
  <c r="AS358" i="1"/>
  <c r="AR359" i="1"/>
  <c r="AS359" i="1"/>
  <c r="AR360" i="1"/>
  <c r="AS360" i="1"/>
  <c r="AR361" i="1"/>
  <c r="AS361" i="1"/>
  <c r="AR362" i="1"/>
  <c r="AS362" i="1"/>
  <c r="AR363" i="1"/>
  <c r="AS363" i="1"/>
  <c r="AR364" i="1"/>
  <c r="AS364" i="1"/>
  <c r="AR365" i="1"/>
  <c r="AS365" i="1"/>
  <c r="AR366" i="1"/>
  <c r="AS366" i="1"/>
  <c r="AR367" i="1"/>
  <c r="AS367" i="1"/>
  <c r="AR368" i="1"/>
  <c r="AS368" i="1"/>
  <c r="AR369" i="1"/>
  <c r="AS369" i="1"/>
  <c r="AR370" i="1"/>
  <c r="AS370" i="1"/>
  <c r="AR371" i="1"/>
  <c r="AS371" i="1"/>
  <c r="AR372" i="1"/>
  <c r="AS372" i="1"/>
  <c r="AR373" i="1"/>
  <c r="AS373" i="1"/>
  <c r="AR374" i="1"/>
  <c r="AS374" i="1"/>
  <c r="AR375" i="1"/>
  <c r="AS375" i="1"/>
  <c r="AR376" i="1"/>
  <c r="AS376" i="1"/>
  <c r="AR377" i="1"/>
  <c r="AS377" i="1"/>
  <c r="AR378" i="1"/>
  <c r="AS378" i="1"/>
  <c r="AR379" i="1"/>
  <c r="AS379" i="1"/>
  <c r="AR380" i="1"/>
  <c r="AS380" i="1"/>
  <c r="AR381" i="1"/>
  <c r="AS381" i="1"/>
  <c r="AR382" i="1"/>
  <c r="AS382" i="1"/>
  <c r="AR383" i="1"/>
  <c r="AS383" i="1"/>
  <c r="AR384" i="1"/>
  <c r="AS384" i="1"/>
  <c r="AR385" i="1"/>
  <c r="AS385" i="1"/>
  <c r="AR386" i="1"/>
  <c r="AS386" i="1"/>
  <c r="AR387" i="1"/>
  <c r="AS387" i="1"/>
  <c r="AR388" i="1"/>
  <c r="AS388" i="1"/>
  <c r="AR389" i="1"/>
  <c r="AS389" i="1"/>
  <c r="AR390" i="1"/>
  <c r="AS390" i="1"/>
  <c r="AR391" i="1"/>
  <c r="AS391" i="1"/>
  <c r="AR392" i="1"/>
  <c r="AS392" i="1"/>
  <c r="AR393" i="1"/>
  <c r="AS393" i="1"/>
  <c r="AR394" i="1"/>
  <c r="AS394" i="1"/>
  <c r="AR395" i="1"/>
  <c r="AS395" i="1"/>
  <c r="AR396" i="1"/>
  <c r="AS396" i="1"/>
  <c r="AR397" i="1"/>
  <c r="AS397" i="1"/>
  <c r="AR398" i="1"/>
  <c r="AS398" i="1"/>
  <c r="AR399" i="1"/>
  <c r="AS399" i="1"/>
  <c r="AR400" i="1"/>
  <c r="AS400" i="1"/>
  <c r="AR401" i="1"/>
  <c r="AS401" i="1"/>
  <c r="AR402" i="1"/>
  <c r="AS402" i="1"/>
  <c r="AR403" i="1"/>
  <c r="AS403" i="1"/>
  <c r="AR404" i="1"/>
  <c r="AS404" i="1"/>
  <c r="AR405" i="1"/>
  <c r="AS405" i="1"/>
  <c r="AR406" i="1"/>
  <c r="AS406" i="1"/>
  <c r="AR407" i="1"/>
  <c r="AS407" i="1"/>
  <c r="AR408" i="1"/>
  <c r="AS408" i="1"/>
  <c r="AR409" i="1"/>
  <c r="AS409" i="1"/>
  <c r="AR410" i="1"/>
  <c r="AS410" i="1"/>
  <c r="AR411" i="1"/>
  <c r="AS411" i="1"/>
  <c r="AR412" i="1"/>
  <c r="AS412" i="1"/>
  <c r="AR413" i="1"/>
  <c r="AS413" i="1"/>
  <c r="AR414" i="1"/>
  <c r="AS414" i="1"/>
  <c r="AR415" i="1"/>
  <c r="AS415" i="1"/>
  <c r="AR416" i="1"/>
  <c r="AS416" i="1"/>
  <c r="AR417" i="1"/>
  <c r="AS417" i="1"/>
  <c r="AR418" i="1"/>
  <c r="AS418" i="1"/>
  <c r="AR419" i="1"/>
  <c r="AS419" i="1"/>
  <c r="AR420" i="1"/>
  <c r="AS420" i="1"/>
  <c r="AR421" i="1"/>
  <c r="AS421" i="1"/>
  <c r="AR422" i="1"/>
  <c r="AS422" i="1"/>
  <c r="AR423" i="1"/>
  <c r="AS423" i="1"/>
  <c r="AR424" i="1"/>
  <c r="AS424" i="1"/>
  <c r="AR425" i="1"/>
  <c r="AS425" i="1"/>
  <c r="AR426" i="1"/>
  <c r="AS426" i="1"/>
  <c r="AR427" i="1"/>
  <c r="AS427" i="1"/>
  <c r="AR428" i="1"/>
  <c r="AS428" i="1"/>
  <c r="AR429" i="1"/>
  <c r="AS429" i="1"/>
  <c r="AR430" i="1"/>
  <c r="AS430" i="1"/>
  <c r="AR431" i="1"/>
  <c r="AS431" i="1"/>
  <c r="AR432" i="1"/>
  <c r="AS432" i="1"/>
  <c r="AR433" i="1"/>
  <c r="AS433" i="1"/>
  <c r="AR434" i="1"/>
  <c r="AS434" i="1"/>
  <c r="AR435" i="1"/>
  <c r="AS435" i="1"/>
  <c r="AR436" i="1"/>
  <c r="AS436" i="1"/>
  <c r="AR437" i="1"/>
  <c r="AS437" i="1"/>
  <c r="AR438" i="1"/>
  <c r="AS438" i="1"/>
  <c r="AR439" i="1"/>
  <c r="AS439" i="1"/>
  <c r="AR440" i="1"/>
  <c r="AS440" i="1"/>
  <c r="AR441" i="1"/>
  <c r="AS441" i="1"/>
  <c r="AR442" i="1"/>
  <c r="AS442" i="1"/>
  <c r="AR443" i="1"/>
  <c r="AS443" i="1"/>
  <c r="AR444" i="1"/>
  <c r="AS444" i="1"/>
  <c r="AR445" i="1"/>
  <c r="AS445" i="1"/>
  <c r="AR446" i="1"/>
  <c r="AS446" i="1"/>
  <c r="AR447" i="1"/>
  <c r="AS447" i="1"/>
  <c r="AR448" i="1"/>
  <c r="AS448" i="1"/>
  <c r="AR449" i="1"/>
  <c r="AS449" i="1"/>
  <c r="AR450" i="1"/>
  <c r="AS450" i="1"/>
  <c r="AR451" i="1"/>
  <c r="AS451" i="1"/>
  <c r="AR452" i="1"/>
  <c r="AS452" i="1"/>
  <c r="AR453" i="1"/>
  <c r="AS453" i="1"/>
  <c r="AR454" i="1"/>
  <c r="AS454" i="1"/>
  <c r="AR455" i="1"/>
  <c r="AS455" i="1"/>
  <c r="AR456" i="1"/>
  <c r="AS456" i="1"/>
  <c r="AR457" i="1"/>
  <c r="AS457" i="1"/>
  <c r="AR458" i="1"/>
  <c r="AS458" i="1"/>
  <c r="AR459" i="1"/>
  <c r="AS459" i="1"/>
  <c r="AR460" i="1"/>
  <c r="AS460" i="1"/>
  <c r="AR461" i="1"/>
  <c r="AS461" i="1"/>
  <c r="AR462" i="1"/>
  <c r="AS462" i="1"/>
  <c r="AR463" i="1"/>
  <c r="AS463" i="1"/>
  <c r="AR464" i="1"/>
  <c r="AS464" i="1"/>
  <c r="AR465" i="1"/>
  <c r="AS465" i="1"/>
  <c r="AR466" i="1"/>
  <c r="AS466" i="1"/>
  <c r="AR467" i="1"/>
  <c r="AS467" i="1"/>
  <c r="AR468" i="1"/>
  <c r="AS468" i="1"/>
  <c r="AR469" i="1"/>
  <c r="AS469" i="1"/>
  <c r="AR470" i="1"/>
  <c r="AS470" i="1"/>
  <c r="AR471" i="1"/>
  <c r="AS471" i="1"/>
  <c r="AR472" i="1"/>
  <c r="AS472" i="1"/>
  <c r="AR473" i="1"/>
  <c r="AS473" i="1"/>
  <c r="AR474" i="1"/>
  <c r="AS474" i="1"/>
  <c r="AR475" i="1"/>
  <c r="AS475" i="1"/>
  <c r="AR476" i="1"/>
  <c r="AS476" i="1"/>
  <c r="AR477" i="1"/>
  <c r="AS477" i="1"/>
  <c r="AR478" i="1"/>
  <c r="AS478" i="1"/>
  <c r="AR479" i="1"/>
  <c r="AS479" i="1"/>
  <c r="AR480" i="1"/>
  <c r="AS480" i="1"/>
  <c r="AR481" i="1"/>
  <c r="AS481" i="1"/>
  <c r="AR482" i="1"/>
  <c r="AS482" i="1"/>
  <c r="AR483" i="1"/>
  <c r="AS483" i="1"/>
  <c r="AR484" i="1"/>
  <c r="AS484" i="1"/>
  <c r="AR485" i="1"/>
  <c r="AS485" i="1"/>
  <c r="AR486" i="1"/>
  <c r="AS486" i="1"/>
  <c r="AR487" i="1"/>
  <c r="AS487" i="1"/>
  <c r="AR488" i="1"/>
  <c r="AS488" i="1"/>
  <c r="AR489" i="1"/>
  <c r="AS489" i="1"/>
  <c r="AR490" i="1"/>
  <c r="AS490" i="1"/>
  <c r="AR491" i="1"/>
  <c r="AS491" i="1"/>
  <c r="AR492" i="1"/>
  <c r="AS492" i="1"/>
  <c r="AR493" i="1"/>
  <c r="AS493" i="1"/>
  <c r="AR494" i="1"/>
  <c r="AS494" i="1"/>
  <c r="AR495" i="1"/>
  <c r="AS495" i="1"/>
  <c r="AR496" i="1"/>
  <c r="AS496" i="1"/>
  <c r="AR497" i="1"/>
  <c r="AS497" i="1"/>
  <c r="AR498" i="1"/>
  <c r="AS498" i="1"/>
  <c r="AR499" i="1"/>
  <c r="AS499" i="1"/>
  <c r="AR500" i="1"/>
  <c r="AS500" i="1"/>
  <c r="AR501" i="1"/>
  <c r="AS501" i="1"/>
  <c r="AR502" i="1"/>
  <c r="AS502" i="1"/>
  <c r="AR503" i="1"/>
  <c r="AS503" i="1"/>
  <c r="AR504" i="1"/>
  <c r="AS504" i="1"/>
  <c r="AR505" i="1"/>
  <c r="AS505" i="1"/>
  <c r="AR506" i="1"/>
  <c r="AS506" i="1"/>
  <c r="AR507" i="1"/>
  <c r="AS507" i="1"/>
  <c r="AR508" i="1"/>
  <c r="AS508" i="1"/>
  <c r="AR509" i="1"/>
  <c r="AS509" i="1"/>
  <c r="AR510" i="1"/>
  <c r="AS510" i="1"/>
  <c r="AR511" i="1"/>
  <c r="AS511" i="1"/>
  <c r="AR512" i="1"/>
  <c r="AS512" i="1"/>
  <c r="AR513" i="1"/>
  <c r="AS513" i="1"/>
  <c r="AR514" i="1"/>
  <c r="AS514" i="1"/>
  <c r="AR515" i="1"/>
  <c r="AS515" i="1"/>
  <c r="AR516" i="1"/>
  <c r="AS516" i="1"/>
  <c r="AR517" i="1"/>
  <c r="AS517" i="1"/>
  <c r="AR518" i="1"/>
  <c r="AS518" i="1"/>
  <c r="AR519" i="1"/>
  <c r="AS519" i="1"/>
  <c r="AR520" i="1"/>
  <c r="AS520" i="1"/>
  <c r="AR521" i="1"/>
  <c r="AS521" i="1"/>
  <c r="AR522" i="1"/>
  <c r="AS522" i="1"/>
  <c r="AR523" i="1"/>
  <c r="AS523" i="1"/>
  <c r="AR524" i="1"/>
  <c r="AS524" i="1"/>
  <c r="AR525" i="1"/>
  <c r="AS525" i="1"/>
  <c r="AR526" i="1"/>
  <c r="AS526" i="1"/>
  <c r="AR527" i="1"/>
  <c r="AS527" i="1"/>
  <c r="AR528" i="1"/>
  <c r="AS528" i="1"/>
  <c r="AR529" i="1"/>
  <c r="AS529" i="1"/>
  <c r="AR530" i="1"/>
  <c r="AS530" i="1"/>
  <c r="AR531" i="1"/>
  <c r="AS531" i="1"/>
  <c r="AR532" i="1"/>
  <c r="AS532" i="1"/>
  <c r="AR533" i="1"/>
  <c r="AS533" i="1"/>
  <c r="AR534" i="1"/>
  <c r="AS534" i="1"/>
  <c r="AR535" i="1"/>
  <c r="AS535" i="1"/>
  <c r="AR536" i="1"/>
  <c r="AS536" i="1"/>
  <c r="AR537" i="1"/>
  <c r="AS537" i="1"/>
  <c r="AR538" i="1"/>
  <c r="AS538" i="1"/>
  <c r="AR539" i="1"/>
  <c r="AS539" i="1"/>
  <c r="AR540" i="1"/>
  <c r="AS540" i="1"/>
  <c r="AR541" i="1"/>
  <c r="AS541" i="1"/>
  <c r="AR542" i="1"/>
  <c r="AS542" i="1"/>
  <c r="AR543" i="1"/>
  <c r="AS543" i="1"/>
  <c r="AR544" i="1"/>
  <c r="AS544" i="1"/>
  <c r="AR545" i="1"/>
  <c r="AS545" i="1"/>
  <c r="AR546" i="1"/>
  <c r="AS546" i="1"/>
  <c r="AR547" i="1"/>
  <c r="AS547" i="1"/>
  <c r="AR548" i="1"/>
  <c r="AS548" i="1"/>
  <c r="AR549" i="1"/>
  <c r="AS549" i="1"/>
  <c r="AR550" i="1"/>
  <c r="AS550" i="1"/>
  <c r="AR551" i="1"/>
  <c r="AS551" i="1"/>
  <c r="AR552" i="1"/>
  <c r="AS552" i="1"/>
  <c r="AR553" i="1"/>
  <c r="AS553" i="1"/>
  <c r="AR554" i="1"/>
  <c r="AS554" i="1"/>
  <c r="AR555" i="1"/>
  <c r="AS555" i="1"/>
  <c r="AR556" i="1"/>
  <c r="AS556" i="1"/>
  <c r="AR557" i="1"/>
  <c r="AS557" i="1"/>
  <c r="AR558" i="1"/>
  <c r="AS558" i="1"/>
  <c r="AR559" i="1"/>
  <c r="AS559" i="1"/>
  <c r="AR560" i="1"/>
  <c r="AS560" i="1"/>
  <c r="AR561" i="1"/>
  <c r="AS561" i="1"/>
  <c r="AR562" i="1"/>
  <c r="AS562" i="1"/>
  <c r="AR563" i="1"/>
  <c r="AS563" i="1"/>
  <c r="AR564" i="1"/>
  <c r="AS564" i="1"/>
  <c r="AR565" i="1"/>
  <c r="AS565" i="1"/>
  <c r="AR566" i="1"/>
  <c r="AS566" i="1"/>
  <c r="AR567" i="1"/>
  <c r="AS567" i="1"/>
  <c r="AR568" i="1"/>
  <c r="AS568" i="1"/>
  <c r="AR569" i="1"/>
  <c r="AS569" i="1"/>
  <c r="AR570" i="1"/>
  <c r="AS570" i="1"/>
  <c r="AR571" i="1"/>
  <c r="AS571" i="1"/>
  <c r="AR572" i="1"/>
  <c r="AS572" i="1"/>
  <c r="AR573" i="1"/>
  <c r="AS573" i="1"/>
  <c r="AR574" i="1"/>
  <c r="AS574" i="1"/>
  <c r="AR575" i="1"/>
  <c r="AS575" i="1"/>
  <c r="AR576" i="1"/>
  <c r="AS576" i="1"/>
  <c r="AR577" i="1"/>
  <c r="AS577" i="1"/>
  <c r="AR578" i="1"/>
  <c r="AS578" i="1"/>
  <c r="AR579" i="1"/>
  <c r="AS579" i="1"/>
  <c r="AR580" i="1"/>
  <c r="AS580" i="1"/>
  <c r="AR581" i="1"/>
  <c r="AS581" i="1"/>
  <c r="AR582" i="1"/>
  <c r="AS582" i="1"/>
  <c r="AR583" i="1"/>
  <c r="AS583" i="1"/>
  <c r="AR584" i="1"/>
  <c r="AS584" i="1"/>
  <c r="AR585" i="1"/>
  <c r="AS585" i="1"/>
  <c r="AR586" i="1"/>
  <c r="AS586" i="1"/>
  <c r="AR587" i="1"/>
  <c r="AS587" i="1"/>
  <c r="AR588" i="1"/>
  <c r="AS588" i="1"/>
  <c r="AR589" i="1"/>
  <c r="AS589" i="1"/>
  <c r="AR590" i="1"/>
  <c r="AS590" i="1"/>
  <c r="AR591" i="1"/>
  <c r="AS591" i="1"/>
  <c r="AR592" i="1"/>
  <c r="AS592" i="1"/>
  <c r="AR593" i="1"/>
  <c r="AS593" i="1"/>
  <c r="AR594" i="1"/>
  <c r="AS594" i="1"/>
  <c r="AR595" i="1"/>
  <c r="AS595" i="1"/>
  <c r="AR596" i="1"/>
  <c r="AS596" i="1"/>
  <c r="AR597" i="1"/>
  <c r="AS597" i="1"/>
  <c r="AR598" i="1"/>
  <c r="AS598" i="1"/>
  <c r="AR599" i="1"/>
  <c r="AS599" i="1"/>
  <c r="AR600" i="1"/>
  <c r="AS600" i="1"/>
  <c r="AR601" i="1"/>
  <c r="AS601" i="1"/>
  <c r="AR602" i="1"/>
  <c r="AS602" i="1"/>
  <c r="AR603" i="1"/>
  <c r="AS603" i="1"/>
  <c r="AR604" i="1"/>
  <c r="AS604" i="1"/>
  <c r="AR605" i="1"/>
  <c r="AS605" i="1"/>
  <c r="AR606" i="1"/>
  <c r="AS606" i="1"/>
  <c r="AR607" i="1"/>
  <c r="AS607" i="1"/>
  <c r="AR608" i="1"/>
  <c r="AS608" i="1"/>
  <c r="AR609" i="1"/>
  <c r="AS609" i="1"/>
  <c r="AR610" i="1"/>
  <c r="AS610" i="1"/>
  <c r="AR611" i="1"/>
  <c r="AS611" i="1"/>
  <c r="AR612" i="1"/>
  <c r="AS612" i="1"/>
  <c r="AR613" i="1"/>
  <c r="AS613" i="1"/>
  <c r="AR614" i="1"/>
  <c r="AS614" i="1"/>
  <c r="AR615" i="1"/>
  <c r="AS615" i="1"/>
  <c r="AR616" i="1"/>
  <c r="AS616" i="1"/>
  <c r="AR617" i="1"/>
  <c r="AS617" i="1"/>
  <c r="AR618" i="1"/>
  <c r="AS618" i="1"/>
  <c r="AR619" i="1"/>
  <c r="AS619" i="1"/>
  <c r="AR620" i="1"/>
  <c r="AS620" i="1"/>
  <c r="AR621" i="1"/>
  <c r="AS621" i="1"/>
  <c r="AR622" i="1"/>
  <c r="AS622" i="1"/>
  <c r="AR623" i="1"/>
  <c r="AS623" i="1"/>
  <c r="AR624" i="1"/>
  <c r="AS624" i="1"/>
  <c r="AR625" i="1"/>
  <c r="AS625" i="1"/>
  <c r="AR626" i="1"/>
  <c r="AS626" i="1"/>
  <c r="AR627" i="1"/>
  <c r="AS627" i="1"/>
  <c r="AR628" i="1"/>
  <c r="AS628" i="1"/>
  <c r="AR629" i="1"/>
  <c r="AS629" i="1"/>
  <c r="AR630" i="1"/>
  <c r="AS630" i="1"/>
  <c r="AR631" i="1"/>
  <c r="AS631" i="1"/>
  <c r="AR632" i="1"/>
  <c r="AS632" i="1"/>
  <c r="AR633" i="1"/>
  <c r="AS633" i="1"/>
  <c r="AR634" i="1"/>
  <c r="AS634" i="1"/>
  <c r="AR635" i="1"/>
  <c r="AS635" i="1"/>
  <c r="AR636" i="1"/>
  <c r="AS636" i="1"/>
  <c r="AR637" i="1"/>
  <c r="AS637" i="1"/>
  <c r="AR638" i="1"/>
  <c r="AS638" i="1"/>
  <c r="AR639" i="1"/>
  <c r="AS639" i="1"/>
  <c r="AR640" i="1"/>
  <c r="AS640" i="1"/>
  <c r="AR641" i="1"/>
  <c r="AS641" i="1"/>
  <c r="AR642" i="1"/>
  <c r="AS642" i="1"/>
  <c r="AR643" i="1"/>
  <c r="AS643" i="1"/>
  <c r="AR644" i="1"/>
  <c r="AS644" i="1"/>
  <c r="AR645" i="1"/>
  <c r="AS645" i="1"/>
  <c r="AR646" i="1"/>
  <c r="AS646" i="1"/>
  <c r="AR647" i="1"/>
  <c r="AS647" i="1"/>
  <c r="AR648" i="1"/>
  <c r="AS648" i="1"/>
  <c r="AR649" i="1"/>
  <c r="AS649" i="1"/>
  <c r="AR650" i="1"/>
  <c r="AS650" i="1"/>
  <c r="AR651" i="1"/>
  <c r="AS651" i="1"/>
  <c r="AR652" i="1"/>
  <c r="AS652" i="1"/>
  <c r="AR653" i="1"/>
  <c r="AS653" i="1"/>
  <c r="AR654" i="1"/>
  <c r="AS654" i="1"/>
  <c r="AR655" i="1"/>
  <c r="AS655" i="1"/>
  <c r="AR656" i="1"/>
  <c r="AS656" i="1"/>
  <c r="AR657" i="1"/>
  <c r="AS657" i="1"/>
  <c r="AR658" i="1"/>
  <c r="AS658" i="1"/>
  <c r="AR659" i="1"/>
  <c r="AS659" i="1"/>
  <c r="AR660" i="1"/>
  <c r="AS660" i="1"/>
  <c r="AR661" i="1"/>
  <c r="AS661" i="1"/>
  <c r="AR662" i="1"/>
  <c r="AS662" i="1"/>
  <c r="AR663" i="1"/>
  <c r="AS663" i="1"/>
  <c r="AR664" i="1"/>
  <c r="AS664" i="1"/>
  <c r="AR665" i="1"/>
  <c r="AS665" i="1"/>
  <c r="AR666" i="1"/>
  <c r="AS666" i="1"/>
  <c r="AR667" i="1"/>
  <c r="AS667" i="1"/>
  <c r="AR668" i="1"/>
  <c r="AS668" i="1"/>
  <c r="AR669" i="1"/>
  <c r="AS669" i="1"/>
  <c r="AR670" i="1"/>
  <c r="AS670" i="1"/>
  <c r="AR671" i="1"/>
  <c r="AS671" i="1"/>
  <c r="AR672" i="1"/>
  <c r="AS672" i="1"/>
  <c r="AR673" i="1"/>
  <c r="AS673" i="1"/>
  <c r="AR674" i="1"/>
  <c r="AS674" i="1"/>
  <c r="AR675" i="1"/>
  <c r="AS675" i="1"/>
  <c r="AR676" i="1"/>
  <c r="AS676" i="1"/>
  <c r="AR677" i="1"/>
  <c r="AS677" i="1"/>
  <c r="AR678" i="1"/>
  <c r="AS678" i="1"/>
  <c r="AR679" i="1"/>
  <c r="AS679" i="1"/>
  <c r="AR680" i="1"/>
  <c r="AS680" i="1"/>
  <c r="AR681" i="1"/>
  <c r="AS681" i="1"/>
  <c r="AR682" i="1"/>
  <c r="AS682" i="1"/>
  <c r="AR683" i="1"/>
  <c r="AS683" i="1"/>
  <c r="AR684" i="1"/>
  <c r="AS684" i="1"/>
  <c r="AR685" i="1"/>
  <c r="AS685" i="1"/>
  <c r="AR686" i="1"/>
  <c r="AS686" i="1"/>
  <c r="AR687" i="1"/>
  <c r="AS687" i="1"/>
  <c r="AR688" i="1"/>
  <c r="AS688" i="1"/>
  <c r="AR689" i="1"/>
  <c r="AS689" i="1"/>
  <c r="AR690" i="1"/>
  <c r="AS690" i="1"/>
  <c r="AR691" i="1"/>
  <c r="AS691" i="1"/>
  <c r="AR692" i="1"/>
  <c r="AS692" i="1"/>
  <c r="AR693" i="1"/>
  <c r="AS693" i="1"/>
  <c r="AR694" i="1"/>
  <c r="AS694" i="1"/>
  <c r="AR695" i="1"/>
  <c r="AS695" i="1"/>
  <c r="AR696" i="1"/>
  <c r="AS696" i="1"/>
  <c r="AR697" i="1"/>
  <c r="AS697" i="1"/>
  <c r="AR698" i="1"/>
  <c r="AS698" i="1"/>
  <c r="AR699" i="1"/>
  <c r="AS699" i="1"/>
  <c r="AR700" i="1"/>
  <c r="AS700" i="1"/>
  <c r="AR701" i="1"/>
  <c r="AS701" i="1"/>
  <c r="AR702" i="1"/>
  <c r="AS702" i="1"/>
  <c r="AR5" i="3" l="1"/>
  <c r="AS5" i="3"/>
  <c r="B1" i="3"/>
  <c r="D2" i="3" s="1"/>
  <c r="B2" i="3"/>
  <c r="E7" i="3" s="1" a="1"/>
  <c r="E7" i="3" s="1"/>
  <c r="B3" i="3"/>
  <c r="B4" i="3"/>
  <c r="H8" i="3" s="1"/>
  <c r="B5" i="3"/>
  <c r="B6" i="3"/>
  <c r="B8" i="3"/>
  <c r="D7" i="3" l="1" a="1"/>
  <c r="D7" i="3" s="1"/>
  <c r="D23" i="3"/>
  <c r="D46" i="3"/>
  <c r="D30" i="3"/>
  <c r="D32" i="3"/>
  <c r="D24" i="3"/>
  <c r="D14" i="3"/>
  <c r="D47" i="3"/>
  <c r="D31" i="3"/>
  <c r="D13" i="3"/>
  <c r="D6" i="3"/>
  <c r="D45" i="3"/>
  <c r="D44" i="3"/>
  <c r="D43" i="3"/>
  <c r="D27" i="3"/>
  <c r="D9" i="3"/>
  <c r="D34" i="3"/>
  <c r="D26" i="3"/>
  <c r="D16" i="3"/>
  <c r="D8" i="3"/>
  <c r="D37" i="3"/>
  <c r="D36" i="3"/>
  <c r="D35" i="3"/>
  <c r="D19" i="3"/>
  <c r="D42" i="3"/>
  <c r="D41" i="3"/>
  <c r="D33" i="3"/>
  <c r="D25" i="3"/>
  <c r="D15" i="3"/>
  <c r="D10" i="3"/>
  <c r="AQ12" i="3"/>
  <c r="AS12" i="3"/>
  <c r="AR12" i="3" s="1"/>
  <c r="F18" i="3" s="1"/>
  <c r="AT2" i="1"/>
  <c r="AT3" i="1"/>
  <c r="AT4" i="1"/>
  <c r="AT5" i="1"/>
  <c r="AT6" i="1"/>
  <c r="AT7" i="1"/>
  <c r="AT8" i="1"/>
  <c r="AT9" i="1"/>
  <c r="AT10" i="1"/>
  <c r="AT11" i="1"/>
  <c r="AT12" i="1"/>
  <c r="AT13" i="1"/>
  <c r="AT14" i="1"/>
  <c r="AT15" i="1"/>
  <c r="AT16" i="1"/>
  <c r="AT17" i="1"/>
  <c r="AT18" i="1"/>
  <c r="AT19" i="1"/>
  <c r="AT20" i="1"/>
  <c r="AT21" i="1"/>
  <c r="AT22" i="1"/>
  <c r="AT23" i="1"/>
  <c r="AT24" i="1"/>
  <c r="AT25" i="1"/>
  <c r="AT26" i="1"/>
  <c r="AT27" i="1"/>
  <c r="AT28" i="1"/>
  <c r="AT29" i="1"/>
  <c r="AT30" i="1"/>
  <c r="AT31" i="1"/>
  <c r="AT32" i="1"/>
  <c r="AT33" i="1"/>
  <c r="AT34" i="1"/>
  <c r="AT35"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67" i="1"/>
  <c r="AT68" i="1"/>
  <c r="AT69" i="1"/>
  <c r="AT70" i="1"/>
  <c r="AT71" i="1"/>
  <c r="AT72" i="1"/>
  <c r="AT73" i="1"/>
  <c r="AT74" i="1"/>
  <c r="AT75" i="1"/>
  <c r="AT76" i="1"/>
  <c r="AT77" i="1"/>
  <c r="AT78" i="1"/>
  <c r="AT79" i="1"/>
  <c r="AT80" i="1"/>
  <c r="AT81" i="1"/>
  <c r="AT82" i="1"/>
  <c r="AT83" i="1"/>
  <c r="AT84" i="1"/>
  <c r="AT85" i="1"/>
  <c r="AT86" i="1"/>
  <c r="AT87" i="1"/>
  <c r="AT88" i="1"/>
  <c r="AT89" i="1"/>
  <c r="AT90" i="1"/>
  <c r="AT91" i="1"/>
  <c r="AT92" i="1"/>
  <c r="AT93" i="1"/>
  <c r="AT94" i="1"/>
  <c r="AT95" i="1"/>
  <c r="AT96" i="1"/>
  <c r="AT97" i="1"/>
  <c r="AT98" i="1"/>
  <c r="AT99" i="1"/>
  <c r="AT100" i="1"/>
  <c r="AT101" i="1"/>
  <c r="AT102" i="1"/>
  <c r="AT103" i="1"/>
  <c r="AT104" i="1"/>
  <c r="AT105"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313" i="1"/>
  <c r="AT314" i="1"/>
  <c r="AT315" i="1"/>
  <c r="AT316" i="1"/>
  <c r="AT317" i="1"/>
  <c r="AT318" i="1"/>
  <c r="AT319" i="1"/>
  <c r="AT320" i="1"/>
  <c r="AT321" i="1"/>
  <c r="AT322" i="1"/>
  <c r="AT323" i="1"/>
  <c r="AT324" i="1"/>
  <c r="AT325" i="1"/>
  <c r="AT326" i="1"/>
  <c r="AT327" i="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371" i="1"/>
  <c r="AT372" i="1"/>
  <c r="AT373" i="1"/>
  <c r="AT374" i="1"/>
  <c r="AT375" i="1"/>
  <c r="AT376" i="1"/>
  <c r="AT377" i="1"/>
  <c r="AT378" i="1"/>
  <c r="AT379" i="1"/>
  <c r="AT380" i="1"/>
  <c r="AT381" i="1"/>
  <c r="AT382" i="1"/>
  <c r="AT383" i="1"/>
  <c r="AT384" i="1"/>
  <c r="AT385" i="1"/>
  <c r="AT386" i="1"/>
  <c r="AT387" i="1"/>
  <c r="AT388" i="1"/>
  <c r="AT389" i="1"/>
  <c r="AT390" i="1"/>
  <c r="AT391" i="1"/>
  <c r="AT392" i="1"/>
  <c r="AT393" i="1"/>
  <c r="AT394" i="1"/>
  <c r="AT395" i="1"/>
  <c r="AT396" i="1"/>
  <c r="AT397" i="1"/>
  <c r="AT398" i="1"/>
  <c r="AT399" i="1"/>
  <c r="AT400" i="1"/>
  <c r="AT401" i="1"/>
  <c r="AT402" i="1"/>
  <c r="AT403" i="1"/>
  <c r="AT404" i="1"/>
  <c r="AT405" i="1"/>
  <c r="AT406" i="1"/>
  <c r="AT407" i="1"/>
  <c r="AT408" i="1"/>
  <c r="AT409" i="1"/>
  <c r="AT410" i="1"/>
  <c r="AT411" i="1"/>
  <c r="AT412" i="1"/>
  <c r="AT413" i="1"/>
  <c r="AT414" i="1"/>
  <c r="AT415" i="1"/>
  <c r="AT416" i="1"/>
  <c r="AT417" i="1"/>
  <c r="AT418" i="1"/>
  <c r="AT419" i="1"/>
  <c r="AT420" i="1"/>
  <c r="AT421" i="1"/>
  <c r="AT422" i="1"/>
  <c r="AT423" i="1"/>
  <c r="AT424" i="1"/>
  <c r="AT425" i="1"/>
  <c r="AT426" i="1"/>
  <c r="AT427" i="1"/>
  <c r="AT428" i="1"/>
  <c r="AT429" i="1"/>
  <c r="AT430" i="1"/>
  <c r="AT431" i="1"/>
  <c r="AT432" i="1"/>
  <c r="AT433" i="1"/>
  <c r="AT434" i="1"/>
  <c r="AT435" i="1"/>
  <c r="AT436" i="1"/>
  <c r="AT437" i="1"/>
  <c r="AT438" i="1"/>
  <c r="AT439" i="1"/>
  <c r="AT440" i="1"/>
  <c r="AT441" i="1"/>
  <c r="AT442" i="1"/>
  <c r="AT443" i="1"/>
  <c r="AT444" i="1"/>
  <c r="AT445" i="1"/>
  <c r="AT446" i="1"/>
  <c r="AT447" i="1"/>
  <c r="AT448" i="1"/>
  <c r="AT449" i="1"/>
  <c r="AT450" i="1"/>
  <c r="AT451" i="1"/>
  <c r="AT452" i="1"/>
  <c r="AT453" i="1"/>
  <c r="AT454" i="1"/>
  <c r="AT455" i="1"/>
  <c r="AT456" i="1"/>
  <c r="AT457" i="1"/>
  <c r="AT458" i="1"/>
  <c r="AT459" i="1"/>
  <c r="AT460" i="1"/>
  <c r="AT461" i="1"/>
  <c r="AT462" i="1"/>
  <c r="AT463" i="1"/>
  <c r="AT464" i="1"/>
  <c r="AT465" i="1"/>
  <c r="AT466" i="1"/>
  <c r="AT467" i="1"/>
  <c r="AT468" i="1"/>
  <c r="AT469" i="1"/>
  <c r="AT470" i="1"/>
  <c r="AT471" i="1"/>
  <c r="AT472" i="1"/>
  <c r="AT473" i="1"/>
  <c r="AT474" i="1"/>
  <c r="AT475" i="1"/>
  <c r="AT476" i="1"/>
  <c r="AT477" i="1"/>
  <c r="AT478" i="1"/>
  <c r="AT479" i="1"/>
  <c r="AT480" i="1"/>
  <c r="AT481" i="1"/>
  <c r="AT482" i="1"/>
  <c r="AT483" i="1"/>
  <c r="AT484" i="1"/>
  <c r="AT485" i="1"/>
  <c r="AT486" i="1"/>
  <c r="AT487" i="1"/>
  <c r="AT488" i="1"/>
  <c r="AT489" i="1"/>
  <c r="AT490" i="1"/>
  <c r="AT491" i="1"/>
  <c r="AT492" i="1"/>
  <c r="AT493" i="1"/>
  <c r="AT494" i="1"/>
  <c r="AT495" i="1"/>
  <c r="AT496" i="1"/>
  <c r="AT497" i="1"/>
  <c r="AT498" i="1"/>
  <c r="AT499" i="1"/>
  <c r="AT500" i="1"/>
  <c r="AT501" i="1"/>
  <c r="AT502" i="1"/>
  <c r="AT503" i="1"/>
  <c r="AT504" i="1"/>
  <c r="AT505" i="1"/>
  <c r="AT506" i="1"/>
  <c r="AT507" i="1"/>
  <c r="AT508" i="1"/>
  <c r="AT509" i="1"/>
  <c r="AT510" i="1"/>
  <c r="AT511" i="1"/>
  <c r="AT512" i="1"/>
  <c r="AT513" i="1"/>
  <c r="AT514" i="1"/>
  <c r="AT515" i="1"/>
  <c r="AT516" i="1"/>
  <c r="AT517" i="1"/>
  <c r="AT518" i="1"/>
  <c r="AT519" i="1"/>
  <c r="AT520" i="1"/>
  <c r="AT521" i="1"/>
  <c r="AT522" i="1"/>
  <c r="AT523" i="1"/>
  <c r="AT524" i="1"/>
  <c r="AT525" i="1"/>
  <c r="AT526" i="1"/>
  <c r="AT527" i="1"/>
  <c r="AT528" i="1"/>
  <c r="AT529" i="1"/>
  <c r="AT530" i="1"/>
  <c r="AT531" i="1"/>
  <c r="AT532" i="1"/>
  <c r="AT533" i="1"/>
  <c r="AT534" i="1"/>
  <c r="AT535" i="1"/>
  <c r="AT536" i="1"/>
  <c r="AT537" i="1"/>
  <c r="AT538" i="1"/>
  <c r="AT539" i="1"/>
  <c r="AT540" i="1"/>
  <c r="AT541" i="1"/>
  <c r="AT542" i="1"/>
  <c r="AT543" i="1"/>
  <c r="AT544" i="1"/>
  <c r="AT545" i="1"/>
  <c r="AT546" i="1"/>
  <c r="AT547" i="1"/>
  <c r="AT548" i="1"/>
  <c r="AT549" i="1"/>
  <c r="AT550" i="1"/>
  <c r="AT551" i="1"/>
  <c r="AT552" i="1"/>
  <c r="AT553" i="1"/>
  <c r="AT554" i="1"/>
  <c r="AT555" i="1"/>
  <c r="AT556" i="1"/>
  <c r="AT557" i="1"/>
  <c r="AT558" i="1"/>
  <c r="AT559" i="1"/>
  <c r="AT560" i="1"/>
  <c r="AT561" i="1"/>
  <c r="AT562" i="1"/>
  <c r="AT563" i="1"/>
  <c r="AT564" i="1"/>
  <c r="AT565" i="1"/>
  <c r="AT566" i="1"/>
  <c r="AT567" i="1"/>
  <c r="AT568" i="1"/>
  <c r="AT569" i="1"/>
  <c r="AT570" i="1"/>
  <c r="AT571" i="1"/>
  <c r="AT572" i="1"/>
  <c r="AT573" i="1"/>
  <c r="AT574" i="1"/>
  <c r="AT575" i="1"/>
  <c r="AT576" i="1"/>
  <c r="AT577" i="1"/>
  <c r="AT578" i="1"/>
  <c r="AT579" i="1"/>
  <c r="AT580" i="1"/>
  <c r="AT581" i="1"/>
  <c r="AT582" i="1"/>
  <c r="AT583" i="1"/>
  <c r="AT584" i="1"/>
  <c r="AT585" i="1"/>
  <c r="AT586" i="1"/>
  <c r="AT587" i="1"/>
  <c r="AT588" i="1"/>
  <c r="AT589" i="1"/>
  <c r="AT590" i="1"/>
  <c r="AT591" i="1"/>
  <c r="AT592" i="1"/>
  <c r="AT593" i="1"/>
  <c r="AT594" i="1"/>
  <c r="AT595" i="1"/>
  <c r="AT596" i="1"/>
  <c r="AT597" i="1"/>
  <c r="AT598" i="1"/>
  <c r="AT599" i="1"/>
  <c r="AT600" i="1"/>
  <c r="AT601" i="1"/>
  <c r="AT602" i="1"/>
  <c r="AT603" i="1"/>
  <c r="AT604" i="1"/>
  <c r="AT605" i="1"/>
  <c r="AT606" i="1"/>
  <c r="AT607" i="1"/>
  <c r="AT608" i="1"/>
  <c r="AT609" i="1"/>
  <c r="AT610" i="1"/>
  <c r="AT611" i="1"/>
  <c r="AT612" i="1"/>
  <c r="AT613" i="1"/>
  <c r="AT614" i="1"/>
  <c r="AT615" i="1"/>
  <c r="AT616" i="1"/>
  <c r="AT617" i="1"/>
  <c r="AT618" i="1"/>
  <c r="AT619" i="1"/>
  <c r="AT620" i="1"/>
  <c r="AT621" i="1"/>
  <c r="AT622" i="1"/>
  <c r="AT623" i="1"/>
  <c r="AT624" i="1"/>
  <c r="AT625" i="1"/>
  <c r="AT626" i="1"/>
  <c r="AT627" i="1"/>
  <c r="AT628" i="1"/>
  <c r="AT629" i="1"/>
  <c r="AT630" i="1"/>
  <c r="AT631" i="1"/>
  <c r="AT632" i="1"/>
  <c r="AT633" i="1"/>
  <c r="AT634" i="1"/>
  <c r="AT635" i="1"/>
  <c r="AT636" i="1"/>
  <c r="AT637" i="1"/>
  <c r="AT638" i="1"/>
  <c r="AT639" i="1"/>
  <c r="AT640" i="1"/>
  <c r="AT641" i="1"/>
  <c r="AT642" i="1"/>
  <c r="AT643" i="1"/>
  <c r="AT644" i="1"/>
  <c r="AT645" i="1"/>
  <c r="AT646" i="1"/>
  <c r="AT647" i="1"/>
  <c r="AT648" i="1"/>
  <c r="AT649" i="1"/>
  <c r="AT650" i="1"/>
  <c r="AT651" i="1"/>
  <c r="AT652" i="1"/>
  <c r="AT653" i="1"/>
  <c r="AT654" i="1"/>
  <c r="AT655" i="1"/>
  <c r="AT656" i="1"/>
  <c r="AT657" i="1"/>
  <c r="AT658" i="1"/>
  <c r="AT659" i="1"/>
  <c r="AT660" i="1"/>
  <c r="AT661" i="1"/>
  <c r="AT662" i="1"/>
  <c r="AT663" i="1"/>
  <c r="AT664" i="1"/>
  <c r="AT665" i="1"/>
  <c r="AT666" i="1"/>
  <c r="AT667" i="1"/>
  <c r="AT668" i="1"/>
  <c r="AT669" i="1"/>
  <c r="AT670" i="1"/>
  <c r="AT671" i="1"/>
  <c r="AT672" i="1"/>
  <c r="AT673" i="1"/>
  <c r="AT674" i="1"/>
  <c r="AT675" i="1"/>
  <c r="AT676" i="1"/>
  <c r="AT677" i="1"/>
  <c r="AT678" i="1"/>
  <c r="AT679" i="1"/>
  <c r="AT680" i="1"/>
  <c r="AT681" i="1"/>
  <c r="AT682" i="1"/>
  <c r="AT683" i="1"/>
  <c r="AT684" i="1"/>
  <c r="AT685" i="1"/>
  <c r="AT686" i="1"/>
  <c r="AT687" i="1"/>
  <c r="AT688" i="1"/>
  <c r="AT689" i="1"/>
  <c r="AT690" i="1"/>
  <c r="AT691" i="1"/>
  <c r="AT692" i="1"/>
  <c r="AT693" i="1"/>
  <c r="AT694" i="1"/>
  <c r="AT695" i="1"/>
  <c r="AT696" i="1"/>
  <c r="AT697" i="1"/>
  <c r="AT698" i="1"/>
  <c r="AT699" i="1"/>
  <c r="AT700" i="1"/>
  <c r="AT701" i="1"/>
  <c r="AT702" i="1"/>
  <c r="AS2" i="1"/>
  <c r="AS3" i="1"/>
  <c r="AS4" i="1"/>
  <c r="AS5" i="1"/>
  <c r="AS6" i="1"/>
  <c r="AS7" i="1"/>
  <c r="AS8" i="1"/>
  <c r="AS9" i="1"/>
  <c r="AS10" i="1"/>
  <c r="AS11" i="1"/>
  <c r="AS12" i="1"/>
  <c r="AS13" i="1"/>
  <c r="AS14" i="1"/>
  <c r="AS15" i="1"/>
  <c r="AS16" i="1"/>
  <c r="AS17" i="1"/>
  <c r="AS18" i="1"/>
  <c r="AS19" i="1"/>
  <c r="AS20" i="1"/>
  <c r="AS21" i="1"/>
  <c r="AS22" i="1"/>
  <c r="AS23" i="1"/>
  <c r="AS24" i="1"/>
  <c r="AS25" i="1"/>
  <c r="AS26" i="1"/>
  <c r="AS27" i="1"/>
  <c r="AS28" i="1"/>
  <c r="AS29" i="1"/>
  <c r="AS30" i="1"/>
  <c r="AS31" i="1"/>
  <c r="AS32" i="1"/>
  <c r="AS33" i="1"/>
  <c r="AS34" i="1"/>
  <c r="AS35" i="1"/>
  <c r="AS36" i="1"/>
  <c r="AS37" i="1"/>
  <c r="AS11" i="3" l="1"/>
  <c r="AR11" i="3" s="1"/>
  <c r="E18" i="3" s="1"/>
  <c r="AQ11" i="3"/>
  <c r="AP11" i="3" s="1"/>
  <c r="E17" i="3" s="1"/>
  <c r="AQ10" i="3"/>
  <c r="AP12" i="3"/>
  <c r="F17" i="3" s="1"/>
  <c r="AU5" i="3"/>
  <c r="AT5" i="3"/>
  <c r="AQ5" i="3" l="1"/>
  <c r="AK3" i="1"/>
  <c r="AK4" i="1"/>
  <c r="AK5" i="1"/>
  <c r="AK6" i="1"/>
  <c r="AK7" i="1"/>
  <c r="AK8" i="1"/>
  <c r="AK9" i="1"/>
  <c r="AK10" i="1"/>
  <c r="AK11" i="1"/>
  <c r="AK12" i="1"/>
  <c r="AK13" i="1"/>
  <c r="AK14" i="1"/>
  <c r="AK15" i="1"/>
  <c r="AK16" i="1"/>
  <c r="AK17" i="1"/>
  <c r="AK18" i="1"/>
  <c r="AK19" i="1"/>
  <c r="AK20" i="1"/>
  <c r="AK21" i="1"/>
  <c r="AK22" i="1"/>
  <c r="AK23" i="1"/>
  <c r="AK24" i="1"/>
  <c r="AK25" i="1"/>
  <c r="AK26" i="1"/>
  <c r="AK27" i="1"/>
  <c r="AK28" i="1"/>
  <c r="AK29" i="1"/>
  <c r="AK30" i="1"/>
  <c r="AK31" i="1"/>
  <c r="AK32" i="1"/>
  <c r="AK33" i="1"/>
  <c r="AK34" i="1"/>
  <c r="AK35" i="1"/>
  <c r="AK36" i="1"/>
  <c r="AK37" i="1"/>
  <c r="AK38" i="1"/>
  <c r="AK39" i="1"/>
  <c r="AK40" i="1"/>
  <c r="AK41" i="1"/>
  <c r="AK42" i="1"/>
  <c r="AK43" i="1"/>
  <c r="AK44" i="1"/>
  <c r="AK45" i="1"/>
  <c r="AK46" i="1"/>
  <c r="AK47" i="1"/>
  <c r="AK48" i="1"/>
  <c r="AK49" i="1"/>
  <c r="AK50" i="1"/>
  <c r="AK51" i="1"/>
  <c r="AK52" i="1"/>
  <c r="AK53" i="1"/>
  <c r="AK54" i="1"/>
  <c r="AK55" i="1"/>
  <c r="AK56" i="1"/>
  <c r="AK57" i="1"/>
  <c r="AK58" i="1"/>
  <c r="AK59" i="1"/>
  <c r="AK60" i="1"/>
  <c r="AK61" i="1"/>
  <c r="AK62" i="1"/>
  <c r="AK63" i="1"/>
  <c r="AK64" i="1"/>
  <c r="AK65" i="1"/>
  <c r="AK66" i="1"/>
  <c r="AK67" i="1"/>
  <c r="AK68" i="1"/>
  <c r="AK69" i="1"/>
  <c r="AK70" i="1"/>
  <c r="AK71" i="1"/>
  <c r="AK72" i="1"/>
  <c r="AK73" i="1"/>
  <c r="AK74" i="1"/>
  <c r="AK75" i="1"/>
  <c r="AK76" i="1"/>
  <c r="AK77" i="1"/>
  <c r="AK78" i="1"/>
  <c r="AK79" i="1"/>
  <c r="AK80" i="1"/>
  <c r="AK81" i="1"/>
  <c r="AK82" i="1"/>
  <c r="AK83" i="1"/>
  <c r="AK84" i="1"/>
  <c r="AK85" i="1"/>
  <c r="AK86" i="1"/>
  <c r="AK87" i="1"/>
  <c r="AK88" i="1"/>
  <c r="AK89" i="1"/>
  <c r="AK90" i="1"/>
  <c r="AK91" i="1"/>
  <c r="AK92" i="1"/>
  <c r="AK93" i="1"/>
  <c r="AK94" i="1"/>
  <c r="AK95" i="1"/>
  <c r="AK96" i="1"/>
  <c r="AK97" i="1"/>
  <c r="AK98" i="1"/>
  <c r="AK99" i="1"/>
  <c r="AK100" i="1"/>
  <c r="AK101" i="1"/>
  <c r="AK102" i="1"/>
  <c r="AK103" i="1"/>
  <c r="AK104" i="1"/>
  <c r="AK105" i="1"/>
  <c r="AK106" i="1"/>
  <c r="AK107" i="1"/>
  <c r="AK108" i="1"/>
  <c r="AK109" i="1"/>
  <c r="AK110" i="1"/>
  <c r="AK111" i="1"/>
  <c r="AK112" i="1"/>
  <c r="AK113" i="1"/>
  <c r="AK114" i="1"/>
  <c r="AK115" i="1"/>
  <c r="AK116" i="1"/>
  <c r="AK117" i="1"/>
  <c r="AK118" i="1"/>
  <c r="AK119" i="1"/>
  <c r="AK120" i="1"/>
  <c r="AK121" i="1"/>
  <c r="AK122" i="1"/>
  <c r="AK123" i="1"/>
  <c r="AK124" i="1"/>
  <c r="AK125" i="1"/>
  <c r="AK126" i="1"/>
  <c r="AK127" i="1"/>
  <c r="AK128" i="1"/>
  <c r="AK129" i="1"/>
  <c r="AK130" i="1"/>
  <c r="AK131" i="1"/>
  <c r="AK132" i="1"/>
  <c r="AK133" i="1"/>
  <c r="AK134" i="1"/>
  <c r="AK135" i="1"/>
  <c r="AK136" i="1"/>
  <c r="AK137" i="1"/>
  <c r="AK138"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K217" i="1"/>
  <c r="AK218" i="1"/>
  <c r="AK219" i="1"/>
  <c r="AK220" i="1"/>
  <c r="AK221" i="1"/>
  <c r="AK222" i="1"/>
  <c r="AK223" i="1"/>
  <c r="AK224" i="1"/>
  <c r="AK225" i="1"/>
  <c r="AK226" i="1"/>
  <c r="AK227" i="1"/>
  <c r="AK228" i="1"/>
  <c r="AK229" i="1"/>
  <c r="AK230" i="1"/>
  <c r="AK231" i="1"/>
  <c r="AK232" i="1"/>
  <c r="AK233" i="1"/>
  <c r="AK234" i="1"/>
  <c r="AK235" i="1"/>
  <c r="AK236" i="1"/>
  <c r="AK237" i="1"/>
  <c r="AK238" i="1"/>
  <c r="AK239" i="1"/>
  <c r="AK240" i="1"/>
  <c r="AK241" i="1"/>
  <c r="AK242" i="1"/>
  <c r="AK243" i="1"/>
  <c r="AK244" i="1"/>
  <c r="AK245" i="1"/>
  <c r="AK246" i="1"/>
  <c r="AK247" i="1"/>
  <c r="AK248" i="1"/>
  <c r="AK249" i="1"/>
  <c r="AK250" i="1"/>
  <c r="AK251" i="1"/>
  <c r="AK252" i="1"/>
  <c r="AK253" i="1"/>
  <c r="AK254" i="1"/>
  <c r="AK255" i="1"/>
  <c r="AK256" i="1"/>
  <c r="AK257" i="1"/>
  <c r="AK258" i="1"/>
  <c r="AK259" i="1"/>
  <c r="AK260" i="1"/>
  <c r="AK261" i="1"/>
  <c r="AK262" i="1"/>
  <c r="AK263" i="1"/>
  <c r="AK264" i="1"/>
  <c r="AK265" i="1"/>
  <c r="AK266" i="1"/>
  <c r="AK267" i="1"/>
  <c r="AK268" i="1"/>
  <c r="AK269" i="1"/>
  <c r="AK270" i="1"/>
  <c r="AK271" i="1"/>
  <c r="AK272" i="1"/>
  <c r="AK273" i="1"/>
  <c r="AK274" i="1"/>
  <c r="AK275" i="1"/>
  <c r="AK276" i="1"/>
  <c r="AK277" i="1"/>
  <c r="AK278" i="1"/>
  <c r="AK279" i="1"/>
  <c r="AK280" i="1"/>
  <c r="AK281" i="1"/>
  <c r="AK282" i="1"/>
  <c r="AK283" i="1"/>
  <c r="AK284" i="1"/>
  <c r="AK285" i="1"/>
  <c r="AK286" i="1"/>
  <c r="AK287" i="1"/>
  <c r="AK288" i="1"/>
  <c r="AK289" i="1"/>
  <c r="AK290" i="1"/>
  <c r="AK291" i="1"/>
  <c r="AK292" i="1"/>
  <c r="AK293" i="1"/>
  <c r="AK294" i="1"/>
  <c r="AK295" i="1"/>
  <c r="AK296" i="1"/>
  <c r="AK297" i="1"/>
  <c r="AK298" i="1"/>
  <c r="AK299" i="1"/>
  <c r="AK300" i="1"/>
  <c r="AK301" i="1"/>
  <c r="AK302" i="1"/>
  <c r="AK303" i="1"/>
  <c r="AK304" i="1"/>
  <c r="AK305" i="1"/>
  <c r="AK306" i="1"/>
  <c r="AK307" i="1"/>
  <c r="AK308" i="1"/>
  <c r="AK309" i="1"/>
  <c r="AK310" i="1"/>
  <c r="AK311" i="1"/>
  <c r="AK312" i="1"/>
  <c r="AK313" i="1"/>
  <c r="AK314" i="1"/>
  <c r="AK315" i="1"/>
  <c r="AK316" i="1"/>
  <c r="AK317" i="1"/>
  <c r="AK318" i="1"/>
  <c r="AK319" i="1"/>
  <c r="AK320" i="1"/>
  <c r="AK321" i="1"/>
  <c r="AK322" i="1"/>
  <c r="AK323" i="1"/>
  <c r="AK324" i="1"/>
  <c r="AK325" i="1"/>
  <c r="AK326" i="1"/>
  <c r="AK327" i="1"/>
  <c r="AK328" i="1"/>
  <c r="AK329" i="1"/>
  <c r="AK330" i="1"/>
  <c r="AK331" i="1"/>
  <c r="AK332" i="1"/>
  <c r="AK333" i="1"/>
  <c r="AK334" i="1"/>
  <c r="AK335" i="1"/>
  <c r="AK336" i="1"/>
  <c r="AK337" i="1"/>
  <c r="AK338" i="1"/>
  <c r="AK339" i="1"/>
  <c r="AK340" i="1"/>
  <c r="AK341" i="1"/>
  <c r="AK342" i="1"/>
  <c r="AK343" i="1"/>
  <c r="AK344" i="1"/>
  <c r="AK345" i="1"/>
  <c r="AK346" i="1"/>
  <c r="AK347" i="1"/>
  <c r="AK348" i="1"/>
  <c r="AK349" i="1"/>
  <c r="AK350" i="1"/>
  <c r="AK351" i="1"/>
  <c r="AK352" i="1"/>
  <c r="AK353" i="1"/>
  <c r="AK354" i="1"/>
  <c r="AK355" i="1"/>
  <c r="AK356" i="1"/>
  <c r="AK357" i="1"/>
  <c r="AK358" i="1"/>
  <c r="AK359" i="1"/>
  <c r="AK360" i="1"/>
  <c r="AK361" i="1"/>
  <c r="AK362" i="1"/>
  <c r="AK363" i="1"/>
  <c r="AK364" i="1"/>
  <c r="AK365" i="1"/>
  <c r="AK366" i="1"/>
  <c r="AK367" i="1"/>
  <c r="AK368" i="1"/>
  <c r="AK369" i="1"/>
  <c r="AK370" i="1"/>
  <c r="AK371" i="1"/>
  <c r="AK372" i="1"/>
  <c r="AK373" i="1"/>
  <c r="AK374" i="1"/>
  <c r="AK375" i="1"/>
  <c r="AK376" i="1"/>
  <c r="AK377" i="1"/>
  <c r="AK378" i="1"/>
  <c r="AK379" i="1"/>
  <c r="AK380" i="1"/>
  <c r="AK381" i="1"/>
  <c r="AK382" i="1"/>
  <c r="AK383" i="1"/>
  <c r="AK384" i="1"/>
  <c r="AK385" i="1"/>
  <c r="AK386" i="1"/>
  <c r="AK387" i="1"/>
  <c r="AK388" i="1"/>
  <c r="AK389" i="1"/>
  <c r="AK390" i="1"/>
  <c r="AK391" i="1"/>
  <c r="AK392" i="1"/>
  <c r="AK393" i="1"/>
  <c r="AK394" i="1"/>
  <c r="AK395" i="1"/>
  <c r="AK396" i="1"/>
  <c r="AK397" i="1"/>
  <c r="AK398" i="1"/>
  <c r="AK399" i="1"/>
  <c r="AK400" i="1"/>
  <c r="AK401" i="1"/>
  <c r="AK402" i="1"/>
  <c r="AK403" i="1"/>
  <c r="AK404" i="1"/>
  <c r="AK405" i="1"/>
  <c r="AK406" i="1"/>
  <c r="AK407" i="1"/>
  <c r="AK408" i="1"/>
  <c r="AK409" i="1"/>
  <c r="AK410" i="1"/>
  <c r="AK411" i="1"/>
  <c r="AK412" i="1"/>
  <c r="AK413" i="1"/>
  <c r="AK414" i="1"/>
  <c r="AK415" i="1"/>
  <c r="AK416" i="1"/>
  <c r="AK417" i="1"/>
  <c r="AK418" i="1"/>
  <c r="AK419" i="1"/>
  <c r="AK420" i="1"/>
  <c r="AK421" i="1"/>
  <c r="AK422" i="1"/>
  <c r="AK423" i="1"/>
  <c r="AK424" i="1"/>
  <c r="AK425" i="1"/>
  <c r="AK426" i="1"/>
  <c r="AK427" i="1"/>
  <c r="AK428" i="1"/>
  <c r="AK429" i="1"/>
  <c r="AK430" i="1"/>
  <c r="AK431" i="1"/>
  <c r="AK432" i="1"/>
  <c r="AK433" i="1"/>
  <c r="AK434" i="1"/>
  <c r="AK435" i="1"/>
  <c r="AK436" i="1"/>
  <c r="AK437" i="1"/>
  <c r="AK438" i="1"/>
  <c r="AK439" i="1"/>
  <c r="AK440" i="1"/>
  <c r="AK441" i="1"/>
  <c r="AK442" i="1"/>
  <c r="AK443" i="1"/>
  <c r="AK444" i="1"/>
  <c r="AK445" i="1"/>
  <c r="AK446" i="1"/>
  <c r="AK447" i="1"/>
  <c r="AK448" i="1"/>
  <c r="AK449" i="1"/>
  <c r="AK450" i="1"/>
  <c r="AK451" i="1"/>
  <c r="AK452" i="1"/>
  <c r="AK453" i="1"/>
  <c r="AK454" i="1"/>
  <c r="AK455" i="1"/>
  <c r="AK456" i="1"/>
  <c r="AK457" i="1"/>
  <c r="AK458" i="1"/>
  <c r="AK459" i="1"/>
  <c r="AK460" i="1"/>
  <c r="AK461" i="1"/>
  <c r="AK462" i="1"/>
  <c r="AK463" i="1"/>
  <c r="AK464" i="1"/>
  <c r="AK465" i="1"/>
  <c r="AK466" i="1"/>
  <c r="AK467" i="1"/>
  <c r="AK468" i="1"/>
  <c r="AK469" i="1"/>
  <c r="AK470" i="1"/>
  <c r="AK471" i="1"/>
  <c r="AK472" i="1"/>
  <c r="AK473" i="1"/>
  <c r="AK474" i="1"/>
  <c r="AK475" i="1"/>
  <c r="AK476" i="1"/>
  <c r="AK477" i="1"/>
  <c r="AK478" i="1"/>
  <c r="AK479" i="1"/>
  <c r="AK480" i="1"/>
  <c r="AK481" i="1"/>
  <c r="AK482" i="1"/>
  <c r="AK483" i="1"/>
  <c r="AK484" i="1"/>
  <c r="AK485" i="1"/>
  <c r="AK486" i="1"/>
  <c r="AK487" i="1"/>
  <c r="AK488" i="1"/>
  <c r="AK489" i="1"/>
  <c r="AK490" i="1"/>
  <c r="AK491" i="1"/>
  <c r="AK492" i="1"/>
  <c r="AK493" i="1"/>
  <c r="AK494" i="1"/>
  <c r="AK495" i="1"/>
  <c r="AK496" i="1"/>
  <c r="AK497" i="1"/>
  <c r="AK498" i="1"/>
  <c r="AK499" i="1"/>
  <c r="AK500" i="1"/>
  <c r="AK501" i="1"/>
  <c r="AK502" i="1"/>
  <c r="AK503" i="1"/>
  <c r="AK504" i="1"/>
  <c r="AK505" i="1"/>
  <c r="AK506" i="1"/>
  <c r="AK507" i="1"/>
  <c r="AK508" i="1"/>
  <c r="AK509" i="1"/>
  <c r="AK510" i="1"/>
  <c r="AK511" i="1"/>
  <c r="AK512" i="1"/>
  <c r="AK513" i="1"/>
  <c r="AK514" i="1"/>
  <c r="AK515" i="1"/>
  <c r="AK516" i="1"/>
  <c r="AK517" i="1"/>
  <c r="AK518" i="1"/>
  <c r="AK519" i="1"/>
  <c r="AK520" i="1"/>
  <c r="AK521" i="1"/>
  <c r="AK522" i="1"/>
  <c r="AK523" i="1"/>
  <c r="AK524" i="1"/>
  <c r="AK525" i="1"/>
  <c r="AK526" i="1"/>
  <c r="AK527" i="1"/>
  <c r="AK528" i="1"/>
  <c r="AK529" i="1"/>
  <c r="AK530" i="1"/>
  <c r="AK531" i="1"/>
  <c r="AK532" i="1"/>
  <c r="AK533" i="1"/>
  <c r="AK534" i="1"/>
  <c r="AK535" i="1"/>
  <c r="AK536" i="1"/>
  <c r="AK537" i="1"/>
  <c r="AK538" i="1"/>
  <c r="AK539" i="1"/>
  <c r="AK540" i="1"/>
  <c r="AK541" i="1"/>
  <c r="AK542" i="1"/>
  <c r="AK543" i="1"/>
  <c r="AK544" i="1"/>
  <c r="AK545" i="1"/>
  <c r="AK546" i="1"/>
  <c r="AK547" i="1"/>
  <c r="AK548" i="1"/>
  <c r="AK549" i="1"/>
  <c r="AK550" i="1"/>
  <c r="AK551" i="1"/>
  <c r="AK552" i="1"/>
  <c r="AK553" i="1"/>
  <c r="AK554" i="1"/>
  <c r="AK555" i="1"/>
  <c r="AK556" i="1"/>
  <c r="AK557" i="1"/>
  <c r="AK558" i="1"/>
  <c r="AK559" i="1"/>
  <c r="AK560" i="1"/>
  <c r="AK561" i="1"/>
  <c r="AK562" i="1"/>
  <c r="AK563" i="1"/>
  <c r="AK564" i="1"/>
  <c r="AK565" i="1"/>
  <c r="AK566" i="1"/>
  <c r="AK567" i="1"/>
  <c r="AK568" i="1"/>
  <c r="AK569" i="1"/>
  <c r="AK570" i="1"/>
  <c r="AK571" i="1"/>
  <c r="AK572" i="1"/>
  <c r="AK573" i="1"/>
  <c r="AK574" i="1"/>
  <c r="AK575" i="1"/>
  <c r="AK576" i="1"/>
  <c r="AK577" i="1"/>
  <c r="AK578" i="1"/>
  <c r="AK579" i="1"/>
  <c r="AK580" i="1"/>
  <c r="AK581" i="1"/>
  <c r="AK582" i="1"/>
  <c r="AK583" i="1"/>
  <c r="AK584" i="1"/>
  <c r="AK585" i="1"/>
  <c r="AK586" i="1"/>
  <c r="AK587" i="1"/>
  <c r="AK588" i="1"/>
  <c r="AK589" i="1"/>
  <c r="AK590" i="1"/>
  <c r="AK591" i="1"/>
  <c r="AK592" i="1"/>
  <c r="AK593" i="1"/>
  <c r="AK594" i="1"/>
  <c r="AK595" i="1"/>
  <c r="AK596" i="1"/>
  <c r="AK597" i="1"/>
  <c r="AK598" i="1"/>
  <c r="AK599" i="1"/>
  <c r="AK600" i="1"/>
  <c r="AK601" i="1"/>
  <c r="AK602" i="1"/>
  <c r="AK603" i="1"/>
  <c r="AK604" i="1"/>
  <c r="AK605" i="1"/>
  <c r="AK606" i="1"/>
  <c r="AK607" i="1"/>
  <c r="AK608" i="1"/>
  <c r="AK609" i="1"/>
  <c r="AK610" i="1"/>
  <c r="AK611" i="1"/>
  <c r="AK612" i="1"/>
  <c r="AK613" i="1"/>
  <c r="AK614" i="1"/>
  <c r="AK615" i="1"/>
  <c r="AK616" i="1"/>
  <c r="AK617" i="1"/>
  <c r="AK618" i="1"/>
  <c r="AK619" i="1"/>
  <c r="AK620" i="1"/>
  <c r="AK621" i="1"/>
  <c r="AK622" i="1"/>
  <c r="AK623" i="1"/>
  <c r="AK624" i="1"/>
  <c r="AK625" i="1"/>
  <c r="AK626" i="1"/>
  <c r="AK627" i="1"/>
  <c r="AK628" i="1"/>
  <c r="AK629" i="1"/>
  <c r="AK630" i="1"/>
  <c r="AK631" i="1"/>
  <c r="AK632" i="1"/>
  <c r="AK633" i="1"/>
  <c r="AK634" i="1"/>
  <c r="AK635" i="1"/>
  <c r="AK636" i="1"/>
  <c r="AK637" i="1"/>
  <c r="AK638" i="1"/>
  <c r="AK639" i="1"/>
  <c r="AK640" i="1"/>
  <c r="AK641" i="1"/>
  <c r="AK642" i="1"/>
  <c r="AK643" i="1"/>
  <c r="AK644" i="1"/>
  <c r="AK645" i="1"/>
  <c r="AK646" i="1"/>
  <c r="AK647" i="1"/>
  <c r="AK648" i="1"/>
  <c r="AK649" i="1"/>
  <c r="AK650" i="1"/>
  <c r="AK651" i="1"/>
  <c r="AK652" i="1"/>
  <c r="AK653" i="1"/>
  <c r="AK654" i="1"/>
  <c r="AK655" i="1"/>
  <c r="AK656" i="1"/>
  <c r="AK657" i="1"/>
  <c r="AK658" i="1"/>
  <c r="AK659" i="1"/>
  <c r="AK660" i="1"/>
  <c r="AK661" i="1"/>
  <c r="AK662" i="1"/>
  <c r="AK663" i="1"/>
  <c r="AK664" i="1"/>
  <c r="AK665" i="1"/>
  <c r="AK666" i="1"/>
  <c r="AK667" i="1"/>
  <c r="AK668" i="1"/>
  <c r="AK669" i="1"/>
  <c r="AK670" i="1"/>
  <c r="AK671" i="1"/>
  <c r="AK672" i="1"/>
  <c r="AK673" i="1"/>
  <c r="AK674" i="1"/>
  <c r="AK675" i="1"/>
  <c r="AK676" i="1"/>
  <c r="AK677" i="1"/>
  <c r="AK678" i="1"/>
  <c r="AK679" i="1"/>
  <c r="AK680" i="1"/>
  <c r="AK681" i="1"/>
  <c r="AK682" i="1"/>
  <c r="AK683" i="1"/>
  <c r="AK684" i="1"/>
  <c r="AK685" i="1"/>
  <c r="AK686" i="1"/>
  <c r="AK687" i="1"/>
  <c r="AK688" i="1"/>
  <c r="AK689" i="1"/>
  <c r="AK690" i="1"/>
  <c r="AK691" i="1"/>
  <c r="AK692" i="1"/>
  <c r="AK693" i="1"/>
  <c r="AK694" i="1"/>
  <c r="AK695" i="1"/>
  <c r="AK696" i="1"/>
  <c r="AK697" i="1"/>
  <c r="AK698" i="1"/>
  <c r="AK699" i="1"/>
  <c r="AK700" i="1"/>
  <c r="AK701" i="1"/>
  <c r="AK702" i="1"/>
  <c r="AK2" i="1"/>
  <c r="Y2" i="1"/>
  <c r="Y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V3" i="1"/>
  <c r="W3" i="1" s="1"/>
  <c r="V4" i="1"/>
  <c r="W4" i="1" s="1"/>
  <c r="V5" i="1"/>
  <c r="W5" i="1" s="1"/>
  <c r="V6" i="1"/>
  <c r="W6" i="1" s="1"/>
  <c r="V7" i="1"/>
  <c r="W7" i="1" s="1"/>
  <c r="V8" i="1"/>
  <c r="W8" i="1" s="1"/>
  <c r="V9" i="1"/>
  <c r="W9" i="1" s="1"/>
  <c r="V10" i="1"/>
  <c r="W10" i="1" s="1"/>
  <c r="V11" i="1"/>
  <c r="W11" i="1" s="1"/>
  <c r="V12" i="1"/>
  <c r="W12" i="1" s="1"/>
  <c r="V13" i="1"/>
  <c r="W13" i="1" s="1"/>
  <c r="V14" i="1"/>
  <c r="W14" i="1" s="1"/>
  <c r="V15" i="1"/>
  <c r="W15" i="1" s="1"/>
  <c r="V16" i="1"/>
  <c r="W16" i="1" s="1"/>
  <c r="V17" i="1"/>
  <c r="V18" i="1"/>
  <c r="W18" i="1" s="1"/>
  <c r="V19" i="1"/>
  <c r="W19" i="1" s="1"/>
  <c r="V20" i="1"/>
  <c r="W20" i="1" s="1"/>
  <c r="V21" i="1"/>
  <c r="W21" i="1" s="1"/>
  <c r="V22" i="1"/>
  <c r="W22" i="1" s="1"/>
  <c r="V23" i="1"/>
  <c r="W23" i="1" s="1"/>
  <c r="V24" i="1"/>
  <c r="W24" i="1" s="1"/>
  <c r="V25" i="1"/>
  <c r="W25" i="1" s="1"/>
  <c r="V26" i="1"/>
  <c r="W26" i="1" s="1"/>
  <c r="V27" i="1"/>
  <c r="W27" i="1" s="1"/>
  <c r="V28" i="1"/>
  <c r="W28" i="1" s="1"/>
  <c r="V29" i="1"/>
  <c r="W29" i="1" s="1"/>
  <c r="V30" i="1"/>
  <c r="W30" i="1" s="1"/>
  <c r="V31" i="1"/>
  <c r="W31" i="1" s="1"/>
  <c r="V32" i="1"/>
  <c r="W32" i="1" s="1"/>
  <c r="V33" i="1"/>
  <c r="W33" i="1" s="1"/>
  <c r="V34" i="1"/>
  <c r="W34" i="1" s="1"/>
  <c r="V35" i="1"/>
  <c r="W35" i="1" s="1"/>
  <c r="V36" i="1"/>
  <c r="W36" i="1" s="1"/>
  <c r="V37" i="1"/>
  <c r="W37" i="1" s="1"/>
  <c r="V38" i="1"/>
  <c r="W38" i="1" s="1"/>
  <c r="V39" i="1"/>
  <c r="V40" i="1"/>
  <c r="W40" i="1" s="1"/>
  <c r="V41" i="1"/>
  <c r="V42" i="1"/>
  <c r="W42" i="1" s="1"/>
  <c r="V43" i="1"/>
  <c r="W43" i="1" s="1"/>
  <c r="V44" i="1"/>
  <c r="W44" i="1" s="1"/>
  <c r="V45" i="1"/>
  <c r="W45" i="1" s="1"/>
  <c r="V46" i="1"/>
  <c r="W46" i="1" s="1"/>
  <c r="V47" i="1"/>
  <c r="W47" i="1" s="1"/>
  <c r="V48" i="1"/>
  <c r="W48" i="1" s="1"/>
  <c r="V49" i="1"/>
  <c r="W49" i="1" s="1"/>
  <c r="V50" i="1"/>
  <c r="W50" i="1" s="1"/>
  <c r="V51" i="1"/>
  <c r="W51" i="1" s="1"/>
  <c r="V52" i="1"/>
  <c r="W52" i="1" s="1"/>
  <c r="V53" i="1"/>
  <c r="W53" i="1" s="1"/>
  <c r="V54" i="1"/>
  <c r="W54" i="1" s="1"/>
  <c r="V55" i="1"/>
  <c r="W55" i="1" s="1"/>
  <c r="V56" i="1"/>
  <c r="W56" i="1" s="1"/>
  <c r="V57" i="1"/>
  <c r="V58" i="1"/>
  <c r="W58" i="1" s="1"/>
  <c r="V59" i="1"/>
  <c r="W59" i="1" s="1"/>
  <c r="V60" i="1"/>
  <c r="W60" i="1" s="1"/>
  <c r="V61" i="1"/>
  <c r="W61" i="1" s="1"/>
  <c r="V62" i="1"/>
  <c r="W62" i="1" s="1"/>
  <c r="V63" i="1"/>
  <c r="W63" i="1" s="1"/>
  <c r="V64" i="1"/>
  <c r="W64" i="1" s="1"/>
  <c r="V65" i="1"/>
  <c r="W65" i="1" s="1"/>
  <c r="V66" i="1"/>
  <c r="W66" i="1" s="1"/>
  <c r="V67" i="1"/>
  <c r="W67" i="1" s="1"/>
  <c r="V68" i="1"/>
  <c r="W68" i="1" s="1"/>
  <c r="V69" i="1"/>
  <c r="W69" i="1" s="1"/>
  <c r="V70" i="1"/>
  <c r="W70" i="1" s="1"/>
  <c r="V71" i="1"/>
  <c r="W71" i="1" s="1"/>
  <c r="V72" i="1"/>
  <c r="W72" i="1" s="1"/>
  <c r="V73" i="1"/>
  <c r="V74" i="1"/>
  <c r="W74" i="1" s="1"/>
  <c r="V75" i="1"/>
  <c r="W75" i="1" s="1"/>
  <c r="V76" i="1"/>
  <c r="W76" i="1" s="1"/>
  <c r="V77" i="1"/>
  <c r="W77" i="1" s="1"/>
  <c r="V78" i="1"/>
  <c r="W78" i="1" s="1"/>
  <c r="V79" i="1"/>
  <c r="W79" i="1" s="1"/>
  <c r="V80" i="1"/>
  <c r="W80" i="1" s="1"/>
  <c r="V81" i="1"/>
  <c r="V82" i="1"/>
  <c r="W82" i="1" s="1"/>
  <c r="V83" i="1"/>
  <c r="W83" i="1" s="1"/>
  <c r="V84" i="1"/>
  <c r="W84" i="1" s="1"/>
  <c r="V85" i="1"/>
  <c r="W85" i="1" s="1"/>
  <c r="V86" i="1"/>
  <c r="W86" i="1" s="1"/>
  <c r="V87" i="1"/>
  <c r="W87" i="1" s="1"/>
  <c r="V88" i="1"/>
  <c r="W88" i="1" s="1"/>
  <c r="V89" i="1"/>
  <c r="W89" i="1" s="1"/>
  <c r="V90" i="1"/>
  <c r="W90" i="1" s="1"/>
  <c r="V91" i="1"/>
  <c r="W91" i="1" s="1"/>
  <c r="V92" i="1"/>
  <c r="W92" i="1" s="1"/>
  <c r="V93" i="1"/>
  <c r="W93" i="1" s="1"/>
  <c r="V94" i="1"/>
  <c r="W94" i="1" s="1"/>
  <c r="V95" i="1"/>
  <c r="W95" i="1" s="1"/>
  <c r="V96" i="1"/>
  <c r="W96" i="1" s="1"/>
  <c r="V97" i="1"/>
  <c r="W97" i="1" s="1"/>
  <c r="V98" i="1"/>
  <c r="W98" i="1" s="1"/>
  <c r="V99" i="1"/>
  <c r="W99" i="1" s="1"/>
  <c r="V100" i="1"/>
  <c r="W100" i="1" s="1"/>
  <c r="V101" i="1"/>
  <c r="W101" i="1" s="1"/>
  <c r="V102" i="1"/>
  <c r="W102" i="1" s="1"/>
  <c r="V103" i="1"/>
  <c r="W103" i="1" s="1"/>
  <c r="V104" i="1"/>
  <c r="W104" i="1" s="1"/>
  <c r="V105" i="1"/>
  <c r="V106" i="1"/>
  <c r="W106" i="1" s="1"/>
  <c r="V107" i="1"/>
  <c r="W107" i="1" s="1"/>
  <c r="V108" i="1"/>
  <c r="W108" i="1" s="1"/>
  <c r="V109" i="1"/>
  <c r="W109" i="1" s="1"/>
  <c r="V110" i="1"/>
  <c r="W110" i="1" s="1"/>
  <c r="V111" i="1"/>
  <c r="W111" i="1" s="1"/>
  <c r="V112" i="1"/>
  <c r="W112" i="1" s="1"/>
  <c r="V113" i="1"/>
  <c r="W113" i="1" s="1"/>
  <c r="V114" i="1"/>
  <c r="W114" i="1" s="1"/>
  <c r="V115" i="1"/>
  <c r="W115" i="1" s="1"/>
  <c r="V116" i="1"/>
  <c r="W116" i="1" s="1"/>
  <c r="V117" i="1"/>
  <c r="W117" i="1" s="1"/>
  <c r="V118" i="1"/>
  <c r="W118" i="1" s="1"/>
  <c r="V119" i="1"/>
  <c r="W119" i="1" s="1"/>
  <c r="V120" i="1"/>
  <c r="W120" i="1" s="1"/>
  <c r="V121" i="1"/>
  <c r="V122" i="1"/>
  <c r="W122" i="1" s="1"/>
  <c r="V123" i="1"/>
  <c r="W123" i="1" s="1"/>
  <c r="V124" i="1"/>
  <c r="W124" i="1" s="1"/>
  <c r="V125" i="1"/>
  <c r="W125" i="1" s="1"/>
  <c r="V126" i="1"/>
  <c r="W126" i="1" s="1"/>
  <c r="V127" i="1"/>
  <c r="W127" i="1" s="1"/>
  <c r="V128" i="1"/>
  <c r="W128" i="1" s="1"/>
  <c r="V129" i="1"/>
  <c r="W129" i="1" s="1"/>
  <c r="V130" i="1"/>
  <c r="W130" i="1" s="1"/>
  <c r="V131" i="1"/>
  <c r="W131" i="1" s="1"/>
  <c r="V132" i="1"/>
  <c r="W132" i="1" s="1"/>
  <c r="V133" i="1"/>
  <c r="W133" i="1" s="1"/>
  <c r="V134" i="1"/>
  <c r="W134" i="1" s="1"/>
  <c r="V135" i="1"/>
  <c r="W135" i="1" s="1"/>
  <c r="V136" i="1"/>
  <c r="W136" i="1" s="1"/>
  <c r="V137" i="1"/>
  <c r="W137" i="1" s="1"/>
  <c r="V138" i="1"/>
  <c r="W138" i="1" s="1"/>
  <c r="V139" i="1"/>
  <c r="W139" i="1" s="1"/>
  <c r="V140" i="1"/>
  <c r="W140" i="1" s="1"/>
  <c r="V141" i="1"/>
  <c r="W141" i="1" s="1"/>
  <c r="V142" i="1"/>
  <c r="W142" i="1" s="1"/>
  <c r="V143" i="1"/>
  <c r="W143" i="1" s="1"/>
  <c r="V144" i="1"/>
  <c r="W144" i="1" s="1"/>
  <c r="V145" i="1"/>
  <c r="V146" i="1"/>
  <c r="W146" i="1" s="1"/>
  <c r="V147" i="1"/>
  <c r="W147" i="1" s="1"/>
  <c r="V148" i="1"/>
  <c r="W148" i="1" s="1"/>
  <c r="V149" i="1"/>
  <c r="W149" i="1" s="1"/>
  <c r="V150" i="1"/>
  <c r="W150" i="1" s="1"/>
  <c r="V151" i="1"/>
  <c r="W151" i="1" s="1"/>
  <c r="V152" i="1"/>
  <c r="W152" i="1" s="1"/>
  <c r="V153" i="1"/>
  <c r="W153" i="1" s="1"/>
  <c r="V154" i="1"/>
  <c r="W154" i="1" s="1"/>
  <c r="V155" i="1"/>
  <c r="W155" i="1" s="1"/>
  <c r="V156" i="1"/>
  <c r="W156" i="1" s="1"/>
  <c r="V157" i="1"/>
  <c r="W157" i="1" s="1"/>
  <c r="V158" i="1"/>
  <c r="W158" i="1" s="1"/>
  <c r="V159" i="1"/>
  <c r="W159" i="1" s="1"/>
  <c r="V160" i="1"/>
  <c r="W160" i="1" s="1"/>
  <c r="V161" i="1"/>
  <c r="W161" i="1" s="1"/>
  <c r="V162" i="1"/>
  <c r="W162" i="1" s="1"/>
  <c r="V163" i="1"/>
  <c r="W163" i="1" s="1"/>
  <c r="V164" i="1"/>
  <c r="W164" i="1" s="1"/>
  <c r="V165" i="1"/>
  <c r="W165" i="1" s="1"/>
  <c r="V166" i="1"/>
  <c r="W166" i="1" s="1"/>
  <c r="V167" i="1"/>
  <c r="W167" i="1" s="1"/>
  <c r="V168" i="1"/>
  <c r="W168" i="1" s="1"/>
  <c r="V169" i="1"/>
  <c r="W169" i="1" s="1"/>
  <c r="V170" i="1"/>
  <c r="W170" i="1" s="1"/>
  <c r="V171" i="1"/>
  <c r="W171" i="1" s="1"/>
  <c r="V172" i="1"/>
  <c r="W172" i="1" s="1"/>
  <c r="V173" i="1"/>
  <c r="W173" i="1" s="1"/>
  <c r="V174" i="1"/>
  <c r="W174" i="1" s="1"/>
  <c r="V175" i="1"/>
  <c r="W175" i="1" s="1"/>
  <c r="V176" i="1"/>
  <c r="W176" i="1" s="1"/>
  <c r="V177" i="1"/>
  <c r="W177" i="1" s="1"/>
  <c r="V178" i="1"/>
  <c r="W178" i="1" s="1"/>
  <c r="V179" i="1"/>
  <c r="W179" i="1" s="1"/>
  <c r="V180" i="1"/>
  <c r="W180" i="1" s="1"/>
  <c r="V181" i="1"/>
  <c r="W181" i="1" s="1"/>
  <c r="V182" i="1"/>
  <c r="W182" i="1" s="1"/>
  <c r="V183" i="1"/>
  <c r="W183" i="1" s="1"/>
  <c r="V184" i="1"/>
  <c r="W184" i="1" s="1"/>
  <c r="V185" i="1"/>
  <c r="W185" i="1" s="1"/>
  <c r="V186" i="1"/>
  <c r="W186" i="1" s="1"/>
  <c r="V187" i="1"/>
  <c r="W187" i="1" s="1"/>
  <c r="V188" i="1"/>
  <c r="W188" i="1" s="1"/>
  <c r="V189" i="1"/>
  <c r="W189" i="1" s="1"/>
  <c r="V190" i="1"/>
  <c r="W190" i="1" s="1"/>
  <c r="V191" i="1"/>
  <c r="W191" i="1" s="1"/>
  <c r="V192" i="1"/>
  <c r="W192" i="1" s="1"/>
  <c r="V193" i="1"/>
  <c r="W193" i="1" s="1"/>
  <c r="V194" i="1"/>
  <c r="W194" i="1" s="1"/>
  <c r="V195" i="1"/>
  <c r="W195" i="1" s="1"/>
  <c r="V196" i="1"/>
  <c r="W196" i="1" s="1"/>
  <c r="V197" i="1"/>
  <c r="W197" i="1" s="1"/>
  <c r="V198" i="1"/>
  <c r="W198" i="1" s="1"/>
  <c r="V199" i="1"/>
  <c r="W199" i="1" s="1"/>
  <c r="V200" i="1"/>
  <c r="W200" i="1" s="1"/>
  <c r="V201" i="1"/>
  <c r="W201" i="1" s="1"/>
  <c r="V202" i="1"/>
  <c r="W202" i="1" s="1"/>
  <c r="V203" i="1"/>
  <c r="W203" i="1" s="1"/>
  <c r="V204" i="1"/>
  <c r="W204" i="1" s="1"/>
  <c r="V205" i="1"/>
  <c r="W205" i="1" s="1"/>
  <c r="V206" i="1"/>
  <c r="W206" i="1" s="1"/>
  <c r="V207" i="1"/>
  <c r="W207" i="1" s="1"/>
  <c r="V208" i="1"/>
  <c r="W208" i="1" s="1"/>
  <c r="V209" i="1"/>
  <c r="W209" i="1" s="1"/>
  <c r="V210" i="1"/>
  <c r="W210" i="1" s="1"/>
  <c r="V211" i="1"/>
  <c r="W211" i="1" s="1"/>
  <c r="V212" i="1"/>
  <c r="W212" i="1" s="1"/>
  <c r="V213" i="1"/>
  <c r="W213" i="1" s="1"/>
  <c r="V214" i="1"/>
  <c r="W214" i="1" s="1"/>
  <c r="V215" i="1"/>
  <c r="W215" i="1" s="1"/>
  <c r="V216" i="1"/>
  <c r="W216" i="1" s="1"/>
  <c r="V217" i="1"/>
  <c r="W217" i="1" s="1"/>
  <c r="V218" i="1"/>
  <c r="W218" i="1" s="1"/>
  <c r="V219" i="1"/>
  <c r="W219" i="1" s="1"/>
  <c r="V220" i="1"/>
  <c r="W220" i="1" s="1"/>
  <c r="V221" i="1"/>
  <c r="W221" i="1" s="1"/>
  <c r="V222" i="1"/>
  <c r="W222" i="1" s="1"/>
  <c r="V223" i="1"/>
  <c r="W223" i="1" s="1"/>
  <c r="V224" i="1"/>
  <c r="W224" i="1" s="1"/>
  <c r="V225" i="1"/>
  <c r="W225" i="1" s="1"/>
  <c r="V226" i="1"/>
  <c r="W226" i="1" s="1"/>
  <c r="V227" i="1"/>
  <c r="W227" i="1" s="1"/>
  <c r="V228" i="1"/>
  <c r="W228" i="1" s="1"/>
  <c r="V229" i="1"/>
  <c r="W229" i="1" s="1"/>
  <c r="V230" i="1"/>
  <c r="W230" i="1" s="1"/>
  <c r="V231" i="1"/>
  <c r="W231" i="1" s="1"/>
  <c r="V232" i="1"/>
  <c r="W232" i="1" s="1"/>
  <c r="V233" i="1"/>
  <c r="W233" i="1" s="1"/>
  <c r="V234" i="1"/>
  <c r="W234" i="1" s="1"/>
  <c r="V235" i="1"/>
  <c r="W235" i="1" s="1"/>
  <c r="V236" i="1"/>
  <c r="W236" i="1" s="1"/>
  <c r="V237" i="1"/>
  <c r="W237" i="1" s="1"/>
  <c r="V238" i="1"/>
  <c r="W238" i="1" s="1"/>
  <c r="V239" i="1"/>
  <c r="W239" i="1" s="1"/>
  <c r="V240" i="1"/>
  <c r="W240" i="1" s="1"/>
  <c r="V241" i="1"/>
  <c r="W241" i="1" s="1"/>
  <c r="V242" i="1"/>
  <c r="W242" i="1" s="1"/>
  <c r="V243" i="1"/>
  <c r="W243" i="1" s="1"/>
  <c r="V244" i="1"/>
  <c r="W244" i="1" s="1"/>
  <c r="V245" i="1"/>
  <c r="W245" i="1" s="1"/>
  <c r="V246" i="1"/>
  <c r="W246" i="1" s="1"/>
  <c r="V247" i="1"/>
  <c r="W247" i="1" s="1"/>
  <c r="V248" i="1"/>
  <c r="W248" i="1" s="1"/>
  <c r="V249" i="1"/>
  <c r="W249" i="1" s="1"/>
  <c r="V250" i="1"/>
  <c r="W250" i="1" s="1"/>
  <c r="V251" i="1"/>
  <c r="W251" i="1" s="1"/>
  <c r="V252" i="1"/>
  <c r="W252" i="1" s="1"/>
  <c r="V253" i="1"/>
  <c r="W253" i="1" s="1"/>
  <c r="V254" i="1"/>
  <c r="W254" i="1" s="1"/>
  <c r="V255" i="1"/>
  <c r="W255" i="1" s="1"/>
  <c r="V256" i="1"/>
  <c r="W256" i="1" s="1"/>
  <c r="V257" i="1"/>
  <c r="W257" i="1" s="1"/>
  <c r="V258" i="1"/>
  <c r="W258" i="1" s="1"/>
  <c r="V259" i="1"/>
  <c r="W259" i="1" s="1"/>
  <c r="V260" i="1"/>
  <c r="W260" i="1" s="1"/>
  <c r="V261" i="1"/>
  <c r="W261" i="1" s="1"/>
  <c r="V262" i="1"/>
  <c r="W262" i="1" s="1"/>
  <c r="V263" i="1"/>
  <c r="W263" i="1" s="1"/>
  <c r="V264" i="1"/>
  <c r="W264" i="1" s="1"/>
  <c r="V265" i="1"/>
  <c r="W265" i="1" s="1"/>
  <c r="V266" i="1"/>
  <c r="W266" i="1" s="1"/>
  <c r="V267" i="1"/>
  <c r="W267" i="1" s="1"/>
  <c r="V268" i="1"/>
  <c r="W268" i="1" s="1"/>
  <c r="V269" i="1"/>
  <c r="W269" i="1" s="1"/>
  <c r="V270" i="1"/>
  <c r="W270" i="1" s="1"/>
  <c r="V271" i="1"/>
  <c r="W271" i="1" s="1"/>
  <c r="V272" i="1"/>
  <c r="W272" i="1" s="1"/>
  <c r="V273" i="1"/>
  <c r="W273" i="1" s="1"/>
  <c r="V274" i="1"/>
  <c r="W274" i="1" s="1"/>
  <c r="V275" i="1"/>
  <c r="W275" i="1" s="1"/>
  <c r="V276" i="1"/>
  <c r="W276" i="1" s="1"/>
  <c r="V277" i="1"/>
  <c r="W277" i="1" s="1"/>
  <c r="V278" i="1"/>
  <c r="W278" i="1" s="1"/>
  <c r="V279" i="1"/>
  <c r="W279" i="1" s="1"/>
  <c r="V280" i="1"/>
  <c r="W280" i="1" s="1"/>
  <c r="V281" i="1"/>
  <c r="W281" i="1" s="1"/>
  <c r="V282" i="1"/>
  <c r="W282" i="1" s="1"/>
  <c r="V283" i="1"/>
  <c r="W283" i="1" s="1"/>
  <c r="V284" i="1"/>
  <c r="W284" i="1" s="1"/>
  <c r="V285" i="1"/>
  <c r="W285" i="1" s="1"/>
  <c r="V286" i="1"/>
  <c r="W286" i="1" s="1"/>
  <c r="V287" i="1"/>
  <c r="W287" i="1" s="1"/>
  <c r="V288" i="1"/>
  <c r="W288" i="1" s="1"/>
  <c r="V289" i="1"/>
  <c r="W289" i="1" s="1"/>
  <c r="V290" i="1"/>
  <c r="W290" i="1" s="1"/>
  <c r="V291" i="1"/>
  <c r="W291" i="1" s="1"/>
  <c r="V292" i="1"/>
  <c r="W292" i="1" s="1"/>
  <c r="V293" i="1"/>
  <c r="W293" i="1" s="1"/>
  <c r="V294" i="1"/>
  <c r="W294" i="1" s="1"/>
  <c r="V295" i="1"/>
  <c r="W295" i="1" s="1"/>
  <c r="V296" i="1"/>
  <c r="W296" i="1" s="1"/>
  <c r="V297" i="1"/>
  <c r="W297" i="1" s="1"/>
  <c r="V298" i="1"/>
  <c r="W298" i="1" s="1"/>
  <c r="V299" i="1"/>
  <c r="W299" i="1" s="1"/>
  <c r="V300" i="1"/>
  <c r="W300" i="1" s="1"/>
  <c r="V301" i="1"/>
  <c r="W301" i="1" s="1"/>
  <c r="V302" i="1"/>
  <c r="W302" i="1" s="1"/>
  <c r="V303" i="1"/>
  <c r="W303" i="1" s="1"/>
  <c r="V304" i="1"/>
  <c r="W304" i="1" s="1"/>
  <c r="V305" i="1"/>
  <c r="W305" i="1" s="1"/>
  <c r="V306" i="1"/>
  <c r="W306" i="1" s="1"/>
  <c r="V307" i="1"/>
  <c r="W307" i="1" s="1"/>
  <c r="V308" i="1"/>
  <c r="W308" i="1" s="1"/>
  <c r="V309" i="1"/>
  <c r="W309" i="1" s="1"/>
  <c r="V310" i="1"/>
  <c r="W310" i="1" s="1"/>
  <c r="V311" i="1"/>
  <c r="W311" i="1" s="1"/>
  <c r="V312" i="1"/>
  <c r="W312" i="1" s="1"/>
  <c r="V313" i="1"/>
  <c r="W313" i="1" s="1"/>
  <c r="V314" i="1"/>
  <c r="W314" i="1" s="1"/>
  <c r="V315" i="1"/>
  <c r="W315" i="1" s="1"/>
  <c r="V316" i="1"/>
  <c r="W316" i="1" s="1"/>
  <c r="V317" i="1"/>
  <c r="W317" i="1" s="1"/>
  <c r="V318" i="1"/>
  <c r="W318" i="1" s="1"/>
  <c r="V319" i="1"/>
  <c r="W319" i="1" s="1"/>
  <c r="V320" i="1"/>
  <c r="W320" i="1" s="1"/>
  <c r="V321" i="1"/>
  <c r="W321" i="1" s="1"/>
  <c r="V322" i="1"/>
  <c r="W322" i="1" s="1"/>
  <c r="V323" i="1"/>
  <c r="W323" i="1" s="1"/>
  <c r="V324" i="1"/>
  <c r="W324" i="1" s="1"/>
  <c r="V325" i="1"/>
  <c r="W325" i="1" s="1"/>
  <c r="V326" i="1"/>
  <c r="W326" i="1" s="1"/>
  <c r="V327" i="1"/>
  <c r="W327" i="1" s="1"/>
  <c r="V328" i="1"/>
  <c r="W328" i="1" s="1"/>
  <c r="V329" i="1"/>
  <c r="W329" i="1" s="1"/>
  <c r="V330" i="1"/>
  <c r="W330" i="1" s="1"/>
  <c r="V331" i="1"/>
  <c r="W331" i="1" s="1"/>
  <c r="V332" i="1"/>
  <c r="W332" i="1" s="1"/>
  <c r="V333" i="1"/>
  <c r="W333" i="1" s="1"/>
  <c r="V334" i="1"/>
  <c r="W334" i="1" s="1"/>
  <c r="V335" i="1"/>
  <c r="W335" i="1" s="1"/>
  <c r="V336" i="1"/>
  <c r="W336" i="1" s="1"/>
  <c r="V337" i="1"/>
  <c r="W337" i="1" s="1"/>
  <c r="V338" i="1"/>
  <c r="W338" i="1" s="1"/>
  <c r="V339" i="1"/>
  <c r="W339" i="1" s="1"/>
  <c r="V340" i="1"/>
  <c r="W340" i="1" s="1"/>
  <c r="V341" i="1"/>
  <c r="W341" i="1" s="1"/>
  <c r="V342" i="1"/>
  <c r="W342" i="1" s="1"/>
  <c r="V343" i="1"/>
  <c r="W343" i="1" s="1"/>
  <c r="V344" i="1"/>
  <c r="W344" i="1" s="1"/>
  <c r="V345" i="1"/>
  <c r="W345" i="1" s="1"/>
  <c r="V346" i="1"/>
  <c r="W346" i="1" s="1"/>
  <c r="V347" i="1"/>
  <c r="W347" i="1" s="1"/>
  <c r="V348" i="1"/>
  <c r="W348" i="1" s="1"/>
  <c r="V349" i="1"/>
  <c r="W349" i="1" s="1"/>
  <c r="V350" i="1"/>
  <c r="W350" i="1" s="1"/>
  <c r="V351" i="1"/>
  <c r="W351" i="1" s="1"/>
  <c r="V352" i="1"/>
  <c r="W352" i="1" s="1"/>
  <c r="V353" i="1"/>
  <c r="W353" i="1" s="1"/>
  <c r="V354" i="1"/>
  <c r="W354" i="1" s="1"/>
  <c r="V355" i="1"/>
  <c r="W355" i="1" s="1"/>
  <c r="V356" i="1"/>
  <c r="W356" i="1" s="1"/>
  <c r="V357" i="1"/>
  <c r="W357" i="1" s="1"/>
  <c r="V358" i="1"/>
  <c r="W358" i="1" s="1"/>
  <c r="V359" i="1"/>
  <c r="W359" i="1" s="1"/>
  <c r="V360" i="1"/>
  <c r="W360" i="1" s="1"/>
  <c r="V361" i="1"/>
  <c r="W361" i="1" s="1"/>
  <c r="V362" i="1"/>
  <c r="W362" i="1" s="1"/>
  <c r="V363" i="1"/>
  <c r="W363" i="1" s="1"/>
  <c r="V364" i="1"/>
  <c r="W364" i="1" s="1"/>
  <c r="V365" i="1"/>
  <c r="W365" i="1" s="1"/>
  <c r="V366" i="1"/>
  <c r="W366" i="1" s="1"/>
  <c r="V367" i="1"/>
  <c r="W367" i="1" s="1"/>
  <c r="V368" i="1"/>
  <c r="W368" i="1" s="1"/>
  <c r="V369" i="1"/>
  <c r="W369" i="1" s="1"/>
  <c r="V370" i="1"/>
  <c r="W370" i="1" s="1"/>
  <c r="V371" i="1"/>
  <c r="W371" i="1" s="1"/>
  <c r="V372" i="1"/>
  <c r="W372" i="1" s="1"/>
  <c r="V373" i="1"/>
  <c r="W373" i="1" s="1"/>
  <c r="V374" i="1"/>
  <c r="W374" i="1" s="1"/>
  <c r="V375" i="1"/>
  <c r="W375" i="1" s="1"/>
  <c r="V376" i="1"/>
  <c r="W376" i="1" s="1"/>
  <c r="V377" i="1"/>
  <c r="W377" i="1" s="1"/>
  <c r="V378" i="1"/>
  <c r="W378" i="1" s="1"/>
  <c r="V379" i="1"/>
  <c r="W379" i="1" s="1"/>
  <c r="V380" i="1"/>
  <c r="W380" i="1" s="1"/>
  <c r="V381" i="1"/>
  <c r="W381" i="1" s="1"/>
  <c r="V382" i="1"/>
  <c r="W382" i="1" s="1"/>
  <c r="V383" i="1"/>
  <c r="W383" i="1" s="1"/>
  <c r="V384" i="1"/>
  <c r="W384" i="1" s="1"/>
  <c r="V385" i="1"/>
  <c r="W385" i="1" s="1"/>
  <c r="V386" i="1"/>
  <c r="W386" i="1" s="1"/>
  <c r="V387" i="1"/>
  <c r="W387" i="1" s="1"/>
  <c r="V388" i="1"/>
  <c r="W388" i="1" s="1"/>
  <c r="V389" i="1"/>
  <c r="W389" i="1" s="1"/>
  <c r="V390" i="1"/>
  <c r="W390" i="1" s="1"/>
  <c r="V391" i="1"/>
  <c r="W391" i="1" s="1"/>
  <c r="V392" i="1"/>
  <c r="W392" i="1" s="1"/>
  <c r="V393" i="1"/>
  <c r="W393" i="1" s="1"/>
  <c r="V394" i="1"/>
  <c r="W394" i="1" s="1"/>
  <c r="V395" i="1"/>
  <c r="W395" i="1" s="1"/>
  <c r="V396" i="1"/>
  <c r="W396" i="1" s="1"/>
  <c r="V397" i="1"/>
  <c r="W397" i="1" s="1"/>
  <c r="V398" i="1"/>
  <c r="W398" i="1" s="1"/>
  <c r="V399" i="1"/>
  <c r="W399" i="1" s="1"/>
  <c r="V400" i="1"/>
  <c r="W400" i="1" s="1"/>
  <c r="V401" i="1"/>
  <c r="W401" i="1" s="1"/>
  <c r="V402" i="1"/>
  <c r="W402" i="1" s="1"/>
  <c r="V403" i="1"/>
  <c r="W403" i="1" s="1"/>
  <c r="V404" i="1"/>
  <c r="W404" i="1" s="1"/>
  <c r="V405" i="1"/>
  <c r="W405" i="1" s="1"/>
  <c r="V406" i="1"/>
  <c r="W406" i="1" s="1"/>
  <c r="V407" i="1"/>
  <c r="W407" i="1" s="1"/>
  <c r="V408" i="1"/>
  <c r="W408" i="1" s="1"/>
  <c r="V409" i="1"/>
  <c r="W409" i="1" s="1"/>
  <c r="V410" i="1"/>
  <c r="W410" i="1" s="1"/>
  <c r="V411" i="1"/>
  <c r="W411" i="1" s="1"/>
  <c r="V412" i="1"/>
  <c r="W412" i="1" s="1"/>
  <c r="V413" i="1"/>
  <c r="W413" i="1" s="1"/>
  <c r="V414" i="1"/>
  <c r="W414" i="1" s="1"/>
  <c r="V415" i="1"/>
  <c r="W415" i="1" s="1"/>
  <c r="V416" i="1"/>
  <c r="W416" i="1" s="1"/>
  <c r="V417" i="1"/>
  <c r="W417" i="1" s="1"/>
  <c r="V418" i="1"/>
  <c r="W418" i="1" s="1"/>
  <c r="V419" i="1"/>
  <c r="W419" i="1" s="1"/>
  <c r="V420" i="1"/>
  <c r="W420" i="1" s="1"/>
  <c r="V421" i="1"/>
  <c r="W421" i="1" s="1"/>
  <c r="V422" i="1"/>
  <c r="W422" i="1" s="1"/>
  <c r="V423" i="1"/>
  <c r="W423" i="1" s="1"/>
  <c r="V424" i="1"/>
  <c r="W424" i="1" s="1"/>
  <c r="V425" i="1"/>
  <c r="W425" i="1" s="1"/>
  <c r="V426" i="1"/>
  <c r="W426" i="1" s="1"/>
  <c r="V427" i="1"/>
  <c r="W427" i="1" s="1"/>
  <c r="V428" i="1"/>
  <c r="W428" i="1" s="1"/>
  <c r="V429" i="1"/>
  <c r="W429" i="1" s="1"/>
  <c r="V430" i="1"/>
  <c r="W430" i="1" s="1"/>
  <c r="V431" i="1"/>
  <c r="W431" i="1" s="1"/>
  <c r="V432" i="1"/>
  <c r="W432" i="1" s="1"/>
  <c r="V433" i="1"/>
  <c r="W433" i="1" s="1"/>
  <c r="V434" i="1"/>
  <c r="W434" i="1" s="1"/>
  <c r="V435" i="1"/>
  <c r="W435" i="1" s="1"/>
  <c r="V436" i="1"/>
  <c r="W436" i="1" s="1"/>
  <c r="V437" i="1"/>
  <c r="W437" i="1" s="1"/>
  <c r="V438" i="1"/>
  <c r="W438" i="1" s="1"/>
  <c r="V439" i="1"/>
  <c r="W439" i="1" s="1"/>
  <c r="V440" i="1"/>
  <c r="W440" i="1" s="1"/>
  <c r="V441" i="1"/>
  <c r="W441" i="1" s="1"/>
  <c r="V442" i="1"/>
  <c r="W442" i="1" s="1"/>
  <c r="V443" i="1"/>
  <c r="W443" i="1" s="1"/>
  <c r="V444" i="1"/>
  <c r="W444" i="1" s="1"/>
  <c r="V445" i="1"/>
  <c r="W445" i="1" s="1"/>
  <c r="V446" i="1"/>
  <c r="W446" i="1" s="1"/>
  <c r="V447" i="1"/>
  <c r="W447" i="1" s="1"/>
  <c r="V448" i="1"/>
  <c r="W448" i="1" s="1"/>
  <c r="V449" i="1"/>
  <c r="W449" i="1" s="1"/>
  <c r="V450" i="1"/>
  <c r="W450" i="1" s="1"/>
  <c r="V451" i="1"/>
  <c r="W451" i="1" s="1"/>
  <c r="V452" i="1"/>
  <c r="W452" i="1" s="1"/>
  <c r="V453" i="1"/>
  <c r="W453" i="1" s="1"/>
  <c r="V454" i="1"/>
  <c r="W454" i="1" s="1"/>
  <c r="V455" i="1"/>
  <c r="W455" i="1" s="1"/>
  <c r="V456" i="1"/>
  <c r="W456" i="1" s="1"/>
  <c r="V457" i="1"/>
  <c r="W457" i="1" s="1"/>
  <c r="V458" i="1"/>
  <c r="W458" i="1" s="1"/>
  <c r="V459" i="1"/>
  <c r="W459" i="1" s="1"/>
  <c r="V460" i="1"/>
  <c r="W460" i="1" s="1"/>
  <c r="V461" i="1"/>
  <c r="W461" i="1" s="1"/>
  <c r="V462" i="1"/>
  <c r="W462" i="1" s="1"/>
  <c r="V463" i="1"/>
  <c r="W463" i="1" s="1"/>
  <c r="V464" i="1"/>
  <c r="W464" i="1" s="1"/>
  <c r="V465" i="1"/>
  <c r="W465" i="1" s="1"/>
  <c r="V466" i="1"/>
  <c r="W466" i="1" s="1"/>
  <c r="V467" i="1"/>
  <c r="W467" i="1" s="1"/>
  <c r="V468" i="1"/>
  <c r="W468" i="1" s="1"/>
  <c r="V469" i="1"/>
  <c r="W469" i="1" s="1"/>
  <c r="V470" i="1"/>
  <c r="W470" i="1" s="1"/>
  <c r="V471" i="1"/>
  <c r="W471" i="1" s="1"/>
  <c r="V472" i="1"/>
  <c r="W472" i="1" s="1"/>
  <c r="V473" i="1"/>
  <c r="W473" i="1" s="1"/>
  <c r="V474" i="1"/>
  <c r="W474" i="1" s="1"/>
  <c r="V475" i="1"/>
  <c r="W475" i="1" s="1"/>
  <c r="V476" i="1"/>
  <c r="W476" i="1" s="1"/>
  <c r="V477" i="1"/>
  <c r="W477" i="1" s="1"/>
  <c r="V478" i="1"/>
  <c r="W478" i="1" s="1"/>
  <c r="V479" i="1"/>
  <c r="W479" i="1" s="1"/>
  <c r="V480" i="1"/>
  <c r="W480" i="1" s="1"/>
  <c r="V481" i="1"/>
  <c r="W481" i="1" s="1"/>
  <c r="V482" i="1"/>
  <c r="W482" i="1" s="1"/>
  <c r="V483" i="1"/>
  <c r="W483" i="1" s="1"/>
  <c r="V484" i="1"/>
  <c r="W484" i="1" s="1"/>
  <c r="V485" i="1"/>
  <c r="W485" i="1" s="1"/>
  <c r="V486" i="1"/>
  <c r="W486" i="1" s="1"/>
  <c r="V487" i="1"/>
  <c r="W487" i="1" s="1"/>
  <c r="V488" i="1"/>
  <c r="W488" i="1" s="1"/>
  <c r="V489" i="1"/>
  <c r="W489" i="1" s="1"/>
  <c r="V490" i="1"/>
  <c r="W490" i="1" s="1"/>
  <c r="V491" i="1"/>
  <c r="W491" i="1" s="1"/>
  <c r="V492" i="1"/>
  <c r="W492" i="1" s="1"/>
  <c r="V493" i="1"/>
  <c r="W493" i="1" s="1"/>
  <c r="V494" i="1"/>
  <c r="W494" i="1" s="1"/>
  <c r="V495" i="1"/>
  <c r="W495" i="1" s="1"/>
  <c r="V496" i="1"/>
  <c r="W496" i="1" s="1"/>
  <c r="V497" i="1"/>
  <c r="W497" i="1" s="1"/>
  <c r="V498" i="1"/>
  <c r="W498" i="1" s="1"/>
  <c r="V499" i="1"/>
  <c r="W499" i="1" s="1"/>
  <c r="V500" i="1"/>
  <c r="W500" i="1" s="1"/>
  <c r="V501" i="1"/>
  <c r="W501" i="1" s="1"/>
  <c r="V502" i="1"/>
  <c r="W502" i="1" s="1"/>
  <c r="V503" i="1"/>
  <c r="W503" i="1" s="1"/>
  <c r="V504" i="1"/>
  <c r="W504" i="1" s="1"/>
  <c r="V505" i="1"/>
  <c r="W505" i="1" s="1"/>
  <c r="V506" i="1"/>
  <c r="W506" i="1" s="1"/>
  <c r="V507" i="1"/>
  <c r="W507" i="1" s="1"/>
  <c r="V508" i="1"/>
  <c r="W508" i="1" s="1"/>
  <c r="V509" i="1"/>
  <c r="W509" i="1" s="1"/>
  <c r="V510" i="1"/>
  <c r="W510" i="1" s="1"/>
  <c r="V511" i="1"/>
  <c r="W511" i="1" s="1"/>
  <c r="V512" i="1"/>
  <c r="W512" i="1" s="1"/>
  <c r="V513" i="1"/>
  <c r="W513" i="1" s="1"/>
  <c r="V514" i="1"/>
  <c r="W514" i="1" s="1"/>
  <c r="V515" i="1"/>
  <c r="W515" i="1" s="1"/>
  <c r="V516" i="1"/>
  <c r="W516" i="1" s="1"/>
  <c r="V517" i="1"/>
  <c r="W517" i="1" s="1"/>
  <c r="V518" i="1"/>
  <c r="W518" i="1" s="1"/>
  <c r="V519" i="1"/>
  <c r="W519" i="1" s="1"/>
  <c r="V520" i="1"/>
  <c r="W520" i="1" s="1"/>
  <c r="V521" i="1"/>
  <c r="W521" i="1" s="1"/>
  <c r="V522" i="1"/>
  <c r="W522" i="1" s="1"/>
  <c r="V523" i="1"/>
  <c r="W523" i="1" s="1"/>
  <c r="V524" i="1"/>
  <c r="W524" i="1" s="1"/>
  <c r="V525" i="1"/>
  <c r="W525" i="1" s="1"/>
  <c r="V526" i="1"/>
  <c r="W526" i="1" s="1"/>
  <c r="V527" i="1"/>
  <c r="W527" i="1" s="1"/>
  <c r="V528" i="1"/>
  <c r="W528" i="1" s="1"/>
  <c r="V529" i="1"/>
  <c r="W529" i="1" s="1"/>
  <c r="V530" i="1"/>
  <c r="W530" i="1" s="1"/>
  <c r="V531" i="1"/>
  <c r="W531" i="1" s="1"/>
  <c r="V532" i="1"/>
  <c r="W532" i="1" s="1"/>
  <c r="V533" i="1"/>
  <c r="W533" i="1" s="1"/>
  <c r="V534" i="1"/>
  <c r="W534" i="1" s="1"/>
  <c r="V535" i="1"/>
  <c r="W535" i="1" s="1"/>
  <c r="V536" i="1"/>
  <c r="W536" i="1" s="1"/>
  <c r="V537" i="1"/>
  <c r="W537" i="1" s="1"/>
  <c r="V538" i="1"/>
  <c r="W538" i="1" s="1"/>
  <c r="V539" i="1"/>
  <c r="W539" i="1" s="1"/>
  <c r="V540" i="1"/>
  <c r="W540" i="1" s="1"/>
  <c r="V541" i="1"/>
  <c r="W541" i="1" s="1"/>
  <c r="V542" i="1"/>
  <c r="W542" i="1" s="1"/>
  <c r="V543" i="1"/>
  <c r="W543" i="1" s="1"/>
  <c r="V544" i="1"/>
  <c r="W544" i="1" s="1"/>
  <c r="V545" i="1"/>
  <c r="W545" i="1" s="1"/>
  <c r="V546" i="1"/>
  <c r="W546" i="1" s="1"/>
  <c r="V547" i="1"/>
  <c r="W547" i="1" s="1"/>
  <c r="V548" i="1"/>
  <c r="W548" i="1" s="1"/>
  <c r="V549" i="1"/>
  <c r="W549" i="1" s="1"/>
  <c r="V550" i="1"/>
  <c r="W550" i="1" s="1"/>
  <c r="V551" i="1"/>
  <c r="W551" i="1" s="1"/>
  <c r="V552" i="1"/>
  <c r="W552" i="1" s="1"/>
  <c r="V553" i="1"/>
  <c r="W553" i="1" s="1"/>
  <c r="V554" i="1"/>
  <c r="W554" i="1" s="1"/>
  <c r="V555" i="1"/>
  <c r="W555" i="1" s="1"/>
  <c r="V556" i="1"/>
  <c r="W556" i="1" s="1"/>
  <c r="V557" i="1"/>
  <c r="W557" i="1" s="1"/>
  <c r="V558" i="1"/>
  <c r="W558" i="1" s="1"/>
  <c r="V559" i="1"/>
  <c r="W559" i="1" s="1"/>
  <c r="V560" i="1"/>
  <c r="W560" i="1" s="1"/>
  <c r="V561" i="1"/>
  <c r="W561" i="1" s="1"/>
  <c r="V562" i="1"/>
  <c r="W562" i="1" s="1"/>
  <c r="V563" i="1"/>
  <c r="W563" i="1" s="1"/>
  <c r="V564" i="1"/>
  <c r="W564" i="1" s="1"/>
  <c r="V565" i="1"/>
  <c r="W565" i="1" s="1"/>
  <c r="V566" i="1"/>
  <c r="W566" i="1" s="1"/>
  <c r="V567" i="1"/>
  <c r="W567" i="1" s="1"/>
  <c r="V568" i="1"/>
  <c r="W568" i="1" s="1"/>
  <c r="V569" i="1"/>
  <c r="W569" i="1" s="1"/>
  <c r="V570" i="1"/>
  <c r="W570" i="1" s="1"/>
  <c r="V571" i="1"/>
  <c r="W571" i="1" s="1"/>
  <c r="V572" i="1"/>
  <c r="W572" i="1" s="1"/>
  <c r="V573" i="1"/>
  <c r="W573" i="1" s="1"/>
  <c r="V574" i="1"/>
  <c r="W574" i="1" s="1"/>
  <c r="V575" i="1"/>
  <c r="W575" i="1" s="1"/>
  <c r="V576" i="1"/>
  <c r="W576" i="1" s="1"/>
  <c r="V577" i="1"/>
  <c r="W577" i="1" s="1"/>
  <c r="V578" i="1"/>
  <c r="W578" i="1" s="1"/>
  <c r="V579" i="1"/>
  <c r="W579" i="1" s="1"/>
  <c r="V580" i="1"/>
  <c r="W580" i="1" s="1"/>
  <c r="V581" i="1"/>
  <c r="W581" i="1" s="1"/>
  <c r="V582" i="1"/>
  <c r="W582" i="1" s="1"/>
  <c r="V583" i="1"/>
  <c r="W583" i="1" s="1"/>
  <c r="V584" i="1"/>
  <c r="W584" i="1" s="1"/>
  <c r="V585" i="1"/>
  <c r="W585" i="1" s="1"/>
  <c r="V586" i="1"/>
  <c r="W586" i="1" s="1"/>
  <c r="V587" i="1"/>
  <c r="W587" i="1" s="1"/>
  <c r="V588" i="1"/>
  <c r="W588" i="1" s="1"/>
  <c r="V589" i="1"/>
  <c r="W589" i="1" s="1"/>
  <c r="V590" i="1"/>
  <c r="W590" i="1" s="1"/>
  <c r="V591" i="1"/>
  <c r="W591" i="1" s="1"/>
  <c r="V592" i="1"/>
  <c r="W592" i="1" s="1"/>
  <c r="V593" i="1"/>
  <c r="W593" i="1" s="1"/>
  <c r="V594" i="1"/>
  <c r="W594" i="1" s="1"/>
  <c r="V595" i="1"/>
  <c r="W595" i="1" s="1"/>
  <c r="V596" i="1"/>
  <c r="W596" i="1" s="1"/>
  <c r="V597" i="1"/>
  <c r="W597" i="1" s="1"/>
  <c r="V598" i="1"/>
  <c r="W598" i="1" s="1"/>
  <c r="V599" i="1"/>
  <c r="W599" i="1" s="1"/>
  <c r="V600" i="1"/>
  <c r="W600" i="1" s="1"/>
  <c r="V601" i="1"/>
  <c r="W601" i="1" s="1"/>
  <c r="V602" i="1"/>
  <c r="W602" i="1" s="1"/>
  <c r="V603" i="1"/>
  <c r="W603" i="1" s="1"/>
  <c r="V604" i="1"/>
  <c r="W604" i="1" s="1"/>
  <c r="V605" i="1"/>
  <c r="W605" i="1" s="1"/>
  <c r="V606" i="1"/>
  <c r="W606" i="1" s="1"/>
  <c r="V607" i="1"/>
  <c r="W607" i="1" s="1"/>
  <c r="V608" i="1"/>
  <c r="W608" i="1" s="1"/>
  <c r="V609" i="1"/>
  <c r="W609" i="1" s="1"/>
  <c r="V610" i="1"/>
  <c r="W610" i="1" s="1"/>
  <c r="V611" i="1"/>
  <c r="W611" i="1" s="1"/>
  <c r="V612" i="1"/>
  <c r="W612" i="1" s="1"/>
  <c r="V613" i="1"/>
  <c r="W613" i="1" s="1"/>
  <c r="V614" i="1"/>
  <c r="W614" i="1" s="1"/>
  <c r="V615" i="1"/>
  <c r="W615" i="1" s="1"/>
  <c r="V616" i="1"/>
  <c r="W616" i="1" s="1"/>
  <c r="V617" i="1"/>
  <c r="W617" i="1" s="1"/>
  <c r="V618" i="1"/>
  <c r="W618" i="1" s="1"/>
  <c r="V619" i="1"/>
  <c r="W619" i="1" s="1"/>
  <c r="V620" i="1"/>
  <c r="W620" i="1" s="1"/>
  <c r="V621" i="1"/>
  <c r="W621" i="1" s="1"/>
  <c r="V622" i="1"/>
  <c r="W622" i="1" s="1"/>
  <c r="V623" i="1"/>
  <c r="W623" i="1" s="1"/>
  <c r="V624" i="1"/>
  <c r="W624" i="1" s="1"/>
  <c r="V625" i="1"/>
  <c r="W625" i="1" s="1"/>
  <c r="V626" i="1"/>
  <c r="W626" i="1" s="1"/>
  <c r="V627" i="1"/>
  <c r="W627" i="1" s="1"/>
  <c r="V628" i="1"/>
  <c r="W628" i="1" s="1"/>
  <c r="V629" i="1"/>
  <c r="W629" i="1" s="1"/>
  <c r="V630" i="1"/>
  <c r="W630" i="1" s="1"/>
  <c r="V631" i="1"/>
  <c r="W631" i="1" s="1"/>
  <c r="V632" i="1"/>
  <c r="W632" i="1" s="1"/>
  <c r="V633" i="1"/>
  <c r="W633" i="1" s="1"/>
  <c r="V634" i="1"/>
  <c r="W634" i="1" s="1"/>
  <c r="V635" i="1"/>
  <c r="W635" i="1" s="1"/>
  <c r="V636" i="1"/>
  <c r="W636" i="1" s="1"/>
  <c r="V637" i="1"/>
  <c r="W637" i="1" s="1"/>
  <c r="V638" i="1"/>
  <c r="W638" i="1" s="1"/>
  <c r="V639" i="1"/>
  <c r="W639" i="1" s="1"/>
  <c r="V640" i="1"/>
  <c r="W640" i="1" s="1"/>
  <c r="V641" i="1"/>
  <c r="W641" i="1" s="1"/>
  <c r="V642" i="1"/>
  <c r="W642" i="1" s="1"/>
  <c r="V643" i="1"/>
  <c r="W643" i="1" s="1"/>
  <c r="V644" i="1"/>
  <c r="W644" i="1" s="1"/>
  <c r="V645" i="1"/>
  <c r="W645" i="1" s="1"/>
  <c r="V646" i="1"/>
  <c r="W646" i="1" s="1"/>
  <c r="V647" i="1"/>
  <c r="W647" i="1" s="1"/>
  <c r="V648" i="1"/>
  <c r="W648" i="1" s="1"/>
  <c r="V649" i="1"/>
  <c r="W649" i="1" s="1"/>
  <c r="V650" i="1"/>
  <c r="W650" i="1" s="1"/>
  <c r="V651" i="1"/>
  <c r="W651" i="1" s="1"/>
  <c r="V652" i="1"/>
  <c r="W652" i="1" s="1"/>
  <c r="V653" i="1"/>
  <c r="W653" i="1" s="1"/>
  <c r="V654" i="1"/>
  <c r="W654" i="1" s="1"/>
  <c r="V655" i="1"/>
  <c r="W655" i="1" s="1"/>
  <c r="V656" i="1"/>
  <c r="W656" i="1" s="1"/>
  <c r="V657" i="1"/>
  <c r="W657" i="1" s="1"/>
  <c r="V658" i="1"/>
  <c r="W658" i="1" s="1"/>
  <c r="V659" i="1"/>
  <c r="W659" i="1" s="1"/>
  <c r="V660" i="1"/>
  <c r="W660" i="1" s="1"/>
  <c r="V661" i="1"/>
  <c r="W661" i="1" s="1"/>
  <c r="V662" i="1"/>
  <c r="W662" i="1" s="1"/>
  <c r="V663" i="1"/>
  <c r="W663" i="1" s="1"/>
  <c r="V664" i="1"/>
  <c r="W664" i="1" s="1"/>
  <c r="V665" i="1"/>
  <c r="W665" i="1" s="1"/>
  <c r="V666" i="1"/>
  <c r="W666" i="1" s="1"/>
  <c r="V667" i="1"/>
  <c r="W667" i="1" s="1"/>
  <c r="V668" i="1"/>
  <c r="W668" i="1" s="1"/>
  <c r="V669" i="1"/>
  <c r="W669" i="1" s="1"/>
  <c r="V670" i="1"/>
  <c r="W670" i="1" s="1"/>
  <c r="V671" i="1"/>
  <c r="W671" i="1" s="1"/>
  <c r="V672" i="1"/>
  <c r="W672" i="1" s="1"/>
  <c r="V673" i="1"/>
  <c r="W673" i="1" s="1"/>
  <c r="V674" i="1"/>
  <c r="W674" i="1" s="1"/>
  <c r="V675" i="1"/>
  <c r="W675" i="1" s="1"/>
  <c r="V676" i="1"/>
  <c r="W676" i="1" s="1"/>
  <c r="V677" i="1"/>
  <c r="W677" i="1" s="1"/>
  <c r="V678" i="1"/>
  <c r="W678" i="1" s="1"/>
  <c r="V679" i="1"/>
  <c r="W679" i="1" s="1"/>
  <c r="V680" i="1"/>
  <c r="W680" i="1" s="1"/>
  <c r="V681" i="1"/>
  <c r="W681" i="1" s="1"/>
  <c r="V682" i="1"/>
  <c r="W682" i="1" s="1"/>
  <c r="V683" i="1"/>
  <c r="W683" i="1" s="1"/>
  <c r="V684" i="1"/>
  <c r="W684" i="1" s="1"/>
  <c r="V685" i="1"/>
  <c r="W685" i="1" s="1"/>
  <c r="V686" i="1"/>
  <c r="W686" i="1" s="1"/>
  <c r="V687" i="1"/>
  <c r="W687" i="1" s="1"/>
  <c r="V688" i="1"/>
  <c r="W688" i="1" s="1"/>
  <c r="V689" i="1"/>
  <c r="W689" i="1" s="1"/>
  <c r="V690" i="1"/>
  <c r="W690" i="1" s="1"/>
  <c r="V691" i="1"/>
  <c r="W691" i="1" s="1"/>
  <c r="V692" i="1"/>
  <c r="W692" i="1" s="1"/>
  <c r="V693" i="1"/>
  <c r="W693" i="1" s="1"/>
  <c r="V694" i="1"/>
  <c r="W694" i="1" s="1"/>
  <c r="V695" i="1"/>
  <c r="W695" i="1" s="1"/>
  <c r="V696" i="1"/>
  <c r="W696" i="1" s="1"/>
  <c r="V697" i="1"/>
  <c r="W697" i="1" s="1"/>
  <c r="V698" i="1"/>
  <c r="W698" i="1" s="1"/>
  <c r="V699" i="1"/>
  <c r="W699" i="1" s="1"/>
  <c r="V700" i="1"/>
  <c r="W700" i="1" s="1"/>
  <c r="V701" i="1"/>
  <c r="W701" i="1" s="1"/>
  <c r="V702" i="1"/>
  <c r="W702" i="1" s="1"/>
  <c r="V2" i="1"/>
  <c r="W2" i="1" s="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2" i="1"/>
  <c r="J10" i="1"/>
  <c r="J3" i="1"/>
  <c r="J4" i="1"/>
  <c r="J5" i="1"/>
  <c r="J8" i="1"/>
  <c r="J11" i="1"/>
  <c r="J13" i="1"/>
  <c r="J15" i="1"/>
  <c r="J17" i="1"/>
  <c r="J12" i="1"/>
  <c r="J21" i="1"/>
  <c r="J23" i="1"/>
  <c r="J25" i="1"/>
  <c r="J26" i="1"/>
  <c r="J27" i="1"/>
  <c r="J28" i="1"/>
  <c r="J6" i="1"/>
  <c r="J7" i="1"/>
  <c r="J9" i="1"/>
  <c r="J19" i="1"/>
  <c r="J14" i="1"/>
  <c r="J16" i="1"/>
  <c r="J18" i="1"/>
  <c r="J20" i="1"/>
  <c r="J22" i="1"/>
  <c r="J24" i="1"/>
  <c r="J2"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I2" i="1"/>
  <c r="I10" i="1"/>
  <c r="I3" i="1"/>
  <c r="I4" i="1"/>
  <c r="I5" i="1"/>
  <c r="I8" i="1"/>
  <c r="I11" i="1"/>
  <c r="I13" i="1"/>
  <c r="I15" i="1"/>
  <c r="I17" i="1"/>
  <c r="I12" i="1"/>
  <c r="I21" i="1"/>
  <c r="I23" i="1"/>
  <c r="I25" i="1"/>
  <c r="I26" i="1"/>
  <c r="I27" i="1"/>
  <c r="I28" i="1"/>
  <c r="I6" i="1"/>
  <c r="I7" i="1"/>
  <c r="I9" i="1"/>
  <c r="I19" i="1"/>
  <c r="I14" i="1"/>
  <c r="I16" i="1"/>
  <c r="I18" i="1"/>
  <c r="I20" i="1"/>
  <c r="I22" i="1"/>
  <c r="I24"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AR10" i="1"/>
  <c r="AR3" i="1"/>
  <c r="AR4" i="1"/>
  <c r="AR5" i="1"/>
  <c r="AR8" i="1"/>
  <c r="AR11" i="1"/>
  <c r="AR13" i="1"/>
  <c r="AR15" i="1"/>
  <c r="AR17" i="1"/>
  <c r="AR12" i="1"/>
  <c r="AR21" i="1"/>
  <c r="AR23" i="1"/>
  <c r="AR25" i="1"/>
  <c r="AR26" i="1"/>
  <c r="AR27" i="1"/>
  <c r="AR28" i="1"/>
  <c r="AR6" i="1"/>
  <c r="AR7" i="1"/>
  <c r="AR9" i="1"/>
  <c r="AR19" i="1"/>
  <c r="AR14" i="1"/>
  <c r="AR16" i="1"/>
  <c r="AR18" i="1"/>
  <c r="AR20" i="1"/>
  <c r="AR22" i="1"/>
  <c r="AR24" i="1"/>
  <c r="AR29" i="1"/>
  <c r="AR30" i="1"/>
  <c r="AR31" i="1"/>
  <c r="AR32" i="1"/>
  <c r="AR33" i="1"/>
  <c r="AR34" i="1"/>
  <c r="AR35" i="1"/>
  <c r="AR36" i="1"/>
  <c r="AR37" i="1"/>
  <c r="AO10" i="1"/>
  <c r="AO3" i="1"/>
  <c r="AO4" i="1"/>
  <c r="AO5" i="1"/>
  <c r="AO8" i="1"/>
  <c r="AO11" i="1"/>
  <c r="AO13" i="1"/>
  <c r="AO15" i="1"/>
  <c r="AO17" i="1"/>
  <c r="AO12" i="1"/>
  <c r="AO21" i="1"/>
  <c r="AO23" i="1"/>
  <c r="AO25" i="1"/>
  <c r="AO26" i="1"/>
  <c r="AO27" i="1"/>
  <c r="AO28" i="1"/>
  <c r="AO6" i="1"/>
  <c r="AO7" i="1"/>
  <c r="AO9" i="1"/>
  <c r="AO19" i="1"/>
  <c r="AO14" i="1"/>
  <c r="AO16" i="1"/>
  <c r="AO18" i="1"/>
  <c r="AO20" i="1"/>
  <c r="AO22" i="1"/>
  <c r="AO24" i="1"/>
  <c r="AO29" i="1"/>
  <c r="AO30" i="1"/>
  <c r="AO31" i="1"/>
  <c r="AO32" i="1"/>
  <c r="AO33" i="1"/>
  <c r="AO34" i="1"/>
  <c r="AO35" i="1"/>
  <c r="AO36" i="1"/>
  <c r="AO37" i="1"/>
  <c r="AO38" i="1"/>
  <c r="AO39" i="1"/>
  <c r="AO40" i="1"/>
  <c r="AO41" i="1"/>
  <c r="AO42" i="1"/>
  <c r="AO43" i="1"/>
  <c r="AO44" i="1"/>
  <c r="AO45" i="1"/>
  <c r="AO46" i="1"/>
  <c r="AO47" i="1"/>
  <c r="AO48" i="1"/>
  <c r="AO49" i="1"/>
  <c r="AO50" i="1"/>
  <c r="AO51" i="1"/>
  <c r="AO52" i="1"/>
  <c r="AO53" i="1"/>
  <c r="AO54" i="1"/>
  <c r="AO55" i="1"/>
  <c r="AO56" i="1"/>
  <c r="AO57" i="1"/>
  <c r="AO58" i="1"/>
  <c r="AO59" i="1"/>
  <c r="AO60" i="1"/>
  <c r="AO61" i="1"/>
  <c r="AO62" i="1"/>
  <c r="AO63" i="1"/>
  <c r="AO64" i="1"/>
  <c r="AO65" i="1"/>
  <c r="AO66" i="1"/>
  <c r="AO67" i="1"/>
  <c r="AO68" i="1"/>
  <c r="AO69" i="1"/>
  <c r="AO70" i="1"/>
  <c r="AO71" i="1"/>
  <c r="AO72" i="1"/>
  <c r="AO73" i="1"/>
  <c r="AO74" i="1"/>
  <c r="AO75" i="1"/>
  <c r="AO76" i="1"/>
  <c r="AO77" i="1"/>
  <c r="AO78" i="1"/>
  <c r="AO79" i="1"/>
  <c r="AO80" i="1"/>
  <c r="AO81" i="1"/>
  <c r="AO82" i="1"/>
  <c r="AO83" i="1"/>
  <c r="AO84" i="1"/>
  <c r="AO85" i="1"/>
  <c r="AO86" i="1"/>
  <c r="AO87" i="1"/>
  <c r="AO88" i="1"/>
  <c r="AO89" i="1"/>
  <c r="AO90" i="1"/>
  <c r="AO91" i="1"/>
  <c r="AO92" i="1"/>
  <c r="AO93" i="1"/>
  <c r="AO94" i="1"/>
  <c r="AO95" i="1"/>
  <c r="AO96" i="1"/>
  <c r="AO97" i="1"/>
  <c r="AO98" i="1"/>
  <c r="AO99" i="1"/>
  <c r="AO100" i="1"/>
  <c r="AO101" i="1"/>
  <c r="AO102" i="1"/>
  <c r="AO103"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501" i="1"/>
  <c r="AO502" i="1"/>
  <c r="AO503" i="1"/>
  <c r="AO504" i="1"/>
  <c r="AO505" i="1"/>
  <c r="AO506" i="1"/>
  <c r="AO507" i="1"/>
  <c r="AO508" i="1"/>
  <c r="AO509" i="1"/>
  <c r="AO510" i="1"/>
  <c r="AO511" i="1"/>
  <c r="AO512" i="1"/>
  <c r="AO513" i="1"/>
  <c r="AO514" i="1"/>
  <c r="AO515" i="1"/>
  <c r="AO516" i="1"/>
  <c r="AO517" i="1"/>
  <c r="AO518" i="1"/>
  <c r="AO519" i="1"/>
  <c r="AO520" i="1"/>
  <c r="AO521" i="1"/>
  <c r="AO522" i="1"/>
  <c r="AO523" i="1"/>
  <c r="AO524" i="1"/>
  <c r="AO525" i="1"/>
  <c r="AO526" i="1"/>
  <c r="AO527" i="1"/>
  <c r="AO528" i="1"/>
  <c r="AO529" i="1"/>
  <c r="AO530" i="1"/>
  <c r="AO531" i="1"/>
  <c r="AO532" i="1"/>
  <c r="AO533" i="1"/>
  <c r="AO534" i="1"/>
  <c r="AO535" i="1"/>
  <c r="AO536" i="1"/>
  <c r="AO537" i="1"/>
  <c r="AO538" i="1"/>
  <c r="AO539" i="1"/>
  <c r="AO540" i="1"/>
  <c r="AO541" i="1"/>
  <c r="AO542" i="1"/>
  <c r="AO543" i="1"/>
  <c r="AO544" i="1"/>
  <c r="AO545" i="1"/>
  <c r="AO546" i="1"/>
  <c r="AO547" i="1"/>
  <c r="AO548" i="1"/>
  <c r="AO549" i="1"/>
  <c r="AO550" i="1"/>
  <c r="AO551" i="1"/>
  <c r="AO552" i="1"/>
  <c r="AO553" i="1"/>
  <c r="AO554" i="1"/>
  <c r="AO555" i="1"/>
  <c r="AO556" i="1"/>
  <c r="AO557" i="1"/>
  <c r="AO558" i="1"/>
  <c r="AO559" i="1"/>
  <c r="AO560" i="1"/>
  <c r="AO561" i="1"/>
  <c r="AO562" i="1"/>
  <c r="AO563" i="1"/>
  <c r="AO564" i="1"/>
  <c r="AO565" i="1"/>
  <c r="AO566" i="1"/>
  <c r="AO567" i="1"/>
  <c r="AO568" i="1"/>
  <c r="AO569" i="1"/>
  <c r="AO570" i="1"/>
  <c r="AO571" i="1"/>
  <c r="AO572" i="1"/>
  <c r="AO573" i="1"/>
  <c r="AO574" i="1"/>
  <c r="AO575" i="1"/>
  <c r="AO576" i="1"/>
  <c r="AO577" i="1"/>
  <c r="AO578" i="1"/>
  <c r="AO579" i="1"/>
  <c r="AO580" i="1"/>
  <c r="AO581" i="1"/>
  <c r="AO582" i="1"/>
  <c r="AO583" i="1"/>
  <c r="AO584" i="1"/>
  <c r="AO585" i="1"/>
  <c r="AO586" i="1"/>
  <c r="AO587" i="1"/>
  <c r="AO588" i="1"/>
  <c r="AO589" i="1"/>
  <c r="AO590" i="1"/>
  <c r="AO591" i="1"/>
  <c r="AO592" i="1"/>
  <c r="AO593" i="1"/>
  <c r="AO594" i="1"/>
  <c r="AO595" i="1"/>
  <c r="AO596" i="1"/>
  <c r="AO597" i="1"/>
  <c r="AO598" i="1"/>
  <c r="AO599" i="1"/>
  <c r="AO600" i="1"/>
  <c r="AO601" i="1"/>
  <c r="AO602" i="1"/>
  <c r="AO603" i="1"/>
  <c r="AO604" i="1"/>
  <c r="AO605" i="1"/>
  <c r="AO606" i="1"/>
  <c r="AO607" i="1"/>
  <c r="AO608" i="1"/>
  <c r="AO609" i="1"/>
  <c r="AO610" i="1"/>
  <c r="AO611" i="1"/>
  <c r="AO612" i="1"/>
  <c r="AO613" i="1"/>
  <c r="AO614" i="1"/>
  <c r="AO615" i="1"/>
  <c r="AO616" i="1"/>
  <c r="AO617" i="1"/>
  <c r="AO618" i="1"/>
  <c r="AO619" i="1"/>
  <c r="AO620" i="1"/>
  <c r="AO621" i="1"/>
  <c r="AO622" i="1"/>
  <c r="AO623" i="1"/>
  <c r="AO624" i="1"/>
  <c r="AO625" i="1"/>
  <c r="AO626" i="1"/>
  <c r="AO627" i="1"/>
  <c r="AO628" i="1"/>
  <c r="AO629" i="1"/>
  <c r="AO630" i="1"/>
  <c r="AO631" i="1"/>
  <c r="AO632" i="1"/>
  <c r="AO633" i="1"/>
  <c r="AO634" i="1"/>
  <c r="AO635" i="1"/>
  <c r="AO636" i="1"/>
  <c r="AO637" i="1"/>
  <c r="AO638" i="1"/>
  <c r="AO639" i="1"/>
  <c r="AO640" i="1"/>
  <c r="AO641" i="1"/>
  <c r="AO642" i="1"/>
  <c r="AO643" i="1"/>
  <c r="AO644" i="1"/>
  <c r="AO645" i="1"/>
  <c r="AO646" i="1"/>
  <c r="AO647" i="1"/>
  <c r="AO648" i="1"/>
  <c r="AO649" i="1"/>
  <c r="AO650" i="1"/>
  <c r="AO651" i="1"/>
  <c r="AO652" i="1"/>
  <c r="AO653" i="1"/>
  <c r="AO654" i="1"/>
  <c r="AO655" i="1"/>
  <c r="AO656" i="1"/>
  <c r="AO657" i="1"/>
  <c r="AO658" i="1"/>
  <c r="AO659" i="1"/>
  <c r="AO660" i="1"/>
  <c r="AO661" i="1"/>
  <c r="AO662" i="1"/>
  <c r="AO663" i="1"/>
  <c r="AO664" i="1"/>
  <c r="AO665" i="1"/>
  <c r="AO666" i="1"/>
  <c r="AO667" i="1"/>
  <c r="AO668" i="1"/>
  <c r="AO669" i="1"/>
  <c r="AO670" i="1"/>
  <c r="AO671" i="1"/>
  <c r="AO672" i="1"/>
  <c r="AO673" i="1"/>
  <c r="AO674" i="1"/>
  <c r="AO675" i="1"/>
  <c r="AO676" i="1"/>
  <c r="AO677" i="1"/>
  <c r="AO678" i="1"/>
  <c r="AO679" i="1"/>
  <c r="AO680" i="1"/>
  <c r="AO681" i="1"/>
  <c r="AO682" i="1"/>
  <c r="AO683" i="1"/>
  <c r="AO684" i="1"/>
  <c r="AO685" i="1"/>
  <c r="AO686" i="1"/>
  <c r="AO687" i="1"/>
  <c r="AO688" i="1"/>
  <c r="AO689" i="1"/>
  <c r="AO690" i="1"/>
  <c r="AO691" i="1"/>
  <c r="AO692" i="1"/>
  <c r="AO693" i="1"/>
  <c r="AO694" i="1"/>
  <c r="AO695" i="1"/>
  <c r="AO696" i="1"/>
  <c r="AO697" i="1"/>
  <c r="AO698" i="1"/>
  <c r="AO699" i="1"/>
  <c r="AO700" i="1"/>
  <c r="AO701" i="1"/>
  <c r="AO702" i="1"/>
  <c r="AN10" i="1"/>
  <c r="AN3" i="1"/>
  <c r="AN4" i="1"/>
  <c r="AN5" i="1"/>
  <c r="AN8" i="1"/>
  <c r="AN11" i="1"/>
  <c r="AN13" i="1"/>
  <c r="AN15" i="1"/>
  <c r="AN17" i="1"/>
  <c r="AN12" i="1"/>
  <c r="AN21" i="1"/>
  <c r="AN23" i="1"/>
  <c r="AN25" i="1"/>
  <c r="AN26" i="1"/>
  <c r="AN27" i="1"/>
  <c r="AN28" i="1"/>
  <c r="AN6" i="1"/>
  <c r="AN7" i="1"/>
  <c r="AN9" i="1"/>
  <c r="AN19" i="1"/>
  <c r="AN14" i="1"/>
  <c r="AN16" i="1"/>
  <c r="AN18" i="1"/>
  <c r="AN20" i="1"/>
  <c r="AN22" i="1"/>
  <c r="AN24" i="1"/>
  <c r="AN29" i="1"/>
  <c r="AN30" i="1"/>
  <c r="AN31" i="1"/>
  <c r="AN32" i="1"/>
  <c r="AN33" i="1"/>
  <c r="AN34" i="1"/>
  <c r="AN35" i="1"/>
  <c r="AN36" i="1"/>
  <c r="AN37" i="1"/>
  <c r="AN38" i="1"/>
  <c r="AN39" i="1"/>
  <c r="AN40" i="1"/>
  <c r="AN41" i="1"/>
  <c r="AN42" i="1"/>
  <c r="AN43" i="1"/>
  <c r="AN44" i="1"/>
  <c r="AN45" i="1"/>
  <c r="AN46" i="1"/>
  <c r="AN47" i="1"/>
  <c r="AN48" i="1"/>
  <c r="AN49" i="1"/>
  <c r="AN50" i="1"/>
  <c r="AN51" i="1"/>
  <c r="AN52" i="1"/>
  <c r="AN53" i="1"/>
  <c r="AN54" i="1"/>
  <c r="AN55" i="1"/>
  <c r="AN56" i="1"/>
  <c r="AN57" i="1"/>
  <c r="AN58" i="1"/>
  <c r="AN59" i="1"/>
  <c r="AN60" i="1"/>
  <c r="AN61" i="1"/>
  <c r="AN62" i="1"/>
  <c r="AN63" i="1"/>
  <c r="AN64" i="1"/>
  <c r="AN65" i="1"/>
  <c r="AN66" i="1"/>
  <c r="AN67" i="1"/>
  <c r="AN68" i="1"/>
  <c r="AN69" i="1"/>
  <c r="AN70" i="1"/>
  <c r="AN71" i="1"/>
  <c r="AN72" i="1"/>
  <c r="AN73" i="1"/>
  <c r="AN74" i="1"/>
  <c r="AN75" i="1"/>
  <c r="AN76" i="1"/>
  <c r="AN77" i="1"/>
  <c r="AN78" i="1"/>
  <c r="AN79" i="1"/>
  <c r="AN80" i="1"/>
  <c r="AN81" i="1"/>
  <c r="AN82" i="1"/>
  <c r="AN83" i="1"/>
  <c r="AN84" i="1"/>
  <c r="AN85" i="1"/>
  <c r="AN86" i="1"/>
  <c r="AN87" i="1"/>
  <c r="AN88" i="1"/>
  <c r="AN89" i="1"/>
  <c r="AN90" i="1"/>
  <c r="AN91" i="1"/>
  <c r="AN92" i="1"/>
  <c r="AN93" i="1"/>
  <c r="AN94" i="1"/>
  <c r="AN95" i="1"/>
  <c r="AN96" i="1"/>
  <c r="AN97" i="1"/>
  <c r="AN98" i="1"/>
  <c r="AN99" i="1"/>
  <c r="AN100" i="1"/>
  <c r="AN101" i="1"/>
  <c r="AN102" i="1"/>
  <c r="AN103" i="1"/>
  <c r="AN104" i="1"/>
  <c r="AN105" i="1"/>
  <c r="AN106" i="1"/>
  <c r="AN107" i="1"/>
  <c r="AN108" i="1"/>
  <c r="AN109" i="1"/>
  <c r="AN110" i="1"/>
  <c r="AN111" i="1"/>
  <c r="AN112" i="1"/>
  <c r="AN113" i="1"/>
  <c r="AN114" i="1"/>
  <c r="AN115" i="1"/>
  <c r="AN116" i="1"/>
  <c r="AN117" i="1"/>
  <c r="AN118" i="1"/>
  <c r="AN119" i="1"/>
  <c r="AN120" i="1"/>
  <c r="AN121" i="1"/>
  <c r="AN122" i="1"/>
  <c r="AN123" i="1"/>
  <c r="AN124" i="1"/>
  <c r="AN125" i="1"/>
  <c r="AN126" i="1"/>
  <c r="AN127" i="1"/>
  <c r="AN128" i="1"/>
  <c r="AN129" i="1"/>
  <c r="AN130" i="1"/>
  <c r="AN131" i="1"/>
  <c r="AN132" i="1"/>
  <c r="AN133" i="1"/>
  <c r="AN134" i="1"/>
  <c r="AN135" i="1"/>
  <c r="AN136" i="1"/>
  <c r="AN137" i="1"/>
  <c r="AN138" i="1"/>
  <c r="AN139" i="1"/>
  <c r="AN140" i="1"/>
  <c r="AN141" i="1"/>
  <c r="AN142" i="1"/>
  <c r="AN143" i="1"/>
  <c r="AN144" i="1"/>
  <c r="AN145" i="1"/>
  <c r="AN146" i="1"/>
  <c r="AN147" i="1"/>
  <c r="AN148" i="1"/>
  <c r="AN149" i="1"/>
  <c r="AN150" i="1"/>
  <c r="AN151" i="1"/>
  <c r="AN152" i="1"/>
  <c r="AN153" i="1"/>
  <c r="AN154" i="1"/>
  <c r="AN155" i="1"/>
  <c r="AN156" i="1"/>
  <c r="AN157" i="1"/>
  <c r="AN158" i="1"/>
  <c r="AN159" i="1"/>
  <c r="AN160" i="1"/>
  <c r="AN161" i="1"/>
  <c r="AN162" i="1"/>
  <c r="AN163" i="1"/>
  <c r="AN164" i="1"/>
  <c r="AN165" i="1"/>
  <c r="AN166" i="1"/>
  <c r="AN167" i="1"/>
  <c r="AN168" i="1"/>
  <c r="AN169" i="1"/>
  <c r="AN170" i="1"/>
  <c r="AN171" i="1"/>
  <c r="AN172" i="1"/>
  <c r="AN173" i="1"/>
  <c r="AN174" i="1"/>
  <c r="AN175" i="1"/>
  <c r="AN176" i="1"/>
  <c r="AN177" i="1"/>
  <c r="AN178" i="1"/>
  <c r="AN179" i="1"/>
  <c r="AN180" i="1"/>
  <c r="AN181" i="1"/>
  <c r="AN182" i="1"/>
  <c r="AN183" i="1"/>
  <c r="AN184" i="1"/>
  <c r="AN185" i="1"/>
  <c r="AN186" i="1"/>
  <c r="AN187" i="1"/>
  <c r="AN188" i="1"/>
  <c r="AN189" i="1"/>
  <c r="AN190" i="1"/>
  <c r="AN191" i="1"/>
  <c r="AN192" i="1"/>
  <c r="AN193" i="1"/>
  <c r="AN194" i="1"/>
  <c r="AN195" i="1"/>
  <c r="AN196" i="1"/>
  <c r="AN197" i="1"/>
  <c r="AN198" i="1"/>
  <c r="AN199" i="1"/>
  <c r="AN200" i="1"/>
  <c r="AN201" i="1"/>
  <c r="AN202" i="1"/>
  <c r="AN203" i="1"/>
  <c r="AN204" i="1"/>
  <c r="AN205" i="1"/>
  <c r="AN206" i="1"/>
  <c r="AN207" i="1"/>
  <c r="AN208" i="1"/>
  <c r="AN209" i="1"/>
  <c r="AN210" i="1"/>
  <c r="AN211" i="1"/>
  <c r="AN212" i="1"/>
  <c r="AN213" i="1"/>
  <c r="AN214" i="1"/>
  <c r="AN215" i="1"/>
  <c r="AN216" i="1"/>
  <c r="AN217" i="1"/>
  <c r="AN218" i="1"/>
  <c r="AN219" i="1"/>
  <c r="AN220" i="1"/>
  <c r="AN221" i="1"/>
  <c r="AN222" i="1"/>
  <c r="AN223" i="1"/>
  <c r="AN224" i="1"/>
  <c r="AN225" i="1"/>
  <c r="AN226" i="1"/>
  <c r="AN227" i="1"/>
  <c r="AN228" i="1"/>
  <c r="AN229" i="1"/>
  <c r="AN230" i="1"/>
  <c r="AN231" i="1"/>
  <c r="AN232" i="1"/>
  <c r="AN233" i="1"/>
  <c r="AN234" i="1"/>
  <c r="AN235" i="1"/>
  <c r="AN236" i="1"/>
  <c r="AN237" i="1"/>
  <c r="AN238" i="1"/>
  <c r="AN239" i="1"/>
  <c r="AN240" i="1"/>
  <c r="AN241" i="1"/>
  <c r="AN242" i="1"/>
  <c r="AN243" i="1"/>
  <c r="AN244" i="1"/>
  <c r="AN245" i="1"/>
  <c r="AN246" i="1"/>
  <c r="AN247" i="1"/>
  <c r="AN248" i="1"/>
  <c r="AN249" i="1"/>
  <c r="AN250" i="1"/>
  <c r="AN251" i="1"/>
  <c r="AN252" i="1"/>
  <c r="AN253" i="1"/>
  <c r="AN254" i="1"/>
  <c r="AN255" i="1"/>
  <c r="AN256" i="1"/>
  <c r="AN257" i="1"/>
  <c r="AN258" i="1"/>
  <c r="AN259" i="1"/>
  <c r="AN260" i="1"/>
  <c r="AN261" i="1"/>
  <c r="AN262" i="1"/>
  <c r="AN263" i="1"/>
  <c r="AN264" i="1"/>
  <c r="AN265" i="1"/>
  <c r="AN266" i="1"/>
  <c r="AN267" i="1"/>
  <c r="AN268" i="1"/>
  <c r="AN269" i="1"/>
  <c r="AN270" i="1"/>
  <c r="AN271" i="1"/>
  <c r="AN272" i="1"/>
  <c r="AN273" i="1"/>
  <c r="AN274" i="1"/>
  <c r="AN275" i="1"/>
  <c r="AN276" i="1"/>
  <c r="AN277" i="1"/>
  <c r="AN278" i="1"/>
  <c r="AN279" i="1"/>
  <c r="AN280" i="1"/>
  <c r="AN281" i="1"/>
  <c r="AN282" i="1"/>
  <c r="AN283" i="1"/>
  <c r="AN284" i="1"/>
  <c r="AN285" i="1"/>
  <c r="AN286" i="1"/>
  <c r="AN287" i="1"/>
  <c r="AN288" i="1"/>
  <c r="AN289" i="1"/>
  <c r="AN290" i="1"/>
  <c r="AN291" i="1"/>
  <c r="AN292" i="1"/>
  <c r="AN293" i="1"/>
  <c r="AN294" i="1"/>
  <c r="AN295" i="1"/>
  <c r="AN296" i="1"/>
  <c r="AN297" i="1"/>
  <c r="AN298" i="1"/>
  <c r="AN299" i="1"/>
  <c r="AN300" i="1"/>
  <c r="AN301" i="1"/>
  <c r="AN302" i="1"/>
  <c r="AN303" i="1"/>
  <c r="AN304" i="1"/>
  <c r="AN305" i="1"/>
  <c r="AN306" i="1"/>
  <c r="AN307" i="1"/>
  <c r="AN308" i="1"/>
  <c r="AN309" i="1"/>
  <c r="AN310" i="1"/>
  <c r="AN311" i="1"/>
  <c r="AN312" i="1"/>
  <c r="AN313" i="1"/>
  <c r="AN314" i="1"/>
  <c r="AN315" i="1"/>
  <c r="AN316" i="1"/>
  <c r="AN317" i="1"/>
  <c r="AN318" i="1"/>
  <c r="AN319" i="1"/>
  <c r="AN320" i="1"/>
  <c r="AN321" i="1"/>
  <c r="AN322" i="1"/>
  <c r="AN323" i="1"/>
  <c r="AN324" i="1"/>
  <c r="AN325" i="1"/>
  <c r="AN326" i="1"/>
  <c r="AN327" i="1"/>
  <c r="AN328" i="1"/>
  <c r="AN329" i="1"/>
  <c r="AN330" i="1"/>
  <c r="AN331" i="1"/>
  <c r="AN332" i="1"/>
  <c r="AN333" i="1"/>
  <c r="AN334" i="1"/>
  <c r="AN335" i="1"/>
  <c r="AN336" i="1"/>
  <c r="AN337" i="1"/>
  <c r="AN338" i="1"/>
  <c r="AN339" i="1"/>
  <c r="AN340" i="1"/>
  <c r="AN341" i="1"/>
  <c r="AN342" i="1"/>
  <c r="AN343" i="1"/>
  <c r="AN344" i="1"/>
  <c r="AN345" i="1"/>
  <c r="AN346" i="1"/>
  <c r="AN347" i="1"/>
  <c r="AN348" i="1"/>
  <c r="AN349" i="1"/>
  <c r="AN350" i="1"/>
  <c r="AN351" i="1"/>
  <c r="AN352" i="1"/>
  <c r="AN353" i="1"/>
  <c r="AN354" i="1"/>
  <c r="AN355" i="1"/>
  <c r="AN356" i="1"/>
  <c r="AN357" i="1"/>
  <c r="AN358" i="1"/>
  <c r="AN359" i="1"/>
  <c r="AN360" i="1"/>
  <c r="AN361" i="1"/>
  <c r="AN362" i="1"/>
  <c r="AN363" i="1"/>
  <c r="AN364" i="1"/>
  <c r="AN365" i="1"/>
  <c r="AN366" i="1"/>
  <c r="AN367" i="1"/>
  <c r="AN368" i="1"/>
  <c r="AN369" i="1"/>
  <c r="AN370" i="1"/>
  <c r="AN371" i="1"/>
  <c r="AN372" i="1"/>
  <c r="AN373" i="1"/>
  <c r="AN374" i="1"/>
  <c r="AN375" i="1"/>
  <c r="AN376" i="1"/>
  <c r="AN377" i="1"/>
  <c r="AN378" i="1"/>
  <c r="AN379" i="1"/>
  <c r="AN380" i="1"/>
  <c r="AN381" i="1"/>
  <c r="AN382" i="1"/>
  <c r="AN383" i="1"/>
  <c r="AN384" i="1"/>
  <c r="AN385" i="1"/>
  <c r="AN386" i="1"/>
  <c r="AN387" i="1"/>
  <c r="AN388" i="1"/>
  <c r="AN389" i="1"/>
  <c r="AN390" i="1"/>
  <c r="AN391" i="1"/>
  <c r="AN392" i="1"/>
  <c r="AN393" i="1"/>
  <c r="AN394" i="1"/>
  <c r="AN395" i="1"/>
  <c r="AN396" i="1"/>
  <c r="AN397" i="1"/>
  <c r="AN398" i="1"/>
  <c r="AN399" i="1"/>
  <c r="AN400" i="1"/>
  <c r="AN401" i="1"/>
  <c r="AN402" i="1"/>
  <c r="AN403" i="1"/>
  <c r="AN404" i="1"/>
  <c r="AN405" i="1"/>
  <c r="AN406" i="1"/>
  <c r="AN407" i="1"/>
  <c r="AN408" i="1"/>
  <c r="AN409" i="1"/>
  <c r="AN410" i="1"/>
  <c r="AN411" i="1"/>
  <c r="AN412" i="1"/>
  <c r="AN413" i="1"/>
  <c r="AN414" i="1"/>
  <c r="AN415" i="1"/>
  <c r="AN416" i="1"/>
  <c r="AN417" i="1"/>
  <c r="AN418" i="1"/>
  <c r="AN419" i="1"/>
  <c r="AN420" i="1"/>
  <c r="AN421" i="1"/>
  <c r="AN422" i="1"/>
  <c r="AN423" i="1"/>
  <c r="AN424" i="1"/>
  <c r="AN425" i="1"/>
  <c r="AN426" i="1"/>
  <c r="AN427" i="1"/>
  <c r="AN428" i="1"/>
  <c r="AN429" i="1"/>
  <c r="AN430" i="1"/>
  <c r="AN431" i="1"/>
  <c r="AN432" i="1"/>
  <c r="AN433" i="1"/>
  <c r="AN434" i="1"/>
  <c r="AN435" i="1"/>
  <c r="AN436" i="1"/>
  <c r="AN437" i="1"/>
  <c r="AN438" i="1"/>
  <c r="AN439" i="1"/>
  <c r="AN440" i="1"/>
  <c r="AN441" i="1"/>
  <c r="AN442" i="1"/>
  <c r="AN443" i="1"/>
  <c r="AN444" i="1"/>
  <c r="AN445" i="1"/>
  <c r="AN446" i="1"/>
  <c r="AN447" i="1"/>
  <c r="AN448" i="1"/>
  <c r="AN449" i="1"/>
  <c r="AN450" i="1"/>
  <c r="AN451" i="1"/>
  <c r="AN452" i="1"/>
  <c r="AN453" i="1"/>
  <c r="AN454" i="1"/>
  <c r="AN455" i="1"/>
  <c r="AN456" i="1"/>
  <c r="AN457" i="1"/>
  <c r="AN458" i="1"/>
  <c r="AN459" i="1"/>
  <c r="AN460" i="1"/>
  <c r="AN461" i="1"/>
  <c r="AN462" i="1"/>
  <c r="AN463" i="1"/>
  <c r="AN464" i="1"/>
  <c r="AN465" i="1"/>
  <c r="AN466" i="1"/>
  <c r="AN467" i="1"/>
  <c r="AN468" i="1"/>
  <c r="AN469" i="1"/>
  <c r="AN470" i="1"/>
  <c r="AN471" i="1"/>
  <c r="AN472" i="1"/>
  <c r="AN473" i="1"/>
  <c r="AN474" i="1"/>
  <c r="AN475" i="1"/>
  <c r="AN476" i="1"/>
  <c r="AN477" i="1"/>
  <c r="AN478" i="1"/>
  <c r="AN479" i="1"/>
  <c r="AN480" i="1"/>
  <c r="AN481" i="1"/>
  <c r="AN482" i="1"/>
  <c r="AN483" i="1"/>
  <c r="AN484" i="1"/>
  <c r="AN485" i="1"/>
  <c r="AN486" i="1"/>
  <c r="AN487" i="1"/>
  <c r="AN488" i="1"/>
  <c r="AN489" i="1"/>
  <c r="AN490" i="1"/>
  <c r="AN491" i="1"/>
  <c r="AN492" i="1"/>
  <c r="AN493" i="1"/>
  <c r="AN494" i="1"/>
  <c r="AN495" i="1"/>
  <c r="AN496" i="1"/>
  <c r="AN497" i="1"/>
  <c r="AN498" i="1"/>
  <c r="AN499" i="1"/>
  <c r="AN500" i="1"/>
  <c r="AN501" i="1"/>
  <c r="AN502" i="1"/>
  <c r="AN503" i="1"/>
  <c r="AN504" i="1"/>
  <c r="AN505" i="1"/>
  <c r="AN506" i="1"/>
  <c r="AN507" i="1"/>
  <c r="AN508" i="1"/>
  <c r="AN509" i="1"/>
  <c r="AN510" i="1"/>
  <c r="AN511" i="1"/>
  <c r="AN512" i="1"/>
  <c r="AN513" i="1"/>
  <c r="AN514" i="1"/>
  <c r="AN515" i="1"/>
  <c r="AN516" i="1"/>
  <c r="AN517" i="1"/>
  <c r="AN518" i="1"/>
  <c r="AN519" i="1"/>
  <c r="AN520" i="1"/>
  <c r="AN521" i="1"/>
  <c r="AN522" i="1"/>
  <c r="AN523" i="1"/>
  <c r="AN524" i="1"/>
  <c r="AN525" i="1"/>
  <c r="AN526" i="1"/>
  <c r="AN527" i="1"/>
  <c r="AN528" i="1"/>
  <c r="AN529" i="1"/>
  <c r="AN530" i="1"/>
  <c r="AN531" i="1"/>
  <c r="AN532" i="1"/>
  <c r="AN533" i="1"/>
  <c r="AN534" i="1"/>
  <c r="AN535" i="1"/>
  <c r="AN536" i="1"/>
  <c r="AN537" i="1"/>
  <c r="AN538" i="1"/>
  <c r="AN539" i="1"/>
  <c r="AN540" i="1"/>
  <c r="AN541" i="1"/>
  <c r="AN542" i="1"/>
  <c r="AN543" i="1"/>
  <c r="AN544" i="1"/>
  <c r="AN545" i="1"/>
  <c r="AN546" i="1"/>
  <c r="AN547" i="1"/>
  <c r="AN548" i="1"/>
  <c r="AN549" i="1"/>
  <c r="AN550" i="1"/>
  <c r="AN551" i="1"/>
  <c r="AN552" i="1"/>
  <c r="AN553" i="1"/>
  <c r="AN554" i="1"/>
  <c r="AN555" i="1"/>
  <c r="AN556" i="1"/>
  <c r="AN557" i="1"/>
  <c r="AN558" i="1"/>
  <c r="AN559" i="1"/>
  <c r="AN560" i="1"/>
  <c r="AN561" i="1"/>
  <c r="AN562" i="1"/>
  <c r="AN563" i="1"/>
  <c r="AN564" i="1"/>
  <c r="AN565" i="1"/>
  <c r="AN566" i="1"/>
  <c r="AN567" i="1"/>
  <c r="AN568" i="1"/>
  <c r="AN569" i="1"/>
  <c r="AN570" i="1"/>
  <c r="AN571" i="1"/>
  <c r="AN572" i="1"/>
  <c r="AN573" i="1"/>
  <c r="AN574" i="1"/>
  <c r="AN575" i="1"/>
  <c r="AN576" i="1"/>
  <c r="AN577" i="1"/>
  <c r="AN578" i="1"/>
  <c r="AN579" i="1"/>
  <c r="AN580" i="1"/>
  <c r="AN581" i="1"/>
  <c r="AN582" i="1"/>
  <c r="AN583" i="1"/>
  <c r="AN584" i="1"/>
  <c r="AN585" i="1"/>
  <c r="AN586" i="1"/>
  <c r="AN587" i="1"/>
  <c r="AN588" i="1"/>
  <c r="AN589" i="1"/>
  <c r="AN590" i="1"/>
  <c r="AN591" i="1"/>
  <c r="AN592" i="1"/>
  <c r="AN593" i="1"/>
  <c r="AN594" i="1"/>
  <c r="AN595" i="1"/>
  <c r="AN596" i="1"/>
  <c r="AN597" i="1"/>
  <c r="AN598" i="1"/>
  <c r="AN599" i="1"/>
  <c r="AN600" i="1"/>
  <c r="AN601" i="1"/>
  <c r="AN602" i="1"/>
  <c r="AN603" i="1"/>
  <c r="AN604" i="1"/>
  <c r="AN605" i="1"/>
  <c r="AN606" i="1"/>
  <c r="AN607" i="1"/>
  <c r="AN608" i="1"/>
  <c r="AN609" i="1"/>
  <c r="AN610" i="1"/>
  <c r="AN611" i="1"/>
  <c r="AN612" i="1"/>
  <c r="AN613" i="1"/>
  <c r="AN614" i="1"/>
  <c r="AN615" i="1"/>
  <c r="AN616" i="1"/>
  <c r="AN617" i="1"/>
  <c r="AN618" i="1"/>
  <c r="AN619" i="1"/>
  <c r="AN620" i="1"/>
  <c r="AN621" i="1"/>
  <c r="AN622" i="1"/>
  <c r="AN623" i="1"/>
  <c r="AN624" i="1"/>
  <c r="AN625" i="1"/>
  <c r="AN626" i="1"/>
  <c r="AN627" i="1"/>
  <c r="AN628" i="1"/>
  <c r="AN629" i="1"/>
  <c r="AN630" i="1"/>
  <c r="AN631" i="1"/>
  <c r="AN632" i="1"/>
  <c r="AN633" i="1"/>
  <c r="AN634" i="1"/>
  <c r="AN635" i="1"/>
  <c r="AN636" i="1"/>
  <c r="AN637" i="1"/>
  <c r="AN638" i="1"/>
  <c r="AN639" i="1"/>
  <c r="AN640" i="1"/>
  <c r="AN641" i="1"/>
  <c r="AN642" i="1"/>
  <c r="AN643" i="1"/>
  <c r="AN644" i="1"/>
  <c r="AN645" i="1"/>
  <c r="AN646" i="1"/>
  <c r="AN647" i="1"/>
  <c r="AN648" i="1"/>
  <c r="AN649" i="1"/>
  <c r="AN650" i="1"/>
  <c r="AN651" i="1"/>
  <c r="AN652" i="1"/>
  <c r="AN653" i="1"/>
  <c r="AN654" i="1"/>
  <c r="AN655" i="1"/>
  <c r="AN656" i="1"/>
  <c r="AN657" i="1"/>
  <c r="AN658" i="1"/>
  <c r="AN659" i="1"/>
  <c r="AN660" i="1"/>
  <c r="AN661" i="1"/>
  <c r="AN662" i="1"/>
  <c r="AN663" i="1"/>
  <c r="AN664" i="1"/>
  <c r="AN665" i="1"/>
  <c r="AN666" i="1"/>
  <c r="AN667" i="1"/>
  <c r="AN668" i="1"/>
  <c r="AN669" i="1"/>
  <c r="AN670" i="1"/>
  <c r="AN671" i="1"/>
  <c r="AN672" i="1"/>
  <c r="AN673" i="1"/>
  <c r="AN674" i="1"/>
  <c r="AN675" i="1"/>
  <c r="AN676" i="1"/>
  <c r="AN677" i="1"/>
  <c r="AN678" i="1"/>
  <c r="AN679" i="1"/>
  <c r="AN680" i="1"/>
  <c r="AN681" i="1"/>
  <c r="AN682" i="1"/>
  <c r="AN683" i="1"/>
  <c r="AN684" i="1"/>
  <c r="AN685" i="1"/>
  <c r="AN686" i="1"/>
  <c r="AN687" i="1"/>
  <c r="AN688" i="1"/>
  <c r="AN689" i="1"/>
  <c r="AN690" i="1"/>
  <c r="AN691" i="1"/>
  <c r="AN692" i="1"/>
  <c r="AN693" i="1"/>
  <c r="AN694" i="1"/>
  <c r="AN695" i="1"/>
  <c r="AN696" i="1"/>
  <c r="AN697" i="1"/>
  <c r="AN698" i="1"/>
  <c r="AN699" i="1"/>
  <c r="AN700" i="1"/>
  <c r="AN701" i="1"/>
  <c r="AN702" i="1"/>
  <c r="AM10" i="1"/>
  <c r="AM3" i="1"/>
  <c r="AM4" i="1"/>
  <c r="AM5" i="1"/>
  <c r="AM8" i="1"/>
  <c r="AM11" i="1"/>
  <c r="AM13" i="1"/>
  <c r="AM15" i="1"/>
  <c r="AM17" i="1"/>
  <c r="AM12" i="1"/>
  <c r="AM21" i="1"/>
  <c r="AM23" i="1"/>
  <c r="AM25" i="1"/>
  <c r="AM26" i="1"/>
  <c r="AM27" i="1"/>
  <c r="AM28" i="1"/>
  <c r="AM6" i="1"/>
  <c r="AM7" i="1"/>
  <c r="AM9" i="1"/>
  <c r="AM19" i="1"/>
  <c r="AM14" i="1"/>
  <c r="AM16" i="1"/>
  <c r="AM18" i="1"/>
  <c r="AM20" i="1"/>
  <c r="AM22" i="1"/>
  <c r="AM24" i="1"/>
  <c r="AM29" i="1"/>
  <c r="AM30" i="1"/>
  <c r="AM31" i="1"/>
  <c r="AM32" i="1"/>
  <c r="AM33" i="1"/>
  <c r="AM34" i="1"/>
  <c r="AM35" i="1"/>
  <c r="AM36" i="1"/>
  <c r="AM37" i="1"/>
  <c r="AM38" i="1"/>
  <c r="AM39" i="1"/>
  <c r="AM40" i="1"/>
  <c r="AM41" i="1"/>
  <c r="AM42" i="1"/>
  <c r="AM43" i="1"/>
  <c r="AM44" i="1"/>
  <c r="AM45" i="1"/>
  <c r="AM46" i="1"/>
  <c r="AM47" i="1"/>
  <c r="AM48" i="1"/>
  <c r="AM49" i="1"/>
  <c r="AM50" i="1"/>
  <c r="AM51" i="1"/>
  <c r="AM52" i="1"/>
  <c r="AM53" i="1"/>
  <c r="AM54" i="1"/>
  <c r="AM55" i="1"/>
  <c r="AM56" i="1"/>
  <c r="AM57" i="1"/>
  <c r="AM58" i="1"/>
  <c r="AM59" i="1"/>
  <c r="AM60" i="1"/>
  <c r="AM61" i="1"/>
  <c r="AM62" i="1"/>
  <c r="AM63" i="1"/>
  <c r="AM64" i="1"/>
  <c r="AM65" i="1"/>
  <c r="AM66" i="1"/>
  <c r="AM67" i="1"/>
  <c r="AM68" i="1"/>
  <c r="AM69" i="1"/>
  <c r="AM70" i="1"/>
  <c r="AM71" i="1"/>
  <c r="AM72" i="1"/>
  <c r="AM73" i="1"/>
  <c r="AM74" i="1"/>
  <c r="AM75" i="1"/>
  <c r="AM76" i="1"/>
  <c r="AM77" i="1"/>
  <c r="AM78" i="1"/>
  <c r="AM79" i="1"/>
  <c r="AM80" i="1"/>
  <c r="AM81" i="1"/>
  <c r="AM82" i="1"/>
  <c r="AM83" i="1"/>
  <c r="AM84" i="1"/>
  <c r="AM85" i="1"/>
  <c r="AM86" i="1"/>
  <c r="AM87" i="1"/>
  <c r="AM88" i="1"/>
  <c r="AM89" i="1"/>
  <c r="AM90" i="1"/>
  <c r="AM91" i="1"/>
  <c r="AM92" i="1"/>
  <c r="AM93" i="1"/>
  <c r="AM94" i="1"/>
  <c r="AM95" i="1"/>
  <c r="AM96" i="1"/>
  <c r="AM97" i="1"/>
  <c r="AM98" i="1"/>
  <c r="AM99" i="1"/>
  <c r="AM100" i="1"/>
  <c r="AM101" i="1"/>
  <c r="AM102" i="1"/>
  <c r="AM103" i="1"/>
  <c r="AM104" i="1"/>
  <c r="AM105" i="1"/>
  <c r="AM106" i="1"/>
  <c r="AM107" i="1"/>
  <c r="AM108" i="1"/>
  <c r="AM109" i="1"/>
  <c r="AM110" i="1"/>
  <c r="AM111" i="1"/>
  <c r="AM112" i="1"/>
  <c r="AM113" i="1"/>
  <c r="AM114" i="1"/>
  <c r="AM115" i="1"/>
  <c r="AM116" i="1"/>
  <c r="AM117" i="1"/>
  <c r="AM118" i="1"/>
  <c r="AM119" i="1"/>
  <c r="AM120" i="1"/>
  <c r="AM121" i="1"/>
  <c r="AM122" i="1"/>
  <c r="AM123" i="1"/>
  <c r="AM124" i="1"/>
  <c r="AM125" i="1"/>
  <c r="AM126" i="1"/>
  <c r="AM127" i="1"/>
  <c r="AM128" i="1"/>
  <c r="AM129" i="1"/>
  <c r="AM130" i="1"/>
  <c r="AM131" i="1"/>
  <c r="AM132" i="1"/>
  <c r="AM133" i="1"/>
  <c r="AM134" i="1"/>
  <c r="AM135" i="1"/>
  <c r="AM136" i="1"/>
  <c r="AM137" i="1"/>
  <c r="AM138" i="1"/>
  <c r="AM139" i="1"/>
  <c r="AM140" i="1"/>
  <c r="AM141" i="1"/>
  <c r="AM142" i="1"/>
  <c r="AM143" i="1"/>
  <c r="AM144" i="1"/>
  <c r="AM145" i="1"/>
  <c r="AM146" i="1"/>
  <c r="AM147" i="1"/>
  <c r="AM148" i="1"/>
  <c r="AM149" i="1"/>
  <c r="AM150" i="1"/>
  <c r="AM151" i="1"/>
  <c r="AM152" i="1"/>
  <c r="AM153" i="1"/>
  <c r="AM154" i="1"/>
  <c r="AM155" i="1"/>
  <c r="AM156" i="1"/>
  <c r="AM157" i="1"/>
  <c r="AM158" i="1"/>
  <c r="AM159" i="1"/>
  <c r="AM160" i="1"/>
  <c r="AM161" i="1"/>
  <c r="AM162" i="1"/>
  <c r="AM163" i="1"/>
  <c r="AM164" i="1"/>
  <c r="AM165" i="1"/>
  <c r="AM166" i="1"/>
  <c r="AM167" i="1"/>
  <c r="AM168" i="1"/>
  <c r="AM169" i="1"/>
  <c r="AM170" i="1"/>
  <c r="AM171" i="1"/>
  <c r="AM172" i="1"/>
  <c r="AM173" i="1"/>
  <c r="AM174" i="1"/>
  <c r="AM175" i="1"/>
  <c r="AM176" i="1"/>
  <c r="AM177" i="1"/>
  <c r="AM178" i="1"/>
  <c r="AM179" i="1"/>
  <c r="AM180" i="1"/>
  <c r="AM181" i="1"/>
  <c r="AM182" i="1"/>
  <c r="AM183" i="1"/>
  <c r="AM184" i="1"/>
  <c r="AM185" i="1"/>
  <c r="AM186" i="1"/>
  <c r="AM187" i="1"/>
  <c r="AM188" i="1"/>
  <c r="AM189" i="1"/>
  <c r="AM190" i="1"/>
  <c r="AM191" i="1"/>
  <c r="AM192" i="1"/>
  <c r="AM193" i="1"/>
  <c r="AM194" i="1"/>
  <c r="AM195" i="1"/>
  <c r="AM196" i="1"/>
  <c r="AM197" i="1"/>
  <c r="AM198" i="1"/>
  <c r="AM199" i="1"/>
  <c r="AM200" i="1"/>
  <c r="AM201" i="1"/>
  <c r="AM202" i="1"/>
  <c r="AM203" i="1"/>
  <c r="AM204" i="1"/>
  <c r="AM205" i="1"/>
  <c r="AM206" i="1"/>
  <c r="AM207" i="1"/>
  <c r="AM208" i="1"/>
  <c r="AM209" i="1"/>
  <c r="AM210" i="1"/>
  <c r="AM211" i="1"/>
  <c r="AM212" i="1"/>
  <c r="AM213" i="1"/>
  <c r="AM214" i="1"/>
  <c r="AM215" i="1"/>
  <c r="AM216" i="1"/>
  <c r="AM217" i="1"/>
  <c r="AM218" i="1"/>
  <c r="AM219" i="1"/>
  <c r="AM220" i="1"/>
  <c r="AM221" i="1"/>
  <c r="AM222" i="1"/>
  <c r="AM223" i="1"/>
  <c r="AM224" i="1"/>
  <c r="AM225" i="1"/>
  <c r="AM226" i="1"/>
  <c r="AM227" i="1"/>
  <c r="AM228" i="1"/>
  <c r="AM229" i="1"/>
  <c r="AM230" i="1"/>
  <c r="AM231" i="1"/>
  <c r="AM232" i="1"/>
  <c r="AM233" i="1"/>
  <c r="AM234" i="1"/>
  <c r="AM235" i="1"/>
  <c r="AM236" i="1"/>
  <c r="AM237" i="1"/>
  <c r="AM238" i="1"/>
  <c r="AM239" i="1"/>
  <c r="AM240" i="1"/>
  <c r="AM241" i="1"/>
  <c r="AM242" i="1"/>
  <c r="AM243" i="1"/>
  <c r="AM244" i="1"/>
  <c r="AM245" i="1"/>
  <c r="AM246" i="1"/>
  <c r="AM247" i="1"/>
  <c r="AM248" i="1"/>
  <c r="AM249" i="1"/>
  <c r="AM250" i="1"/>
  <c r="AM251" i="1"/>
  <c r="AM252" i="1"/>
  <c r="AM253" i="1"/>
  <c r="AM254" i="1"/>
  <c r="AM255" i="1"/>
  <c r="AM256" i="1"/>
  <c r="AM257" i="1"/>
  <c r="AM258" i="1"/>
  <c r="AM259" i="1"/>
  <c r="AM260" i="1"/>
  <c r="AM261" i="1"/>
  <c r="AM262" i="1"/>
  <c r="AM263" i="1"/>
  <c r="AM264" i="1"/>
  <c r="AM265" i="1"/>
  <c r="AM266" i="1"/>
  <c r="AM267" i="1"/>
  <c r="AM268" i="1"/>
  <c r="AM269" i="1"/>
  <c r="AM270" i="1"/>
  <c r="AM271" i="1"/>
  <c r="AM272" i="1"/>
  <c r="AM273" i="1"/>
  <c r="AM274" i="1"/>
  <c r="AM275" i="1"/>
  <c r="AM276" i="1"/>
  <c r="AM277" i="1"/>
  <c r="AM278" i="1"/>
  <c r="AM279" i="1"/>
  <c r="AM280" i="1"/>
  <c r="AM281" i="1"/>
  <c r="AM282" i="1"/>
  <c r="AM283" i="1"/>
  <c r="AM284" i="1"/>
  <c r="AM285" i="1"/>
  <c r="AM286" i="1"/>
  <c r="AM287" i="1"/>
  <c r="AM288" i="1"/>
  <c r="AM289" i="1"/>
  <c r="AM290" i="1"/>
  <c r="AM291" i="1"/>
  <c r="AM292" i="1"/>
  <c r="AM293" i="1"/>
  <c r="AM294" i="1"/>
  <c r="AM295" i="1"/>
  <c r="AM296" i="1"/>
  <c r="AM297" i="1"/>
  <c r="AM298" i="1"/>
  <c r="AM299" i="1"/>
  <c r="AM300" i="1"/>
  <c r="AM301" i="1"/>
  <c r="AM302" i="1"/>
  <c r="AM303" i="1"/>
  <c r="AM304" i="1"/>
  <c r="AM305" i="1"/>
  <c r="AM306" i="1"/>
  <c r="AM307" i="1"/>
  <c r="AM308" i="1"/>
  <c r="AM309" i="1"/>
  <c r="AM310" i="1"/>
  <c r="AM311" i="1"/>
  <c r="AM312" i="1"/>
  <c r="AM313" i="1"/>
  <c r="AM314" i="1"/>
  <c r="AM315" i="1"/>
  <c r="AM316" i="1"/>
  <c r="AM317" i="1"/>
  <c r="AM318" i="1"/>
  <c r="AM319" i="1"/>
  <c r="AM320" i="1"/>
  <c r="AM321" i="1"/>
  <c r="AM322" i="1"/>
  <c r="AM323" i="1"/>
  <c r="AM324" i="1"/>
  <c r="AM325" i="1"/>
  <c r="AM326" i="1"/>
  <c r="AM327" i="1"/>
  <c r="AM328" i="1"/>
  <c r="AM329" i="1"/>
  <c r="AM330" i="1"/>
  <c r="AM331" i="1"/>
  <c r="AM332" i="1"/>
  <c r="AM333" i="1"/>
  <c r="AM334" i="1"/>
  <c r="AM335" i="1"/>
  <c r="AM336" i="1"/>
  <c r="AM337" i="1"/>
  <c r="AM338" i="1"/>
  <c r="AM339" i="1"/>
  <c r="AM340" i="1"/>
  <c r="AM341" i="1"/>
  <c r="AM342" i="1"/>
  <c r="AM343" i="1"/>
  <c r="AM344" i="1"/>
  <c r="AM345" i="1"/>
  <c r="AM346" i="1"/>
  <c r="AM347" i="1"/>
  <c r="AM348" i="1"/>
  <c r="AM349" i="1"/>
  <c r="AM350" i="1"/>
  <c r="AM351" i="1"/>
  <c r="AM352" i="1"/>
  <c r="AM353" i="1"/>
  <c r="AM354" i="1"/>
  <c r="AM355" i="1"/>
  <c r="AM356" i="1"/>
  <c r="AM357" i="1"/>
  <c r="AM358" i="1"/>
  <c r="AM359" i="1"/>
  <c r="AM360" i="1"/>
  <c r="AM361" i="1"/>
  <c r="AM362" i="1"/>
  <c r="AM363" i="1"/>
  <c r="AM364" i="1"/>
  <c r="AM365" i="1"/>
  <c r="AM366" i="1"/>
  <c r="AM367" i="1"/>
  <c r="AM368" i="1"/>
  <c r="AM369" i="1"/>
  <c r="AM370" i="1"/>
  <c r="AM371" i="1"/>
  <c r="AM372" i="1"/>
  <c r="AM373" i="1"/>
  <c r="AM374" i="1"/>
  <c r="AM375" i="1"/>
  <c r="AM376" i="1"/>
  <c r="AM377" i="1"/>
  <c r="AM378" i="1"/>
  <c r="AM379" i="1"/>
  <c r="AM380" i="1"/>
  <c r="AM381" i="1"/>
  <c r="AM382" i="1"/>
  <c r="AM383" i="1"/>
  <c r="AM384" i="1"/>
  <c r="AM385" i="1"/>
  <c r="AM386" i="1"/>
  <c r="AM387" i="1"/>
  <c r="AM388" i="1"/>
  <c r="AM389" i="1"/>
  <c r="AM390" i="1"/>
  <c r="AM391" i="1"/>
  <c r="AM392" i="1"/>
  <c r="AM393" i="1"/>
  <c r="AM394" i="1"/>
  <c r="AM395" i="1"/>
  <c r="AM396" i="1"/>
  <c r="AM397" i="1"/>
  <c r="AM398" i="1"/>
  <c r="AM399" i="1"/>
  <c r="AM400" i="1"/>
  <c r="AM401" i="1"/>
  <c r="AM402" i="1"/>
  <c r="AM403" i="1"/>
  <c r="AM404" i="1"/>
  <c r="AM405" i="1"/>
  <c r="AM406" i="1"/>
  <c r="AM407" i="1"/>
  <c r="AM408" i="1"/>
  <c r="AM409" i="1"/>
  <c r="AM410" i="1"/>
  <c r="AM411" i="1"/>
  <c r="AM412" i="1"/>
  <c r="AM413" i="1"/>
  <c r="AM414" i="1"/>
  <c r="AM415" i="1"/>
  <c r="AM416" i="1"/>
  <c r="AM417" i="1"/>
  <c r="AM418" i="1"/>
  <c r="AM419" i="1"/>
  <c r="AM420" i="1"/>
  <c r="AM421" i="1"/>
  <c r="AM422" i="1"/>
  <c r="AM423" i="1"/>
  <c r="AM424" i="1"/>
  <c r="AM425" i="1"/>
  <c r="AM426" i="1"/>
  <c r="AM427" i="1"/>
  <c r="AM428" i="1"/>
  <c r="AM429" i="1"/>
  <c r="AM430" i="1"/>
  <c r="AM431" i="1"/>
  <c r="AM432" i="1"/>
  <c r="AM433" i="1"/>
  <c r="AM434" i="1"/>
  <c r="AM435" i="1"/>
  <c r="AM436" i="1"/>
  <c r="AM437" i="1"/>
  <c r="AM438" i="1"/>
  <c r="AM439" i="1"/>
  <c r="AM440" i="1"/>
  <c r="AM441" i="1"/>
  <c r="AM442" i="1"/>
  <c r="AM443" i="1"/>
  <c r="AM444" i="1"/>
  <c r="AM445" i="1"/>
  <c r="AM446" i="1"/>
  <c r="AM447" i="1"/>
  <c r="AM448" i="1"/>
  <c r="AM449" i="1"/>
  <c r="AM450" i="1"/>
  <c r="AM451" i="1"/>
  <c r="AM452" i="1"/>
  <c r="AM453" i="1"/>
  <c r="AM454" i="1"/>
  <c r="AM455" i="1"/>
  <c r="AM456" i="1"/>
  <c r="AM457" i="1"/>
  <c r="AM458" i="1"/>
  <c r="AM459" i="1"/>
  <c r="AM460" i="1"/>
  <c r="AM461" i="1"/>
  <c r="AM462" i="1"/>
  <c r="AM463" i="1"/>
  <c r="AM464" i="1"/>
  <c r="AM465" i="1"/>
  <c r="AM466" i="1"/>
  <c r="AM467" i="1"/>
  <c r="AM468" i="1"/>
  <c r="AM469" i="1"/>
  <c r="AM470" i="1"/>
  <c r="AM471" i="1"/>
  <c r="AM472" i="1"/>
  <c r="AM473" i="1"/>
  <c r="AM474" i="1"/>
  <c r="AM475" i="1"/>
  <c r="AM476" i="1"/>
  <c r="AM477" i="1"/>
  <c r="AM478" i="1"/>
  <c r="AM479" i="1"/>
  <c r="AM480" i="1"/>
  <c r="AM481" i="1"/>
  <c r="AM482" i="1"/>
  <c r="AM483" i="1"/>
  <c r="AM484" i="1"/>
  <c r="AM485" i="1"/>
  <c r="AM486" i="1"/>
  <c r="AM487" i="1"/>
  <c r="AM488" i="1"/>
  <c r="AM489" i="1"/>
  <c r="AM490" i="1"/>
  <c r="AM491" i="1"/>
  <c r="AM492" i="1"/>
  <c r="AM493" i="1"/>
  <c r="AM494" i="1"/>
  <c r="AM495" i="1"/>
  <c r="AM496" i="1"/>
  <c r="AM497" i="1"/>
  <c r="AM498" i="1"/>
  <c r="AM499" i="1"/>
  <c r="AM500" i="1"/>
  <c r="AM501" i="1"/>
  <c r="AM502" i="1"/>
  <c r="AM503" i="1"/>
  <c r="AM504" i="1"/>
  <c r="AM505" i="1"/>
  <c r="AM506" i="1"/>
  <c r="AM507" i="1"/>
  <c r="AM508" i="1"/>
  <c r="AM509" i="1"/>
  <c r="AM510" i="1"/>
  <c r="AM511" i="1"/>
  <c r="AM512" i="1"/>
  <c r="AM513" i="1"/>
  <c r="AM514" i="1"/>
  <c r="AM515" i="1"/>
  <c r="AM516" i="1"/>
  <c r="AM517" i="1"/>
  <c r="AM518" i="1"/>
  <c r="AM519" i="1"/>
  <c r="AM520" i="1"/>
  <c r="AM521" i="1"/>
  <c r="AM522" i="1"/>
  <c r="AM523" i="1"/>
  <c r="AM524" i="1"/>
  <c r="AM525" i="1"/>
  <c r="AM526" i="1"/>
  <c r="AM527" i="1"/>
  <c r="AM528" i="1"/>
  <c r="AM529" i="1"/>
  <c r="AM530" i="1"/>
  <c r="AM531" i="1"/>
  <c r="AM532" i="1"/>
  <c r="AM533" i="1"/>
  <c r="AM534" i="1"/>
  <c r="AM535" i="1"/>
  <c r="AM536" i="1"/>
  <c r="AM537" i="1"/>
  <c r="AM538" i="1"/>
  <c r="AM539" i="1"/>
  <c r="AM540" i="1"/>
  <c r="AM541" i="1"/>
  <c r="AM542" i="1"/>
  <c r="AM543" i="1"/>
  <c r="AM544" i="1"/>
  <c r="AM545" i="1"/>
  <c r="AM546" i="1"/>
  <c r="AM547" i="1"/>
  <c r="AM548" i="1"/>
  <c r="AM549" i="1"/>
  <c r="AM550" i="1"/>
  <c r="AM551" i="1"/>
  <c r="AM552" i="1"/>
  <c r="AM553" i="1"/>
  <c r="AM554" i="1"/>
  <c r="AM555" i="1"/>
  <c r="AM556" i="1"/>
  <c r="AM557" i="1"/>
  <c r="AM558" i="1"/>
  <c r="AM559" i="1"/>
  <c r="AM560" i="1"/>
  <c r="AM561" i="1"/>
  <c r="AM562" i="1"/>
  <c r="AM563" i="1"/>
  <c r="AM564" i="1"/>
  <c r="AM565" i="1"/>
  <c r="AM566" i="1"/>
  <c r="AM567" i="1"/>
  <c r="AM568" i="1"/>
  <c r="AM569" i="1"/>
  <c r="AM570" i="1"/>
  <c r="AM571" i="1"/>
  <c r="AM572" i="1"/>
  <c r="AM573" i="1"/>
  <c r="AM574" i="1"/>
  <c r="AM575" i="1"/>
  <c r="AM576" i="1"/>
  <c r="AM577" i="1"/>
  <c r="AM578" i="1"/>
  <c r="AM579" i="1"/>
  <c r="AM580" i="1"/>
  <c r="AM581" i="1"/>
  <c r="AM582" i="1"/>
  <c r="AM583" i="1"/>
  <c r="AM584" i="1"/>
  <c r="AM585" i="1"/>
  <c r="AM586" i="1"/>
  <c r="AM587" i="1"/>
  <c r="AM588" i="1"/>
  <c r="AM589" i="1"/>
  <c r="AM590" i="1"/>
  <c r="AM591" i="1"/>
  <c r="AM592" i="1"/>
  <c r="AM593" i="1"/>
  <c r="AM594" i="1"/>
  <c r="AM595" i="1"/>
  <c r="AM596" i="1"/>
  <c r="AM597" i="1"/>
  <c r="AM598" i="1"/>
  <c r="AM599" i="1"/>
  <c r="AM600" i="1"/>
  <c r="AM601" i="1"/>
  <c r="AM602" i="1"/>
  <c r="AM603" i="1"/>
  <c r="AM604" i="1"/>
  <c r="AM605" i="1"/>
  <c r="AM606" i="1"/>
  <c r="AM607" i="1"/>
  <c r="AM608" i="1"/>
  <c r="AM609" i="1"/>
  <c r="AM610" i="1"/>
  <c r="AM611" i="1"/>
  <c r="AM612" i="1"/>
  <c r="AM613" i="1"/>
  <c r="AM614" i="1"/>
  <c r="AM615" i="1"/>
  <c r="AM616" i="1"/>
  <c r="AM617" i="1"/>
  <c r="AM618" i="1"/>
  <c r="AM619" i="1"/>
  <c r="AM620" i="1"/>
  <c r="AM621" i="1"/>
  <c r="AM622" i="1"/>
  <c r="AM623" i="1"/>
  <c r="AM624" i="1"/>
  <c r="AM625" i="1"/>
  <c r="AM626" i="1"/>
  <c r="AM627" i="1"/>
  <c r="AM628" i="1"/>
  <c r="AM629" i="1"/>
  <c r="AM630" i="1"/>
  <c r="AM631" i="1"/>
  <c r="AM632" i="1"/>
  <c r="AM633" i="1"/>
  <c r="AM634" i="1"/>
  <c r="AM635" i="1"/>
  <c r="AM636" i="1"/>
  <c r="AM637" i="1"/>
  <c r="AM638" i="1"/>
  <c r="AM639" i="1"/>
  <c r="AM640" i="1"/>
  <c r="AM641" i="1"/>
  <c r="AM642" i="1"/>
  <c r="AM643" i="1"/>
  <c r="AM644" i="1"/>
  <c r="AM645" i="1"/>
  <c r="AM646" i="1"/>
  <c r="AM647" i="1"/>
  <c r="AM648" i="1"/>
  <c r="AM649" i="1"/>
  <c r="AM650" i="1"/>
  <c r="AM651" i="1"/>
  <c r="AM652" i="1"/>
  <c r="AM653" i="1"/>
  <c r="AM654" i="1"/>
  <c r="AM655" i="1"/>
  <c r="AM656" i="1"/>
  <c r="AM657" i="1"/>
  <c r="AM658" i="1"/>
  <c r="AM659" i="1"/>
  <c r="AM660" i="1"/>
  <c r="AM661" i="1"/>
  <c r="AM662" i="1"/>
  <c r="AM663" i="1"/>
  <c r="AM664" i="1"/>
  <c r="AM665" i="1"/>
  <c r="AM666" i="1"/>
  <c r="AM667" i="1"/>
  <c r="AM668" i="1"/>
  <c r="AM669" i="1"/>
  <c r="AM670" i="1"/>
  <c r="AM671" i="1"/>
  <c r="AM672" i="1"/>
  <c r="AM673" i="1"/>
  <c r="AM674" i="1"/>
  <c r="AM675" i="1"/>
  <c r="AM676" i="1"/>
  <c r="AM677" i="1"/>
  <c r="AM678" i="1"/>
  <c r="AM679" i="1"/>
  <c r="AM680" i="1"/>
  <c r="AM681" i="1"/>
  <c r="AM682" i="1"/>
  <c r="AM683" i="1"/>
  <c r="AM684" i="1"/>
  <c r="AM685" i="1"/>
  <c r="AM686" i="1"/>
  <c r="AM687" i="1"/>
  <c r="AM688" i="1"/>
  <c r="AM689" i="1"/>
  <c r="AM690" i="1"/>
  <c r="AM691" i="1"/>
  <c r="AM692" i="1"/>
  <c r="AM693" i="1"/>
  <c r="AM694" i="1"/>
  <c r="AM695" i="1"/>
  <c r="AM696" i="1"/>
  <c r="AM697" i="1"/>
  <c r="AM698" i="1"/>
  <c r="AM699" i="1"/>
  <c r="AM700" i="1"/>
  <c r="AM701" i="1"/>
  <c r="AM702" i="1"/>
  <c r="Z10" i="1"/>
  <c r="Z3" i="1"/>
  <c r="Z4" i="1"/>
  <c r="Z5" i="1"/>
  <c r="Z8" i="1"/>
  <c r="Z11" i="1"/>
  <c r="Z13" i="1"/>
  <c r="Z15" i="1"/>
  <c r="Z17" i="1"/>
  <c r="Z12" i="1"/>
  <c r="Z21" i="1"/>
  <c r="Z23" i="1"/>
  <c r="Z25" i="1"/>
  <c r="Z26" i="1"/>
  <c r="Z27" i="1"/>
  <c r="Z28" i="1"/>
  <c r="Z6" i="1"/>
  <c r="Z7" i="1"/>
  <c r="Z9" i="1"/>
  <c r="Z19" i="1"/>
  <c r="Z14" i="1"/>
  <c r="Z16" i="1"/>
  <c r="Z18" i="1"/>
  <c r="Z20" i="1"/>
  <c r="Z22" i="1"/>
  <c r="Z24"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3" i="1"/>
  <c r="Z134" i="1"/>
  <c r="Z135" i="1"/>
  <c r="Z136" i="1"/>
  <c r="Z137" i="1"/>
  <c r="Z138" i="1"/>
  <c r="Z139" i="1"/>
  <c r="Z140" i="1"/>
  <c r="Z141" i="1"/>
  <c r="Z142"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200"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X10" i="1"/>
  <c r="X3" i="1"/>
  <c r="X4" i="1"/>
  <c r="X5" i="1"/>
  <c r="X8" i="1"/>
  <c r="X11" i="1"/>
  <c r="X13" i="1"/>
  <c r="X15" i="1"/>
  <c r="X17" i="1"/>
  <c r="X12" i="1"/>
  <c r="X21" i="1"/>
  <c r="X23" i="1"/>
  <c r="X25" i="1"/>
  <c r="X26" i="1"/>
  <c r="X27" i="1"/>
  <c r="X28" i="1"/>
  <c r="X6" i="1"/>
  <c r="X7" i="1"/>
  <c r="X9" i="1"/>
  <c r="X19" i="1"/>
  <c r="X14" i="1"/>
  <c r="X16" i="1"/>
  <c r="X18" i="1"/>
  <c r="X20" i="1"/>
  <c r="X22" i="1"/>
  <c r="X24"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139" i="1"/>
  <c r="X140" i="1"/>
  <c r="X141" i="1"/>
  <c r="X142" i="1"/>
  <c r="X143" i="1"/>
  <c r="X144" i="1"/>
  <c r="X145" i="1"/>
  <c r="X146" i="1"/>
  <c r="X147" i="1"/>
  <c r="X148" i="1"/>
  <c r="X149" i="1"/>
  <c r="X150" i="1"/>
  <c r="X151" i="1"/>
  <c r="X152" i="1"/>
  <c r="X153" i="1"/>
  <c r="X154" i="1"/>
  <c r="X155" i="1"/>
  <c r="X156" i="1"/>
  <c r="X157" i="1"/>
  <c r="X158" i="1"/>
  <c r="X159" i="1"/>
  <c r="X160" i="1"/>
  <c r="X161" i="1"/>
  <c r="X162" i="1"/>
  <c r="X163" i="1"/>
  <c r="X164" i="1"/>
  <c r="X165" i="1"/>
  <c r="X166" i="1"/>
  <c r="X167" i="1"/>
  <c r="X168" i="1"/>
  <c r="X169" i="1"/>
  <c r="X170" i="1"/>
  <c r="X171" i="1"/>
  <c r="X172" i="1"/>
  <c r="X173" i="1"/>
  <c r="X174" i="1"/>
  <c r="X175" i="1"/>
  <c r="X176" i="1"/>
  <c r="X177" i="1"/>
  <c r="X178" i="1"/>
  <c r="X179" i="1"/>
  <c r="X180" i="1"/>
  <c r="X181" i="1"/>
  <c r="X182" i="1"/>
  <c r="X183" i="1"/>
  <c r="X184" i="1"/>
  <c r="X185" i="1"/>
  <c r="X186" i="1"/>
  <c r="X187" i="1"/>
  <c r="X188" i="1"/>
  <c r="X189" i="1"/>
  <c r="X190" i="1"/>
  <c r="X191" i="1"/>
  <c r="X192" i="1"/>
  <c r="X193" i="1"/>
  <c r="X194" i="1"/>
  <c r="X195" i="1"/>
  <c r="X196" i="1"/>
  <c r="X197" i="1"/>
  <c r="X198" i="1"/>
  <c r="X199" i="1"/>
  <c r="X200" i="1"/>
  <c r="X201" i="1"/>
  <c r="X202" i="1"/>
  <c r="X203" i="1"/>
  <c r="X204" i="1"/>
  <c r="X205" i="1"/>
  <c r="X206" i="1"/>
  <c r="X207" i="1"/>
  <c r="X208" i="1"/>
  <c r="X209" i="1"/>
  <c r="X210" i="1"/>
  <c r="X211" i="1"/>
  <c r="X212" i="1"/>
  <c r="X213" i="1"/>
  <c r="X214" i="1"/>
  <c r="X215" i="1"/>
  <c r="X216" i="1"/>
  <c r="X217" i="1"/>
  <c r="X218" i="1"/>
  <c r="X219" i="1"/>
  <c r="X220" i="1"/>
  <c r="X221" i="1"/>
  <c r="X222" i="1"/>
  <c r="X223" i="1"/>
  <c r="X224" i="1"/>
  <c r="X225" i="1"/>
  <c r="X226" i="1"/>
  <c r="X227" i="1"/>
  <c r="X228" i="1"/>
  <c r="X229" i="1"/>
  <c r="X230" i="1"/>
  <c r="X231" i="1"/>
  <c r="X232" i="1"/>
  <c r="X233" i="1"/>
  <c r="X234" i="1"/>
  <c r="X235" i="1"/>
  <c r="X236" i="1"/>
  <c r="X237" i="1"/>
  <c r="X238" i="1"/>
  <c r="X239" i="1"/>
  <c r="X240" i="1"/>
  <c r="X241" i="1"/>
  <c r="X242" i="1"/>
  <c r="X243" i="1"/>
  <c r="X244" i="1"/>
  <c r="X245" i="1"/>
  <c r="X246" i="1"/>
  <c r="X247" i="1"/>
  <c r="X248" i="1"/>
  <c r="X249" i="1"/>
  <c r="X250" i="1"/>
  <c r="X251" i="1"/>
  <c r="X252" i="1"/>
  <c r="X253" i="1"/>
  <c r="X254" i="1"/>
  <c r="X255" i="1"/>
  <c r="X256" i="1"/>
  <c r="X257" i="1"/>
  <c r="X258" i="1"/>
  <c r="X259" i="1"/>
  <c r="X260" i="1"/>
  <c r="X261" i="1"/>
  <c r="X262" i="1"/>
  <c r="X263" i="1"/>
  <c r="X264" i="1"/>
  <c r="X265" i="1"/>
  <c r="X266" i="1"/>
  <c r="X267" i="1"/>
  <c r="X268" i="1"/>
  <c r="X269" i="1"/>
  <c r="X270" i="1"/>
  <c r="X271" i="1"/>
  <c r="X272" i="1"/>
  <c r="X273" i="1"/>
  <c r="X274" i="1"/>
  <c r="X275" i="1"/>
  <c r="X276" i="1"/>
  <c r="X277" i="1"/>
  <c r="X278" i="1"/>
  <c r="X279" i="1"/>
  <c r="X280" i="1"/>
  <c r="X281" i="1"/>
  <c r="X282" i="1"/>
  <c r="X283" i="1"/>
  <c r="X284" i="1"/>
  <c r="X285" i="1"/>
  <c r="X286" i="1"/>
  <c r="X287" i="1"/>
  <c r="X288" i="1"/>
  <c r="X289" i="1"/>
  <c r="X290" i="1"/>
  <c r="X291" i="1"/>
  <c r="X292" i="1"/>
  <c r="X293" i="1"/>
  <c r="X294" i="1"/>
  <c r="X295" i="1"/>
  <c r="X296" i="1"/>
  <c r="X297" i="1"/>
  <c r="X298" i="1"/>
  <c r="X299" i="1"/>
  <c r="X300" i="1"/>
  <c r="X301" i="1"/>
  <c r="X302" i="1"/>
  <c r="X303" i="1"/>
  <c r="X304" i="1"/>
  <c r="X305" i="1"/>
  <c r="X306" i="1"/>
  <c r="X307" i="1"/>
  <c r="X308" i="1"/>
  <c r="X309" i="1"/>
  <c r="X310" i="1"/>
  <c r="X311" i="1"/>
  <c r="X312" i="1"/>
  <c r="X313" i="1"/>
  <c r="X314" i="1"/>
  <c r="X315" i="1"/>
  <c r="X316" i="1"/>
  <c r="X317" i="1"/>
  <c r="X318" i="1"/>
  <c r="X319" i="1"/>
  <c r="X320" i="1"/>
  <c r="X321" i="1"/>
  <c r="X322" i="1"/>
  <c r="X323" i="1"/>
  <c r="X324" i="1"/>
  <c r="X325" i="1"/>
  <c r="X326" i="1"/>
  <c r="X327" i="1"/>
  <c r="X328" i="1"/>
  <c r="X329" i="1"/>
  <c r="X330" i="1"/>
  <c r="X331" i="1"/>
  <c r="X332" i="1"/>
  <c r="X333" i="1"/>
  <c r="X334" i="1"/>
  <c r="X335" i="1"/>
  <c r="X336" i="1"/>
  <c r="X337" i="1"/>
  <c r="X338" i="1"/>
  <c r="X339" i="1"/>
  <c r="X340" i="1"/>
  <c r="X341" i="1"/>
  <c r="X342" i="1"/>
  <c r="X343" i="1"/>
  <c r="X344" i="1"/>
  <c r="X345" i="1"/>
  <c r="X346" i="1"/>
  <c r="X347" i="1"/>
  <c r="X348" i="1"/>
  <c r="X349" i="1"/>
  <c r="X350" i="1"/>
  <c r="X351" i="1"/>
  <c r="X352" i="1"/>
  <c r="X353" i="1"/>
  <c r="X354" i="1"/>
  <c r="X355" i="1"/>
  <c r="X356" i="1"/>
  <c r="X357" i="1"/>
  <c r="X358" i="1"/>
  <c r="X359" i="1"/>
  <c r="X360" i="1"/>
  <c r="X361" i="1"/>
  <c r="X362" i="1"/>
  <c r="X363" i="1"/>
  <c r="X364" i="1"/>
  <c r="X365" i="1"/>
  <c r="X366" i="1"/>
  <c r="X367" i="1"/>
  <c r="X368" i="1"/>
  <c r="X369" i="1"/>
  <c r="X370" i="1"/>
  <c r="X371" i="1"/>
  <c r="X372" i="1"/>
  <c r="X373" i="1"/>
  <c r="X374" i="1"/>
  <c r="X375" i="1"/>
  <c r="X376" i="1"/>
  <c r="X377" i="1"/>
  <c r="X378" i="1"/>
  <c r="X379" i="1"/>
  <c r="X380" i="1"/>
  <c r="X381" i="1"/>
  <c r="X382" i="1"/>
  <c r="X383" i="1"/>
  <c r="X384" i="1"/>
  <c r="X385" i="1"/>
  <c r="X386" i="1"/>
  <c r="X387" i="1"/>
  <c r="X388" i="1"/>
  <c r="X389" i="1"/>
  <c r="X390" i="1"/>
  <c r="X391" i="1"/>
  <c r="X392" i="1"/>
  <c r="X393" i="1"/>
  <c r="X394" i="1"/>
  <c r="X395" i="1"/>
  <c r="X396" i="1"/>
  <c r="X397" i="1"/>
  <c r="X398" i="1"/>
  <c r="X399" i="1"/>
  <c r="X400" i="1"/>
  <c r="X401" i="1"/>
  <c r="X402" i="1"/>
  <c r="X403" i="1"/>
  <c r="X404" i="1"/>
  <c r="X405" i="1"/>
  <c r="X406" i="1"/>
  <c r="X407" i="1"/>
  <c r="X408" i="1"/>
  <c r="X409" i="1"/>
  <c r="X410" i="1"/>
  <c r="X411" i="1"/>
  <c r="X412" i="1"/>
  <c r="X413" i="1"/>
  <c r="X414" i="1"/>
  <c r="X415" i="1"/>
  <c r="X416" i="1"/>
  <c r="X417" i="1"/>
  <c r="X418" i="1"/>
  <c r="X419" i="1"/>
  <c r="X420" i="1"/>
  <c r="X421" i="1"/>
  <c r="X422" i="1"/>
  <c r="X423" i="1"/>
  <c r="X424" i="1"/>
  <c r="X425" i="1"/>
  <c r="X426" i="1"/>
  <c r="X427" i="1"/>
  <c r="X428" i="1"/>
  <c r="X429" i="1"/>
  <c r="X430" i="1"/>
  <c r="X431" i="1"/>
  <c r="X432" i="1"/>
  <c r="X433" i="1"/>
  <c r="X434" i="1"/>
  <c r="X435" i="1"/>
  <c r="X436" i="1"/>
  <c r="X437" i="1"/>
  <c r="X438" i="1"/>
  <c r="X439" i="1"/>
  <c r="X440" i="1"/>
  <c r="X441" i="1"/>
  <c r="X442" i="1"/>
  <c r="X443" i="1"/>
  <c r="X444" i="1"/>
  <c r="X445" i="1"/>
  <c r="X446" i="1"/>
  <c r="X447" i="1"/>
  <c r="X448" i="1"/>
  <c r="X449" i="1"/>
  <c r="X450" i="1"/>
  <c r="X451" i="1"/>
  <c r="X452" i="1"/>
  <c r="X453" i="1"/>
  <c r="X454" i="1"/>
  <c r="X455" i="1"/>
  <c r="X456" i="1"/>
  <c r="X457" i="1"/>
  <c r="X458" i="1"/>
  <c r="X459" i="1"/>
  <c r="X460" i="1"/>
  <c r="X461" i="1"/>
  <c r="X462" i="1"/>
  <c r="X463" i="1"/>
  <c r="X464" i="1"/>
  <c r="X465" i="1"/>
  <c r="X466" i="1"/>
  <c r="X467" i="1"/>
  <c r="X468" i="1"/>
  <c r="X469" i="1"/>
  <c r="X470" i="1"/>
  <c r="X471" i="1"/>
  <c r="X472" i="1"/>
  <c r="X473" i="1"/>
  <c r="X474" i="1"/>
  <c r="X475" i="1"/>
  <c r="X476" i="1"/>
  <c r="X477" i="1"/>
  <c r="X478" i="1"/>
  <c r="X479" i="1"/>
  <c r="X480" i="1"/>
  <c r="X481" i="1"/>
  <c r="X482" i="1"/>
  <c r="X483" i="1"/>
  <c r="X484" i="1"/>
  <c r="X485" i="1"/>
  <c r="X486" i="1"/>
  <c r="X487" i="1"/>
  <c r="X488" i="1"/>
  <c r="X489" i="1"/>
  <c r="X490" i="1"/>
  <c r="X491" i="1"/>
  <c r="X492" i="1"/>
  <c r="X493" i="1"/>
  <c r="X494" i="1"/>
  <c r="X495" i="1"/>
  <c r="X496" i="1"/>
  <c r="X497" i="1"/>
  <c r="X498" i="1"/>
  <c r="X499" i="1"/>
  <c r="X500" i="1"/>
  <c r="X501" i="1"/>
  <c r="X502" i="1"/>
  <c r="X503" i="1"/>
  <c r="X504" i="1"/>
  <c r="X505" i="1"/>
  <c r="X506" i="1"/>
  <c r="X507" i="1"/>
  <c r="X508" i="1"/>
  <c r="X509" i="1"/>
  <c r="X510" i="1"/>
  <c r="X511" i="1"/>
  <c r="X512" i="1"/>
  <c r="X513" i="1"/>
  <c r="X514" i="1"/>
  <c r="X515" i="1"/>
  <c r="X516" i="1"/>
  <c r="X517" i="1"/>
  <c r="X518" i="1"/>
  <c r="X519" i="1"/>
  <c r="X520" i="1"/>
  <c r="X521" i="1"/>
  <c r="X522" i="1"/>
  <c r="X523" i="1"/>
  <c r="X524" i="1"/>
  <c r="X525" i="1"/>
  <c r="X526" i="1"/>
  <c r="X527" i="1"/>
  <c r="X528" i="1"/>
  <c r="X529" i="1"/>
  <c r="X530" i="1"/>
  <c r="X531" i="1"/>
  <c r="X532" i="1"/>
  <c r="X533" i="1"/>
  <c r="X534" i="1"/>
  <c r="X535" i="1"/>
  <c r="X536" i="1"/>
  <c r="X537" i="1"/>
  <c r="X538" i="1"/>
  <c r="X539" i="1"/>
  <c r="X540" i="1"/>
  <c r="X541" i="1"/>
  <c r="X542" i="1"/>
  <c r="X543" i="1"/>
  <c r="X544" i="1"/>
  <c r="X545" i="1"/>
  <c r="X546" i="1"/>
  <c r="X547" i="1"/>
  <c r="X548" i="1"/>
  <c r="X549" i="1"/>
  <c r="X550" i="1"/>
  <c r="X551" i="1"/>
  <c r="X552" i="1"/>
  <c r="X553" i="1"/>
  <c r="X554" i="1"/>
  <c r="X555" i="1"/>
  <c r="X556" i="1"/>
  <c r="X557" i="1"/>
  <c r="X558" i="1"/>
  <c r="X559" i="1"/>
  <c r="X560" i="1"/>
  <c r="X561" i="1"/>
  <c r="X562" i="1"/>
  <c r="X563" i="1"/>
  <c r="X564" i="1"/>
  <c r="X565" i="1"/>
  <c r="X566" i="1"/>
  <c r="X567" i="1"/>
  <c r="X568" i="1"/>
  <c r="X569" i="1"/>
  <c r="X570" i="1"/>
  <c r="X571" i="1"/>
  <c r="X572" i="1"/>
  <c r="X573" i="1"/>
  <c r="X574" i="1"/>
  <c r="X575" i="1"/>
  <c r="X576" i="1"/>
  <c r="X577" i="1"/>
  <c r="X578" i="1"/>
  <c r="X579" i="1"/>
  <c r="X580" i="1"/>
  <c r="X581" i="1"/>
  <c r="X582" i="1"/>
  <c r="X583" i="1"/>
  <c r="X584" i="1"/>
  <c r="X585" i="1"/>
  <c r="X586" i="1"/>
  <c r="X587" i="1"/>
  <c r="X588" i="1"/>
  <c r="X589" i="1"/>
  <c r="X590" i="1"/>
  <c r="X591" i="1"/>
  <c r="X592" i="1"/>
  <c r="X593" i="1"/>
  <c r="X594" i="1"/>
  <c r="X595" i="1"/>
  <c r="X596" i="1"/>
  <c r="X597" i="1"/>
  <c r="X598" i="1"/>
  <c r="X599" i="1"/>
  <c r="X600" i="1"/>
  <c r="X601" i="1"/>
  <c r="X602" i="1"/>
  <c r="X603" i="1"/>
  <c r="X604" i="1"/>
  <c r="X605" i="1"/>
  <c r="X606" i="1"/>
  <c r="X607" i="1"/>
  <c r="X608" i="1"/>
  <c r="X609" i="1"/>
  <c r="X610" i="1"/>
  <c r="X611" i="1"/>
  <c r="X612" i="1"/>
  <c r="X613" i="1"/>
  <c r="X614" i="1"/>
  <c r="X615" i="1"/>
  <c r="X616" i="1"/>
  <c r="X617" i="1"/>
  <c r="X618" i="1"/>
  <c r="X619" i="1"/>
  <c r="X620" i="1"/>
  <c r="X621" i="1"/>
  <c r="X622" i="1"/>
  <c r="X623" i="1"/>
  <c r="X624" i="1"/>
  <c r="X625" i="1"/>
  <c r="X626" i="1"/>
  <c r="X627" i="1"/>
  <c r="X628" i="1"/>
  <c r="X629" i="1"/>
  <c r="X630" i="1"/>
  <c r="X631" i="1"/>
  <c r="X632" i="1"/>
  <c r="X633" i="1"/>
  <c r="X634" i="1"/>
  <c r="X635" i="1"/>
  <c r="X636" i="1"/>
  <c r="X637" i="1"/>
  <c r="X638" i="1"/>
  <c r="X639" i="1"/>
  <c r="X640" i="1"/>
  <c r="X641" i="1"/>
  <c r="X642" i="1"/>
  <c r="X643" i="1"/>
  <c r="X644" i="1"/>
  <c r="X645" i="1"/>
  <c r="X646" i="1"/>
  <c r="X647" i="1"/>
  <c r="X648" i="1"/>
  <c r="X649" i="1"/>
  <c r="X650" i="1"/>
  <c r="X651" i="1"/>
  <c r="X652" i="1"/>
  <c r="X653" i="1"/>
  <c r="X654" i="1"/>
  <c r="X655" i="1"/>
  <c r="X656" i="1"/>
  <c r="X657" i="1"/>
  <c r="X658" i="1"/>
  <c r="X659" i="1"/>
  <c r="X660" i="1"/>
  <c r="X661" i="1"/>
  <c r="X662" i="1"/>
  <c r="X663" i="1"/>
  <c r="X664" i="1"/>
  <c r="X665" i="1"/>
  <c r="X666" i="1"/>
  <c r="X667" i="1"/>
  <c r="X668" i="1"/>
  <c r="X669" i="1"/>
  <c r="X670" i="1"/>
  <c r="X671" i="1"/>
  <c r="X672" i="1"/>
  <c r="X673" i="1"/>
  <c r="X674" i="1"/>
  <c r="X675" i="1"/>
  <c r="X676" i="1"/>
  <c r="X677" i="1"/>
  <c r="X678" i="1"/>
  <c r="X679" i="1"/>
  <c r="X680" i="1"/>
  <c r="X681" i="1"/>
  <c r="X682" i="1"/>
  <c r="X683" i="1"/>
  <c r="X684" i="1"/>
  <c r="X685" i="1"/>
  <c r="X686" i="1"/>
  <c r="X687" i="1"/>
  <c r="X688" i="1"/>
  <c r="X689" i="1"/>
  <c r="X690" i="1"/>
  <c r="X691" i="1"/>
  <c r="X692" i="1"/>
  <c r="X693" i="1"/>
  <c r="X694" i="1"/>
  <c r="X695" i="1"/>
  <c r="X696" i="1"/>
  <c r="X697" i="1"/>
  <c r="X698" i="1"/>
  <c r="X699" i="1"/>
  <c r="X700" i="1"/>
  <c r="X701" i="1"/>
  <c r="X702" i="1"/>
  <c r="AQ3" i="1"/>
  <c r="AQ13" i="1"/>
  <c r="AQ28" i="1"/>
  <c r="AQ20" i="1"/>
  <c r="AQ32" i="1"/>
  <c r="AQ36" i="1"/>
  <c r="AQ44" i="1"/>
  <c r="AQ48" i="1"/>
  <c r="AQ64" i="1"/>
  <c r="AQ68" i="1"/>
  <c r="AQ72" i="1"/>
  <c r="AQ84" i="1"/>
  <c r="AQ96" i="1"/>
  <c r="AQ100" i="1"/>
  <c r="AQ108" i="1"/>
  <c r="AQ112" i="1"/>
  <c r="AQ128" i="1"/>
  <c r="AQ132" i="1"/>
  <c r="AQ136" i="1"/>
  <c r="AQ137" i="1"/>
  <c r="AQ148" i="1"/>
  <c r="AQ160" i="1"/>
  <c r="AQ164" i="1"/>
  <c r="AQ168" i="1"/>
  <c r="AQ172" i="1"/>
  <c r="AQ176" i="1"/>
  <c r="AQ180" i="1"/>
  <c r="AQ184" i="1"/>
  <c r="AQ188" i="1"/>
  <c r="AQ192" i="1"/>
  <c r="AQ196" i="1"/>
  <c r="AQ200" i="1"/>
  <c r="AQ204" i="1"/>
  <c r="AQ212" i="1"/>
  <c r="AQ220" i="1"/>
  <c r="AQ228" i="1"/>
  <c r="AQ236" i="1"/>
  <c r="AQ244" i="1"/>
  <c r="AQ252" i="1"/>
  <c r="AQ260" i="1"/>
  <c r="AQ268" i="1"/>
  <c r="AQ276" i="1"/>
  <c r="AQ284" i="1"/>
  <c r="AQ292" i="1"/>
  <c r="AQ300" i="1"/>
  <c r="AQ308" i="1"/>
  <c r="AQ316" i="1"/>
  <c r="AQ324" i="1"/>
  <c r="AQ332" i="1"/>
  <c r="AQ340" i="1"/>
  <c r="AQ348" i="1"/>
  <c r="AQ356" i="1"/>
  <c r="AQ364" i="1"/>
  <c r="AQ372" i="1"/>
  <c r="AQ380" i="1"/>
  <c r="AQ388" i="1"/>
  <c r="AQ396" i="1"/>
  <c r="AQ404" i="1"/>
  <c r="AQ412" i="1"/>
  <c r="AQ420" i="1"/>
  <c r="AQ428" i="1"/>
  <c r="AQ436" i="1"/>
  <c r="AQ444" i="1"/>
  <c r="AQ452" i="1"/>
  <c r="AQ460" i="1"/>
  <c r="AQ468" i="1"/>
  <c r="AQ476" i="1"/>
  <c r="AQ484" i="1"/>
  <c r="AQ492" i="1"/>
  <c r="AQ500" i="1"/>
  <c r="AQ508" i="1"/>
  <c r="AQ516" i="1"/>
  <c r="AQ524" i="1"/>
  <c r="AQ532" i="1"/>
  <c r="AQ540" i="1"/>
  <c r="AQ548" i="1"/>
  <c r="AQ556" i="1"/>
  <c r="AQ564" i="1"/>
  <c r="AQ572" i="1"/>
  <c r="AQ580" i="1"/>
  <c r="AQ588" i="1"/>
  <c r="AQ596" i="1"/>
  <c r="AQ604" i="1"/>
  <c r="AQ612" i="1"/>
  <c r="AQ620" i="1"/>
  <c r="AQ628" i="1"/>
  <c r="AQ636" i="1"/>
  <c r="AQ644" i="1"/>
  <c r="AQ652" i="1"/>
  <c r="AQ660" i="1"/>
  <c r="AQ668" i="1"/>
  <c r="AQ676" i="1"/>
  <c r="AQ684" i="1"/>
  <c r="AQ692" i="1"/>
  <c r="AQ700" i="1"/>
  <c r="AQ688" i="1" l="1"/>
  <c r="AQ656" i="1"/>
  <c r="AQ624" i="1"/>
  <c r="AQ592" i="1"/>
  <c r="AQ560" i="1"/>
  <c r="AQ528" i="1"/>
  <c r="AQ496" i="1"/>
  <c r="AQ464" i="1"/>
  <c r="AQ432" i="1"/>
  <c r="AQ400" i="1"/>
  <c r="AQ368" i="1"/>
  <c r="AQ336" i="1"/>
  <c r="AQ304" i="1"/>
  <c r="AQ272" i="1"/>
  <c r="AQ240" i="1"/>
  <c r="AQ208" i="1"/>
  <c r="AQ648" i="1"/>
  <c r="AQ584" i="1"/>
  <c r="AQ488" i="1"/>
  <c r="AQ392" i="1"/>
  <c r="AQ264" i="1"/>
  <c r="AQ680" i="1"/>
  <c r="AQ616" i="1"/>
  <c r="AQ552" i="1"/>
  <c r="AQ520" i="1"/>
  <c r="AQ456" i="1"/>
  <c r="AQ424" i="1"/>
  <c r="AQ360" i="1"/>
  <c r="AQ328" i="1"/>
  <c r="AQ296" i="1"/>
  <c r="AQ232" i="1"/>
  <c r="AQ672" i="1"/>
  <c r="AQ640" i="1"/>
  <c r="AQ608" i="1"/>
  <c r="AQ576" i="1"/>
  <c r="AQ544" i="1"/>
  <c r="AQ512" i="1"/>
  <c r="AQ480" i="1"/>
  <c r="AQ448" i="1"/>
  <c r="AQ416" i="1"/>
  <c r="AQ384" i="1"/>
  <c r="AQ352" i="1"/>
  <c r="AQ320" i="1"/>
  <c r="AQ288" i="1"/>
  <c r="AQ256" i="1"/>
  <c r="AQ224" i="1"/>
  <c r="AQ696" i="1"/>
  <c r="AQ664" i="1"/>
  <c r="AQ632" i="1"/>
  <c r="AQ600" i="1"/>
  <c r="AQ568" i="1"/>
  <c r="AQ536" i="1"/>
  <c r="AQ504" i="1"/>
  <c r="AQ472" i="1"/>
  <c r="AQ440" i="1"/>
  <c r="AQ408" i="1"/>
  <c r="AQ376" i="1"/>
  <c r="AQ344" i="1"/>
  <c r="AQ312" i="1"/>
  <c r="AQ280" i="1"/>
  <c r="AQ248" i="1"/>
  <c r="AQ216" i="1"/>
  <c r="D48" i="3"/>
  <c r="D22" i="3"/>
  <c r="W39" i="1"/>
  <c r="D38" i="3"/>
  <c r="D21" i="3"/>
  <c r="D40" i="3"/>
  <c r="AQ310" i="1"/>
  <c r="D20" i="3"/>
  <c r="D29" i="3"/>
  <c r="D28" i="3"/>
  <c r="D4" i="3"/>
  <c r="AQ590" i="1"/>
  <c r="AQ430" i="1"/>
  <c r="AQ302" i="1"/>
  <c r="AQ14" i="1"/>
  <c r="AQ454" i="1"/>
  <c r="AQ174" i="1"/>
  <c r="AQ182" i="1"/>
  <c r="D5" i="3" a="1"/>
  <c r="D5" i="3" s="1"/>
  <c r="AQ686" i="1"/>
  <c r="AQ614" i="1"/>
  <c r="AQ478" i="1"/>
  <c r="AQ366" i="1"/>
  <c r="AQ238" i="1"/>
  <c r="AQ114" i="1"/>
  <c r="AQ638" i="1"/>
  <c r="AQ374" i="1"/>
  <c r="AQ246" i="1"/>
  <c r="AQ90" i="1"/>
  <c r="AQ558" i="1"/>
  <c r="AQ486" i="1"/>
  <c r="AQ462" i="1"/>
  <c r="AQ398" i="1"/>
  <c r="AQ334" i="1"/>
  <c r="AQ270" i="1"/>
  <c r="AQ206" i="1"/>
  <c r="AQ146" i="1"/>
  <c r="AQ54" i="1"/>
  <c r="AQ606" i="1"/>
  <c r="AQ582" i="1"/>
  <c r="AQ510" i="1"/>
  <c r="AQ406" i="1"/>
  <c r="AQ342" i="1"/>
  <c r="AQ278" i="1"/>
  <c r="AQ214" i="1"/>
  <c r="AQ118" i="1"/>
  <c r="AQ50" i="1"/>
  <c r="AQ542" i="1"/>
  <c r="AQ518" i="1"/>
  <c r="AQ494" i="1"/>
  <c r="AQ382" i="1"/>
  <c r="AQ286" i="1"/>
  <c r="AQ222" i="1"/>
  <c r="AQ158" i="1"/>
  <c r="AQ130" i="1"/>
  <c r="AQ66" i="1"/>
  <c r="AQ670" i="1"/>
  <c r="AQ646" i="1"/>
  <c r="AQ622" i="1"/>
  <c r="AQ414" i="1"/>
  <c r="AQ350" i="1"/>
  <c r="AQ318" i="1"/>
  <c r="AQ254" i="1"/>
  <c r="AQ190" i="1"/>
  <c r="AQ142" i="1"/>
  <c r="AQ82" i="1"/>
  <c r="AQ702" i="1"/>
  <c r="AQ678" i="1"/>
  <c r="AQ654" i="1"/>
  <c r="AQ574" i="1"/>
  <c r="AQ550" i="1"/>
  <c r="AQ526" i="1"/>
  <c r="AQ446" i="1"/>
  <c r="AQ422" i="1"/>
  <c r="AQ390" i="1"/>
  <c r="AQ358" i="1"/>
  <c r="AQ326" i="1"/>
  <c r="AQ294" i="1"/>
  <c r="AQ262" i="1"/>
  <c r="AQ230" i="1"/>
  <c r="AQ198" i="1"/>
  <c r="AQ166" i="1"/>
  <c r="AQ154" i="1"/>
  <c r="AQ110" i="1"/>
  <c r="AQ94" i="1"/>
  <c r="AQ78" i="1"/>
  <c r="AQ46" i="1"/>
  <c r="AQ30" i="1"/>
  <c r="AQ123" i="1"/>
  <c r="AQ694" i="1"/>
  <c r="AQ662" i="1"/>
  <c r="AQ630" i="1"/>
  <c r="AQ598" i="1"/>
  <c r="AQ566" i="1"/>
  <c r="AQ534" i="1"/>
  <c r="AQ502" i="1"/>
  <c r="AQ470" i="1"/>
  <c r="AQ438" i="1"/>
  <c r="AQ59" i="1"/>
  <c r="AQ27" i="1"/>
  <c r="AQ699" i="1"/>
  <c r="AQ155" i="1"/>
  <c r="AQ691" i="1"/>
  <c r="AQ683" i="1"/>
  <c r="AQ675" i="1"/>
  <c r="AQ667" i="1"/>
  <c r="AQ659" i="1"/>
  <c r="AQ651" i="1"/>
  <c r="AQ643" i="1"/>
  <c r="AQ635" i="1"/>
  <c r="AQ627" i="1"/>
  <c r="AQ619" i="1"/>
  <c r="AQ611" i="1"/>
  <c r="AQ603" i="1"/>
  <c r="AQ595" i="1"/>
  <c r="AQ587" i="1"/>
  <c r="AQ579" i="1"/>
  <c r="AQ571" i="1"/>
  <c r="AQ563" i="1"/>
  <c r="AQ555" i="1"/>
  <c r="AQ547" i="1"/>
  <c r="AQ539" i="1"/>
  <c r="AQ531" i="1"/>
  <c r="AQ523" i="1"/>
  <c r="AQ515" i="1"/>
  <c r="AQ507" i="1"/>
  <c r="AQ499" i="1"/>
  <c r="AQ491" i="1"/>
  <c r="AQ483" i="1"/>
  <c r="AQ475" i="1"/>
  <c r="AQ467" i="1"/>
  <c r="AQ459" i="1"/>
  <c r="AQ451" i="1"/>
  <c r="AQ443" i="1"/>
  <c r="AQ435" i="1"/>
  <c r="AQ427" i="1"/>
  <c r="AQ419" i="1"/>
  <c r="AQ411" i="1"/>
  <c r="AQ403" i="1"/>
  <c r="AQ395" i="1"/>
  <c r="AQ387" i="1"/>
  <c r="AQ379" i="1"/>
  <c r="AQ371" i="1"/>
  <c r="AQ363" i="1"/>
  <c r="AQ355" i="1"/>
  <c r="AQ347" i="1"/>
  <c r="AQ339" i="1"/>
  <c r="AQ331" i="1"/>
  <c r="AQ323" i="1"/>
  <c r="AQ315" i="1"/>
  <c r="AQ307" i="1"/>
  <c r="AQ299" i="1"/>
  <c r="AQ291" i="1"/>
  <c r="AQ283" i="1"/>
  <c r="AQ275" i="1"/>
  <c r="AQ267" i="1"/>
  <c r="AQ259" i="1"/>
  <c r="AQ251" i="1"/>
  <c r="AQ243" i="1"/>
  <c r="AQ235" i="1"/>
  <c r="AQ227" i="1"/>
  <c r="AQ219" i="1"/>
  <c r="AQ211" i="1"/>
  <c r="AQ203" i="1"/>
  <c r="AQ195" i="1"/>
  <c r="AQ187" i="1"/>
  <c r="AQ179" i="1"/>
  <c r="AQ171" i="1"/>
  <c r="AQ163" i="1"/>
  <c r="AQ139" i="1"/>
  <c r="AQ91" i="1"/>
  <c r="AQ695" i="1"/>
  <c r="AQ99" i="1"/>
  <c r="AQ75" i="1"/>
  <c r="AQ35" i="1"/>
  <c r="AQ11" i="1"/>
  <c r="AQ87" i="1"/>
  <c r="AQ7" i="1"/>
  <c r="AQ127" i="1"/>
  <c r="AQ103" i="1"/>
  <c r="AQ63" i="1"/>
  <c r="AQ39" i="1"/>
  <c r="AQ151" i="1"/>
  <c r="AQ687" i="1"/>
  <c r="AQ119" i="1"/>
  <c r="AQ55" i="1"/>
  <c r="AQ23" i="1"/>
  <c r="J22" i="3"/>
  <c r="J21" i="3"/>
  <c r="J20" i="3"/>
  <c r="AQ22" i="1"/>
  <c r="AQ145" i="1"/>
  <c r="W145" i="1"/>
  <c r="AP145" i="1" s="1"/>
  <c r="AQ121" i="1"/>
  <c r="W121" i="1"/>
  <c r="AP121" i="1" s="1"/>
  <c r="AQ105" i="1"/>
  <c r="W105" i="1"/>
  <c r="AP105" i="1" s="1"/>
  <c r="AQ81" i="1"/>
  <c r="W81" i="1"/>
  <c r="AP81" i="1" s="1"/>
  <c r="AQ73" i="1"/>
  <c r="W73" i="1"/>
  <c r="AP73" i="1" s="1"/>
  <c r="AQ57" i="1"/>
  <c r="W57" i="1"/>
  <c r="AQ41" i="1"/>
  <c r="W41" i="1"/>
  <c r="AQ17" i="1"/>
  <c r="W17" i="1"/>
  <c r="AP17" i="1" s="1"/>
  <c r="AQ681" i="1"/>
  <c r="AP681" i="1"/>
  <c r="AQ657" i="1"/>
  <c r="AP657" i="1"/>
  <c r="AQ633" i="1"/>
  <c r="AP633" i="1"/>
  <c r="AQ609" i="1"/>
  <c r="AP609" i="1"/>
  <c r="AQ585" i="1"/>
  <c r="AP585" i="1"/>
  <c r="AQ561" i="1"/>
  <c r="AP561" i="1"/>
  <c r="AQ537" i="1"/>
  <c r="AP537" i="1"/>
  <c r="AQ513" i="1"/>
  <c r="AP513" i="1"/>
  <c r="AQ489" i="1"/>
  <c r="AP489" i="1"/>
  <c r="AQ465" i="1"/>
  <c r="AP465" i="1"/>
  <c r="AQ441" i="1"/>
  <c r="AP441" i="1"/>
  <c r="AQ417" i="1"/>
  <c r="AP417" i="1"/>
  <c r="AQ401" i="1"/>
  <c r="AP401" i="1"/>
  <c r="AQ353" i="1"/>
  <c r="AP353" i="1"/>
  <c r="AQ679" i="1"/>
  <c r="AP679" i="1"/>
  <c r="AQ671" i="1"/>
  <c r="AP671" i="1"/>
  <c r="AQ663" i="1"/>
  <c r="AP663" i="1"/>
  <c r="AQ655" i="1"/>
  <c r="AP655" i="1"/>
  <c r="AQ647" i="1"/>
  <c r="AP647" i="1"/>
  <c r="AQ639" i="1"/>
  <c r="AP639" i="1"/>
  <c r="AQ631" i="1"/>
  <c r="AP631" i="1"/>
  <c r="AQ623" i="1"/>
  <c r="AP623" i="1"/>
  <c r="AQ615" i="1"/>
  <c r="AP615" i="1"/>
  <c r="AQ607" i="1"/>
  <c r="AP607" i="1"/>
  <c r="AQ599" i="1"/>
  <c r="AP599" i="1"/>
  <c r="AQ591" i="1"/>
  <c r="AP591" i="1"/>
  <c r="AQ583" i="1"/>
  <c r="AP583" i="1"/>
  <c r="AQ575" i="1"/>
  <c r="AP575" i="1"/>
  <c r="AQ567" i="1"/>
  <c r="AP567" i="1"/>
  <c r="AQ559" i="1"/>
  <c r="AP559" i="1"/>
  <c r="AQ551" i="1"/>
  <c r="AP551" i="1"/>
  <c r="AQ543" i="1"/>
  <c r="AP543" i="1"/>
  <c r="AQ535" i="1"/>
  <c r="AP535" i="1"/>
  <c r="AQ527" i="1"/>
  <c r="AP527" i="1"/>
  <c r="AQ519" i="1"/>
  <c r="AP519" i="1"/>
  <c r="AQ511" i="1"/>
  <c r="AP511" i="1"/>
  <c r="AQ503" i="1"/>
  <c r="AP503" i="1"/>
  <c r="AQ495" i="1"/>
  <c r="AP495" i="1"/>
  <c r="AQ487" i="1"/>
  <c r="AP487" i="1"/>
  <c r="AQ479" i="1"/>
  <c r="AP479" i="1"/>
  <c r="AQ471" i="1"/>
  <c r="AP471" i="1"/>
  <c r="AQ463" i="1"/>
  <c r="AP463" i="1"/>
  <c r="AQ455" i="1"/>
  <c r="AP455" i="1"/>
  <c r="AQ447" i="1"/>
  <c r="AP447" i="1"/>
  <c r="AQ439" i="1"/>
  <c r="AP439" i="1"/>
  <c r="AQ431" i="1"/>
  <c r="AP431" i="1"/>
  <c r="AQ423" i="1"/>
  <c r="AP423" i="1"/>
  <c r="AQ415" i="1"/>
  <c r="AP415" i="1"/>
  <c r="AQ407" i="1"/>
  <c r="AP407" i="1"/>
  <c r="AQ399" i="1"/>
  <c r="AP399" i="1"/>
  <c r="AQ391" i="1"/>
  <c r="AP391" i="1"/>
  <c r="AQ383" i="1"/>
  <c r="AP383" i="1"/>
  <c r="AQ375" i="1"/>
  <c r="AP375" i="1"/>
  <c r="AQ367" i="1"/>
  <c r="AP367" i="1"/>
  <c r="AQ359" i="1"/>
  <c r="AP359" i="1"/>
  <c r="AQ351" i="1"/>
  <c r="AP351" i="1"/>
  <c r="AQ343" i="1"/>
  <c r="AP343" i="1"/>
  <c r="AQ335" i="1"/>
  <c r="AP335" i="1"/>
  <c r="AQ327" i="1"/>
  <c r="AP327" i="1"/>
  <c r="AQ319" i="1"/>
  <c r="AP319" i="1"/>
  <c r="AQ311" i="1"/>
  <c r="AP311" i="1"/>
  <c r="AQ303" i="1"/>
  <c r="AP303" i="1"/>
  <c r="AQ295" i="1"/>
  <c r="AP295" i="1"/>
  <c r="AQ287" i="1"/>
  <c r="AP287" i="1"/>
  <c r="AQ279" i="1"/>
  <c r="AP279" i="1"/>
  <c r="AQ271" i="1"/>
  <c r="AP271" i="1"/>
  <c r="AQ263" i="1"/>
  <c r="AP263" i="1"/>
  <c r="AQ255" i="1"/>
  <c r="AP255" i="1"/>
  <c r="AQ247" i="1"/>
  <c r="AP247" i="1"/>
  <c r="AQ239" i="1"/>
  <c r="AP239" i="1"/>
  <c r="AQ231" i="1"/>
  <c r="AP231" i="1"/>
  <c r="AQ223" i="1"/>
  <c r="AP223" i="1"/>
  <c r="AQ215" i="1"/>
  <c r="AP215" i="1"/>
  <c r="AQ207" i="1"/>
  <c r="AP207" i="1"/>
  <c r="AQ199" i="1"/>
  <c r="AP199" i="1"/>
  <c r="AQ191" i="1"/>
  <c r="AP191" i="1"/>
  <c r="AQ183" i="1"/>
  <c r="AP183" i="1"/>
  <c r="AQ175" i="1"/>
  <c r="AP175" i="1"/>
  <c r="AQ167" i="1"/>
  <c r="AP167" i="1"/>
  <c r="AQ159" i="1"/>
  <c r="AP159" i="1"/>
  <c r="AQ143" i="1"/>
  <c r="AP143" i="1"/>
  <c r="AQ135" i="1"/>
  <c r="AP135" i="1"/>
  <c r="AQ111" i="1"/>
  <c r="AP111" i="1"/>
  <c r="AQ95" i="1"/>
  <c r="AP95" i="1"/>
  <c r="AQ79" i="1"/>
  <c r="AP79" i="1"/>
  <c r="AQ71" i="1"/>
  <c r="AP71" i="1"/>
  <c r="AQ47" i="1"/>
  <c r="AP47" i="1"/>
  <c r="AQ31" i="1"/>
  <c r="AP31" i="1"/>
  <c r="AQ25" i="1"/>
  <c r="AP25" i="1"/>
  <c r="AQ8" i="1"/>
  <c r="AP8" i="1"/>
  <c r="AP696" i="1"/>
  <c r="AP684" i="1"/>
  <c r="AP668" i="1"/>
  <c r="AP652" i="1"/>
  <c r="AP636" i="1"/>
  <c r="AP620" i="1"/>
  <c r="AP604" i="1"/>
  <c r="AP588" i="1"/>
  <c r="AP572" i="1"/>
  <c r="AP556" i="1"/>
  <c r="AP540" i="1"/>
  <c r="AP524" i="1"/>
  <c r="AP508" i="1"/>
  <c r="AP492" i="1"/>
  <c r="AP476" i="1"/>
  <c r="AP460" i="1"/>
  <c r="AP444" i="1"/>
  <c r="AP428" i="1"/>
  <c r="AP412" i="1"/>
  <c r="AP396" i="1"/>
  <c r="AP380" i="1"/>
  <c r="AP364" i="1"/>
  <c r="AP348" i="1"/>
  <c r="AP332" i="1"/>
  <c r="AP316" i="1"/>
  <c r="AP300" i="1"/>
  <c r="AP284" i="1"/>
  <c r="AP268" i="1"/>
  <c r="AP252" i="1"/>
  <c r="AP236" i="1"/>
  <c r="AP220" i="1"/>
  <c r="AP204" i="1"/>
  <c r="AP188" i="1"/>
  <c r="AP172" i="1"/>
  <c r="AP155" i="1"/>
  <c r="AP137" i="1"/>
  <c r="AP119" i="1"/>
  <c r="AP100" i="1"/>
  <c r="AP82" i="1"/>
  <c r="AP64" i="1"/>
  <c r="AP46" i="1"/>
  <c r="AP22" i="1"/>
  <c r="AP13" i="1"/>
  <c r="AQ150" i="1"/>
  <c r="AP150" i="1"/>
  <c r="AQ134" i="1"/>
  <c r="AP134" i="1"/>
  <c r="AQ86" i="1"/>
  <c r="AP86" i="1"/>
  <c r="AQ70" i="1"/>
  <c r="AP70" i="1"/>
  <c r="AQ19" i="1"/>
  <c r="AP19" i="1"/>
  <c r="AQ5" i="1"/>
  <c r="AP5" i="1"/>
  <c r="AP695" i="1"/>
  <c r="AP683" i="1"/>
  <c r="AP667" i="1"/>
  <c r="AP651" i="1"/>
  <c r="AP635" i="1"/>
  <c r="AP619" i="1"/>
  <c r="AP603" i="1"/>
  <c r="AP587" i="1"/>
  <c r="AP571" i="1"/>
  <c r="AP555" i="1"/>
  <c r="AP539" i="1"/>
  <c r="AP523" i="1"/>
  <c r="AP507" i="1"/>
  <c r="AP491" i="1"/>
  <c r="AP475" i="1"/>
  <c r="AP459" i="1"/>
  <c r="AP443" i="1"/>
  <c r="AP427" i="1"/>
  <c r="AP411" i="1"/>
  <c r="AP395" i="1"/>
  <c r="AP379" i="1"/>
  <c r="AP363" i="1"/>
  <c r="AP347" i="1"/>
  <c r="AP331" i="1"/>
  <c r="AP315" i="1"/>
  <c r="AP299" i="1"/>
  <c r="AP283" i="1"/>
  <c r="AP267" i="1"/>
  <c r="AP251" i="1"/>
  <c r="AP235" i="1"/>
  <c r="AP219" i="1"/>
  <c r="AP203" i="1"/>
  <c r="AP187" i="1"/>
  <c r="AP171" i="1"/>
  <c r="AP154" i="1"/>
  <c r="AP136" i="1"/>
  <c r="AP118" i="1"/>
  <c r="AP99" i="1"/>
  <c r="AP63" i="1"/>
  <c r="AP44" i="1"/>
  <c r="AP20" i="1"/>
  <c r="AP11" i="1"/>
  <c r="AQ126" i="1"/>
  <c r="AP126" i="1"/>
  <c r="AQ102" i="1"/>
  <c r="AP102" i="1"/>
  <c r="AQ62" i="1"/>
  <c r="AP62" i="1"/>
  <c r="AQ38" i="1"/>
  <c r="AP38" i="1"/>
  <c r="AQ701" i="1"/>
  <c r="AP701" i="1"/>
  <c r="AQ693" i="1"/>
  <c r="AP693" i="1"/>
  <c r="AQ685" i="1"/>
  <c r="AP685" i="1"/>
  <c r="AQ677" i="1"/>
  <c r="AP677" i="1"/>
  <c r="AQ669" i="1"/>
  <c r="AP669" i="1"/>
  <c r="AQ661" i="1"/>
  <c r="AP661" i="1"/>
  <c r="AQ653" i="1"/>
  <c r="AP653" i="1"/>
  <c r="AQ645" i="1"/>
  <c r="AP645" i="1"/>
  <c r="AQ637" i="1"/>
  <c r="AP637" i="1"/>
  <c r="AQ629" i="1"/>
  <c r="AP629" i="1"/>
  <c r="AQ621" i="1"/>
  <c r="AP621" i="1"/>
  <c r="AQ613" i="1"/>
  <c r="AP613" i="1"/>
  <c r="AQ605" i="1"/>
  <c r="AP605" i="1"/>
  <c r="AQ597" i="1"/>
  <c r="AP597" i="1"/>
  <c r="AQ589" i="1"/>
  <c r="AP589" i="1"/>
  <c r="AQ581" i="1"/>
  <c r="AP581" i="1"/>
  <c r="AQ573" i="1"/>
  <c r="AP573" i="1"/>
  <c r="AQ565" i="1"/>
  <c r="AP565" i="1"/>
  <c r="AQ557" i="1"/>
  <c r="AP557" i="1"/>
  <c r="AQ549" i="1"/>
  <c r="AP549" i="1"/>
  <c r="AQ541" i="1"/>
  <c r="AP541" i="1"/>
  <c r="AQ533" i="1"/>
  <c r="AP533" i="1"/>
  <c r="AQ525" i="1"/>
  <c r="AP525" i="1"/>
  <c r="AQ517" i="1"/>
  <c r="AP517" i="1"/>
  <c r="AQ509" i="1"/>
  <c r="AP509" i="1"/>
  <c r="AQ501" i="1"/>
  <c r="AP501" i="1"/>
  <c r="AQ493" i="1"/>
  <c r="AP493" i="1"/>
  <c r="AQ485" i="1"/>
  <c r="AP485" i="1"/>
  <c r="AQ477" i="1"/>
  <c r="AP477" i="1"/>
  <c r="AQ469" i="1"/>
  <c r="AP469" i="1"/>
  <c r="AQ461" i="1"/>
  <c r="AP461" i="1"/>
  <c r="AQ453" i="1"/>
  <c r="AP453" i="1"/>
  <c r="AQ445" i="1"/>
  <c r="AP445" i="1"/>
  <c r="AQ437" i="1"/>
  <c r="AP437" i="1"/>
  <c r="AQ429" i="1"/>
  <c r="AP429" i="1"/>
  <c r="AQ421" i="1"/>
  <c r="AP421" i="1"/>
  <c r="AQ413" i="1"/>
  <c r="AP413" i="1"/>
  <c r="AQ405" i="1"/>
  <c r="AP405" i="1"/>
  <c r="AQ397" i="1"/>
  <c r="AP397" i="1"/>
  <c r="AQ389" i="1"/>
  <c r="AP389" i="1"/>
  <c r="AQ381" i="1"/>
  <c r="AP381" i="1"/>
  <c r="AQ373" i="1"/>
  <c r="AP373" i="1"/>
  <c r="AQ365" i="1"/>
  <c r="AP365" i="1"/>
  <c r="AQ357" i="1"/>
  <c r="AP357" i="1"/>
  <c r="AQ349" i="1"/>
  <c r="AP349" i="1"/>
  <c r="AQ341" i="1"/>
  <c r="AP341" i="1"/>
  <c r="AQ333" i="1"/>
  <c r="AP333" i="1"/>
  <c r="AQ325" i="1"/>
  <c r="AP325" i="1"/>
  <c r="AQ317" i="1"/>
  <c r="AP317" i="1"/>
  <c r="AQ309" i="1"/>
  <c r="AP309" i="1"/>
  <c r="AQ301" i="1"/>
  <c r="AP301" i="1"/>
  <c r="AQ293" i="1"/>
  <c r="AP293" i="1"/>
  <c r="AQ285" i="1"/>
  <c r="AP285" i="1"/>
  <c r="AQ277" i="1"/>
  <c r="AP277" i="1"/>
  <c r="AQ269" i="1"/>
  <c r="AP269" i="1"/>
  <c r="AQ261" i="1"/>
  <c r="AP261" i="1"/>
  <c r="AQ253" i="1"/>
  <c r="AP253" i="1"/>
  <c r="AQ245" i="1"/>
  <c r="AP245" i="1"/>
  <c r="AQ237" i="1"/>
  <c r="AP237" i="1"/>
  <c r="AQ229" i="1"/>
  <c r="AP229" i="1"/>
  <c r="AQ221" i="1"/>
  <c r="AP221" i="1"/>
  <c r="AQ213" i="1"/>
  <c r="AP213" i="1"/>
  <c r="AQ205" i="1"/>
  <c r="AP205" i="1"/>
  <c r="AQ197" i="1"/>
  <c r="AP197" i="1"/>
  <c r="AQ189" i="1"/>
  <c r="AP189" i="1"/>
  <c r="AQ181" i="1"/>
  <c r="AP181" i="1"/>
  <c r="AQ173" i="1"/>
  <c r="AP173" i="1"/>
  <c r="AQ165" i="1"/>
  <c r="AP165" i="1"/>
  <c r="AQ157" i="1"/>
  <c r="AP157" i="1"/>
  <c r="AQ149" i="1"/>
  <c r="AP149" i="1"/>
  <c r="AQ141" i="1"/>
  <c r="AP141" i="1"/>
  <c r="AQ133" i="1"/>
  <c r="AP133" i="1"/>
  <c r="AQ125" i="1"/>
  <c r="AP125" i="1"/>
  <c r="AQ117" i="1"/>
  <c r="AP117" i="1"/>
  <c r="AQ109" i="1"/>
  <c r="AP109" i="1"/>
  <c r="AQ101" i="1"/>
  <c r="AP101" i="1"/>
  <c r="AQ93" i="1"/>
  <c r="AP93" i="1"/>
  <c r="AQ85" i="1"/>
  <c r="AP85" i="1"/>
  <c r="AQ77" i="1"/>
  <c r="AP77" i="1"/>
  <c r="AQ69" i="1"/>
  <c r="AP69" i="1"/>
  <c r="AQ61" i="1"/>
  <c r="AP61" i="1"/>
  <c r="AQ53" i="1"/>
  <c r="AP53" i="1"/>
  <c r="AQ45" i="1"/>
  <c r="AP45" i="1"/>
  <c r="AQ37" i="1"/>
  <c r="AP37" i="1"/>
  <c r="AQ29" i="1"/>
  <c r="AP29" i="1"/>
  <c r="AQ9" i="1"/>
  <c r="AP9" i="1"/>
  <c r="AQ21" i="1"/>
  <c r="AP21" i="1"/>
  <c r="AQ4" i="1"/>
  <c r="AP4" i="1"/>
  <c r="AP694" i="1"/>
  <c r="AP680" i="1"/>
  <c r="AP664" i="1"/>
  <c r="AP648" i="1"/>
  <c r="AP632" i="1"/>
  <c r="AP616" i="1"/>
  <c r="AP600" i="1"/>
  <c r="AP584" i="1"/>
  <c r="AP568" i="1"/>
  <c r="AP552" i="1"/>
  <c r="AP536" i="1"/>
  <c r="AP520" i="1"/>
  <c r="AP504" i="1"/>
  <c r="AP488" i="1"/>
  <c r="AP472" i="1"/>
  <c r="AP456" i="1"/>
  <c r="AP440" i="1"/>
  <c r="AP424" i="1"/>
  <c r="AP408" i="1"/>
  <c r="AP392" i="1"/>
  <c r="AP376" i="1"/>
  <c r="AP360" i="1"/>
  <c r="AP344" i="1"/>
  <c r="AP328" i="1"/>
  <c r="AP312" i="1"/>
  <c r="AP296" i="1"/>
  <c r="AP280" i="1"/>
  <c r="AP264" i="1"/>
  <c r="AP248" i="1"/>
  <c r="AP232" i="1"/>
  <c r="AP216" i="1"/>
  <c r="AP200" i="1"/>
  <c r="AP184" i="1"/>
  <c r="AP168" i="1"/>
  <c r="AP151" i="1"/>
  <c r="AP132" i="1"/>
  <c r="AP114" i="1"/>
  <c r="AP96" i="1"/>
  <c r="AP78" i="1"/>
  <c r="AP59" i="1"/>
  <c r="AP41" i="1"/>
  <c r="AP14" i="1"/>
  <c r="AP3" i="1"/>
  <c r="AQ156" i="1"/>
  <c r="AP156" i="1"/>
  <c r="AQ140" i="1"/>
  <c r="AP140" i="1"/>
  <c r="AQ124" i="1"/>
  <c r="AP124" i="1"/>
  <c r="AQ116" i="1"/>
  <c r="AP116" i="1"/>
  <c r="AQ92" i="1"/>
  <c r="AP92" i="1"/>
  <c r="AQ76" i="1"/>
  <c r="AP76" i="1"/>
  <c r="AQ60" i="1"/>
  <c r="AP60" i="1"/>
  <c r="AQ52" i="1"/>
  <c r="AP52" i="1"/>
  <c r="AQ24" i="1"/>
  <c r="AP24" i="1"/>
  <c r="AQ12" i="1"/>
  <c r="AP12" i="1"/>
  <c r="AP692" i="1"/>
  <c r="AP678" i="1"/>
  <c r="AP662" i="1"/>
  <c r="AP646" i="1"/>
  <c r="AP630" i="1"/>
  <c r="AP614" i="1"/>
  <c r="AP598" i="1"/>
  <c r="AP582" i="1"/>
  <c r="AP566" i="1"/>
  <c r="AP550" i="1"/>
  <c r="AP534" i="1"/>
  <c r="AP518" i="1"/>
  <c r="AP502" i="1"/>
  <c r="AP486" i="1"/>
  <c r="AP470" i="1"/>
  <c r="AP454" i="1"/>
  <c r="AP438" i="1"/>
  <c r="AP422" i="1"/>
  <c r="AP406" i="1"/>
  <c r="AP390" i="1"/>
  <c r="AP374" i="1"/>
  <c r="AP358" i="1"/>
  <c r="AP342" i="1"/>
  <c r="AP326" i="1"/>
  <c r="AP310" i="1"/>
  <c r="AP294" i="1"/>
  <c r="AP278" i="1"/>
  <c r="AP262" i="1"/>
  <c r="AP246" i="1"/>
  <c r="AP230" i="1"/>
  <c r="AP214" i="1"/>
  <c r="AP198" i="1"/>
  <c r="AP182" i="1"/>
  <c r="AP166" i="1"/>
  <c r="AP148" i="1"/>
  <c r="AP130" i="1"/>
  <c r="AP112" i="1"/>
  <c r="AP94" i="1"/>
  <c r="AP75" i="1"/>
  <c r="AP57" i="1"/>
  <c r="AP39" i="1"/>
  <c r="AP7" i="1"/>
  <c r="AQ147" i="1"/>
  <c r="AP147" i="1"/>
  <c r="AQ131" i="1"/>
  <c r="AP131" i="1"/>
  <c r="AQ115" i="1"/>
  <c r="AP115" i="1"/>
  <c r="AQ107" i="1"/>
  <c r="AP107" i="1"/>
  <c r="AQ83" i="1"/>
  <c r="AP83" i="1"/>
  <c r="AQ67" i="1"/>
  <c r="AP67" i="1"/>
  <c r="AQ51" i="1"/>
  <c r="AP51" i="1"/>
  <c r="AQ43" i="1"/>
  <c r="AP43" i="1"/>
  <c r="AQ6" i="1"/>
  <c r="AP6" i="1"/>
  <c r="AQ10" i="1"/>
  <c r="AP10" i="1"/>
  <c r="AP691" i="1"/>
  <c r="AP676" i="1"/>
  <c r="AP660" i="1"/>
  <c r="AP644" i="1"/>
  <c r="AP628" i="1"/>
  <c r="AP612" i="1"/>
  <c r="AP596" i="1"/>
  <c r="AP580" i="1"/>
  <c r="AP564" i="1"/>
  <c r="AP548" i="1"/>
  <c r="AP532" i="1"/>
  <c r="AP516" i="1"/>
  <c r="AP500" i="1"/>
  <c r="AP484" i="1"/>
  <c r="AP468" i="1"/>
  <c r="AP452" i="1"/>
  <c r="AP436" i="1"/>
  <c r="AP420" i="1"/>
  <c r="AP404" i="1"/>
  <c r="AP388" i="1"/>
  <c r="AP372" i="1"/>
  <c r="AP356" i="1"/>
  <c r="AP340" i="1"/>
  <c r="AP324" i="1"/>
  <c r="AP308" i="1"/>
  <c r="AP292" i="1"/>
  <c r="AP276" i="1"/>
  <c r="AP260" i="1"/>
  <c r="AP244" i="1"/>
  <c r="AP228" i="1"/>
  <c r="AP212" i="1"/>
  <c r="AP196" i="1"/>
  <c r="AP180" i="1"/>
  <c r="AP164" i="1"/>
  <c r="AP146" i="1"/>
  <c r="AP128" i="1"/>
  <c r="AP110" i="1"/>
  <c r="AP91" i="1"/>
  <c r="AP55" i="1"/>
  <c r="AP36" i="1"/>
  <c r="AP28" i="1"/>
  <c r="AQ698" i="1"/>
  <c r="AP698" i="1"/>
  <c r="AQ690" i="1"/>
  <c r="AP690" i="1"/>
  <c r="AQ682" i="1"/>
  <c r="AP682" i="1"/>
  <c r="AQ674" i="1"/>
  <c r="AP674" i="1"/>
  <c r="AQ666" i="1"/>
  <c r="AP666" i="1"/>
  <c r="AQ658" i="1"/>
  <c r="AP658" i="1"/>
  <c r="AQ650" i="1"/>
  <c r="AP650" i="1"/>
  <c r="AQ642" i="1"/>
  <c r="AP642" i="1"/>
  <c r="AQ634" i="1"/>
  <c r="AP634" i="1"/>
  <c r="AQ626" i="1"/>
  <c r="AP626" i="1"/>
  <c r="AQ618" i="1"/>
  <c r="AP618" i="1"/>
  <c r="AQ610" i="1"/>
  <c r="AP610" i="1"/>
  <c r="AQ602" i="1"/>
  <c r="AP602" i="1"/>
  <c r="AQ594" i="1"/>
  <c r="AP594" i="1"/>
  <c r="AQ586" i="1"/>
  <c r="AP586" i="1"/>
  <c r="AQ578" i="1"/>
  <c r="AP578" i="1"/>
  <c r="AQ570" i="1"/>
  <c r="AP570" i="1"/>
  <c r="AQ562" i="1"/>
  <c r="AP562" i="1"/>
  <c r="AQ554" i="1"/>
  <c r="AP554" i="1"/>
  <c r="AQ546" i="1"/>
  <c r="AP546" i="1"/>
  <c r="AQ538" i="1"/>
  <c r="AP538" i="1"/>
  <c r="AQ530" i="1"/>
  <c r="AP530" i="1"/>
  <c r="AQ522" i="1"/>
  <c r="AP522" i="1"/>
  <c r="AQ514" i="1"/>
  <c r="AP514" i="1"/>
  <c r="AQ506" i="1"/>
  <c r="AP506" i="1"/>
  <c r="AQ498" i="1"/>
  <c r="AP498" i="1"/>
  <c r="AQ490" i="1"/>
  <c r="AP490" i="1"/>
  <c r="AQ482" i="1"/>
  <c r="AP482" i="1"/>
  <c r="AQ474" i="1"/>
  <c r="AP474" i="1"/>
  <c r="AQ466" i="1"/>
  <c r="AP466" i="1"/>
  <c r="AQ458" i="1"/>
  <c r="AP458" i="1"/>
  <c r="AQ450" i="1"/>
  <c r="AP450" i="1"/>
  <c r="AQ442" i="1"/>
  <c r="AP442" i="1"/>
  <c r="AQ434" i="1"/>
  <c r="AP434" i="1"/>
  <c r="AQ426" i="1"/>
  <c r="AP426" i="1"/>
  <c r="AQ418" i="1"/>
  <c r="AP418" i="1"/>
  <c r="AQ410" i="1"/>
  <c r="AP410" i="1"/>
  <c r="AQ402" i="1"/>
  <c r="AP402" i="1"/>
  <c r="AQ394" i="1"/>
  <c r="AP394" i="1"/>
  <c r="AQ386" i="1"/>
  <c r="AP386" i="1"/>
  <c r="AQ378" i="1"/>
  <c r="AP378" i="1"/>
  <c r="AQ370" i="1"/>
  <c r="AP370" i="1"/>
  <c r="AQ362" i="1"/>
  <c r="AP362" i="1"/>
  <c r="AQ354" i="1"/>
  <c r="AP354" i="1"/>
  <c r="AQ346" i="1"/>
  <c r="AP346" i="1"/>
  <c r="AQ338" i="1"/>
  <c r="AP338" i="1"/>
  <c r="AQ330" i="1"/>
  <c r="AP330" i="1"/>
  <c r="AQ322" i="1"/>
  <c r="AP322" i="1"/>
  <c r="AQ314" i="1"/>
  <c r="AP314" i="1"/>
  <c r="AQ306" i="1"/>
  <c r="AP306" i="1"/>
  <c r="AQ298" i="1"/>
  <c r="AP298" i="1"/>
  <c r="AQ290" i="1"/>
  <c r="AP290" i="1"/>
  <c r="AQ282" i="1"/>
  <c r="AP282" i="1"/>
  <c r="AQ274" i="1"/>
  <c r="AP274" i="1"/>
  <c r="AQ266" i="1"/>
  <c r="AP266" i="1"/>
  <c r="AQ258" i="1"/>
  <c r="AP258" i="1"/>
  <c r="AQ250" i="1"/>
  <c r="AP250" i="1"/>
  <c r="AQ242" i="1"/>
  <c r="AP242" i="1"/>
  <c r="AQ234" i="1"/>
  <c r="AP234" i="1"/>
  <c r="AQ226" i="1"/>
  <c r="AP226" i="1"/>
  <c r="AQ218" i="1"/>
  <c r="AP218" i="1"/>
  <c r="AQ210" i="1"/>
  <c r="AP210" i="1"/>
  <c r="AQ202" i="1"/>
  <c r="AP202" i="1"/>
  <c r="AQ194" i="1"/>
  <c r="AP194" i="1"/>
  <c r="AQ186" i="1"/>
  <c r="AP186" i="1"/>
  <c r="AQ178" i="1"/>
  <c r="AP178" i="1"/>
  <c r="AQ170" i="1"/>
  <c r="AP170" i="1"/>
  <c r="AQ162" i="1"/>
  <c r="AP162" i="1"/>
  <c r="AQ138" i="1"/>
  <c r="AP138" i="1"/>
  <c r="AQ122" i="1"/>
  <c r="AP122" i="1"/>
  <c r="AQ106" i="1"/>
  <c r="AP106" i="1"/>
  <c r="AQ98" i="1"/>
  <c r="AP98" i="1"/>
  <c r="AQ74" i="1"/>
  <c r="AP74" i="1"/>
  <c r="AQ58" i="1"/>
  <c r="AP58" i="1"/>
  <c r="AQ42" i="1"/>
  <c r="AP42" i="1"/>
  <c r="AQ34" i="1"/>
  <c r="AP34" i="1"/>
  <c r="AQ15" i="1"/>
  <c r="AP15" i="1"/>
  <c r="AP702" i="1"/>
  <c r="AP688" i="1"/>
  <c r="AP675" i="1"/>
  <c r="AP659" i="1"/>
  <c r="AP643" i="1"/>
  <c r="AP627" i="1"/>
  <c r="AP611" i="1"/>
  <c r="AP595" i="1"/>
  <c r="AP579" i="1"/>
  <c r="AP563" i="1"/>
  <c r="AP547" i="1"/>
  <c r="AP531" i="1"/>
  <c r="AP515" i="1"/>
  <c r="AP499" i="1"/>
  <c r="AP483" i="1"/>
  <c r="AP467" i="1"/>
  <c r="AP451" i="1"/>
  <c r="AP435" i="1"/>
  <c r="AP419" i="1"/>
  <c r="AP403" i="1"/>
  <c r="AP387" i="1"/>
  <c r="AP371" i="1"/>
  <c r="AP355" i="1"/>
  <c r="AP339" i="1"/>
  <c r="AP323" i="1"/>
  <c r="AP307" i="1"/>
  <c r="AP291" i="1"/>
  <c r="AP275" i="1"/>
  <c r="AP259" i="1"/>
  <c r="AP243" i="1"/>
  <c r="AP227" i="1"/>
  <c r="AP211" i="1"/>
  <c r="AP195" i="1"/>
  <c r="AP179" i="1"/>
  <c r="AP163" i="1"/>
  <c r="AP127" i="1"/>
  <c r="AP108" i="1"/>
  <c r="AP90" i="1"/>
  <c r="AP72" i="1"/>
  <c r="AP54" i="1"/>
  <c r="AP35" i="1"/>
  <c r="AP27" i="1"/>
  <c r="AQ697" i="1"/>
  <c r="AP697" i="1"/>
  <c r="AQ673" i="1"/>
  <c r="AP673" i="1"/>
  <c r="AQ649" i="1"/>
  <c r="AP649" i="1"/>
  <c r="AQ625" i="1"/>
  <c r="AP625" i="1"/>
  <c r="AQ601" i="1"/>
  <c r="AP601" i="1"/>
  <c r="AQ577" i="1"/>
  <c r="AP577" i="1"/>
  <c r="AQ553" i="1"/>
  <c r="AP553" i="1"/>
  <c r="AQ529" i="1"/>
  <c r="AP529" i="1"/>
  <c r="AQ505" i="1"/>
  <c r="AP505" i="1"/>
  <c r="AQ481" i="1"/>
  <c r="AP481" i="1"/>
  <c r="AQ457" i="1"/>
  <c r="AP457" i="1"/>
  <c r="AQ433" i="1"/>
  <c r="AP433" i="1"/>
  <c r="AQ409" i="1"/>
  <c r="AP409" i="1"/>
  <c r="AQ393" i="1"/>
  <c r="AP393" i="1"/>
  <c r="AQ385" i="1"/>
  <c r="AP385" i="1"/>
  <c r="AQ369" i="1"/>
  <c r="AP369" i="1"/>
  <c r="AQ361" i="1"/>
  <c r="AP361" i="1"/>
  <c r="AQ345" i="1"/>
  <c r="AP345" i="1"/>
  <c r="AQ337" i="1"/>
  <c r="AP337" i="1"/>
  <c r="AQ329" i="1"/>
  <c r="AP329" i="1"/>
  <c r="AQ321" i="1"/>
  <c r="AP321" i="1"/>
  <c r="AQ313" i="1"/>
  <c r="AP313" i="1"/>
  <c r="AQ305" i="1"/>
  <c r="AP305" i="1"/>
  <c r="AQ297" i="1"/>
  <c r="AP297" i="1"/>
  <c r="AQ289" i="1"/>
  <c r="AP289" i="1"/>
  <c r="AQ281" i="1"/>
  <c r="AP281" i="1"/>
  <c r="AQ273" i="1"/>
  <c r="AP273" i="1"/>
  <c r="AQ265" i="1"/>
  <c r="AP265" i="1"/>
  <c r="AQ257" i="1"/>
  <c r="AP257" i="1"/>
  <c r="AQ249" i="1"/>
  <c r="AP249" i="1"/>
  <c r="AQ241" i="1"/>
  <c r="AP241" i="1"/>
  <c r="AQ233" i="1"/>
  <c r="AP233" i="1"/>
  <c r="AQ225" i="1"/>
  <c r="AP225" i="1"/>
  <c r="AQ217" i="1"/>
  <c r="AP217" i="1"/>
  <c r="AQ209" i="1"/>
  <c r="AP209" i="1"/>
  <c r="AQ201" i="1"/>
  <c r="AP201" i="1"/>
  <c r="AQ193" i="1"/>
  <c r="AP193" i="1"/>
  <c r="AQ185" i="1"/>
  <c r="AP185" i="1"/>
  <c r="AQ177" i="1"/>
  <c r="AP177" i="1"/>
  <c r="AQ169" i="1"/>
  <c r="AP169" i="1"/>
  <c r="AQ161" i="1"/>
  <c r="AP161" i="1"/>
  <c r="AQ153" i="1"/>
  <c r="AP153" i="1"/>
  <c r="AQ129" i="1"/>
  <c r="AP129" i="1"/>
  <c r="AQ113" i="1"/>
  <c r="AP113" i="1"/>
  <c r="AQ97" i="1"/>
  <c r="AP97" i="1"/>
  <c r="AQ89" i="1"/>
  <c r="AP89" i="1"/>
  <c r="AQ65" i="1"/>
  <c r="AP65" i="1"/>
  <c r="AQ49" i="1"/>
  <c r="AP49" i="1"/>
  <c r="AQ33" i="1"/>
  <c r="AP33" i="1"/>
  <c r="AQ18" i="1"/>
  <c r="AP18" i="1"/>
  <c r="AP700" i="1"/>
  <c r="AP687" i="1"/>
  <c r="AP672" i="1"/>
  <c r="AP656" i="1"/>
  <c r="AP640" i="1"/>
  <c r="AP624" i="1"/>
  <c r="AP608" i="1"/>
  <c r="AP592" i="1"/>
  <c r="AP576" i="1"/>
  <c r="AP560" i="1"/>
  <c r="AP544" i="1"/>
  <c r="AP528" i="1"/>
  <c r="AP512" i="1"/>
  <c r="AP496" i="1"/>
  <c r="AP480" i="1"/>
  <c r="AP464" i="1"/>
  <c r="AP448" i="1"/>
  <c r="AP432" i="1"/>
  <c r="AP416" i="1"/>
  <c r="AP400" i="1"/>
  <c r="AP384" i="1"/>
  <c r="AP368" i="1"/>
  <c r="AP352" i="1"/>
  <c r="AP336" i="1"/>
  <c r="AP320" i="1"/>
  <c r="AP304" i="1"/>
  <c r="AP288" i="1"/>
  <c r="AP272" i="1"/>
  <c r="AP256" i="1"/>
  <c r="AP240" i="1"/>
  <c r="AP224" i="1"/>
  <c r="AP208" i="1"/>
  <c r="AP192" i="1"/>
  <c r="AP176" i="1"/>
  <c r="AP160" i="1"/>
  <c r="AP142" i="1"/>
  <c r="AP123" i="1"/>
  <c r="AP87" i="1"/>
  <c r="AP68" i="1"/>
  <c r="AP50" i="1"/>
  <c r="AP32" i="1"/>
  <c r="AP23" i="1"/>
  <c r="AQ689" i="1"/>
  <c r="AP689" i="1"/>
  <c r="AQ665" i="1"/>
  <c r="AP665" i="1"/>
  <c r="AQ641" i="1"/>
  <c r="AP641" i="1"/>
  <c r="AQ617" i="1"/>
  <c r="AP617" i="1"/>
  <c r="AQ593" i="1"/>
  <c r="AP593" i="1"/>
  <c r="AQ569" i="1"/>
  <c r="AP569" i="1"/>
  <c r="AQ545" i="1"/>
  <c r="AP545" i="1"/>
  <c r="AQ521" i="1"/>
  <c r="AP521" i="1"/>
  <c r="AQ497" i="1"/>
  <c r="AP497" i="1"/>
  <c r="AQ473" i="1"/>
  <c r="AP473" i="1"/>
  <c r="AQ449" i="1"/>
  <c r="AP449" i="1"/>
  <c r="AQ425" i="1"/>
  <c r="AP425" i="1"/>
  <c r="AQ377" i="1"/>
  <c r="AP377" i="1"/>
  <c r="AQ152" i="1"/>
  <c r="AP152" i="1"/>
  <c r="AQ144" i="1"/>
  <c r="AP144" i="1"/>
  <c r="AQ120" i="1"/>
  <c r="AP120" i="1"/>
  <c r="AQ104" i="1"/>
  <c r="AP104" i="1"/>
  <c r="AQ88" i="1"/>
  <c r="AP88" i="1"/>
  <c r="AQ80" i="1"/>
  <c r="AP80" i="1"/>
  <c r="AQ56" i="1"/>
  <c r="AP56" i="1"/>
  <c r="AQ40" i="1"/>
  <c r="AP40" i="1"/>
  <c r="AQ16" i="1"/>
  <c r="AP16" i="1"/>
  <c r="AQ26" i="1"/>
  <c r="AP26" i="1"/>
  <c r="AP699" i="1"/>
  <c r="AP686" i="1"/>
  <c r="AP670" i="1"/>
  <c r="AP654" i="1"/>
  <c r="AP638" i="1"/>
  <c r="AP622" i="1"/>
  <c r="AP606" i="1"/>
  <c r="AP590" i="1"/>
  <c r="AP574" i="1"/>
  <c r="AP558" i="1"/>
  <c r="AP542" i="1"/>
  <c r="AP526" i="1"/>
  <c r="AP510" i="1"/>
  <c r="AP494" i="1"/>
  <c r="AP478" i="1"/>
  <c r="AP462" i="1"/>
  <c r="AP446" i="1"/>
  <c r="AP430" i="1"/>
  <c r="AP414" i="1"/>
  <c r="AP398" i="1"/>
  <c r="AP382" i="1"/>
  <c r="AP366" i="1"/>
  <c r="AP350" i="1"/>
  <c r="AP334" i="1"/>
  <c r="AP318" i="1"/>
  <c r="AP302" i="1"/>
  <c r="AP286" i="1"/>
  <c r="AP270" i="1"/>
  <c r="AP254" i="1"/>
  <c r="AP238" i="1"/>
  <c r="AP222" i="1"/>
  <c r="AP206" i="1"/>
  <c r="AP190" i="1"/>
  <c r="AP174" i="1"/>
  <c r="AP158" i="1"/>
  <c r="AP139" i="1"/>
  <c r="AP103" i="1"/>
  <c r="AP84" i="1"/>
  <c r="AP66" i="1"/>
  <c r="AP48" i="1"/>
  <c r="AP30" i="1"/>
  <c r="AL333" i="1"/>
  <c r="AL269" i="1"/>
  <c r="AL253" i="1"/>
  <c r="AL237" i="1"/>
  <c r="AL221" i="1"/>
  <c r="AL205" i="1"/>
  <c r="AL324" i="1"/>
  <c r="AL315" i="1"/>
  <c r="AL139" i="1"/>
  <c r="AL306" i="1"/>
  <c r="AL189" i="1"/>
  <c r="AL297" i="1"/>
  <c r="AL696" i="1"/>
  <c r="AL688" i="1"/>
  <c r="AL680" i="1"/>
  <c r="AL672" i="1"/>
  <c r="AL664" i="1"/>
  <c r="AL656" i="1"/>
  <c r="AL648" i="1"/>
  <c r="AL640" i="1"/>
  <c r="AL632" i="1"/>
  <c r="AL624" i="1"/>
  <c r="AL616" i="1"/>
  <c r="AL608" i="1"/>
  <c r="AL600" i="1"/>
  <c r="AL592" i="1"/>
  <c r="AL584" i="1"/>
  <c r="AL576" i="1"/>
  <c r="AL568" i="1"/>
  <c r="AL560" i="1"/>
  <c r="AL552" i="1"/>
  <c r="AL544" i="1"/>
  <c r="AL536" i="1"/>
  <c r="AL528" i="1"/>
  <c r="AL520" i="1"/>
  <c r="AL512" i="1"/>
  <c r="AL504" i="1"/>
  <c r="AL496" i="1"/>
  <c r="AL488" i="1"/>
  <c r="AL480" i="1"/>
  <c r="AL472" i="1"/>
  <c r="AL464" i="1"/>
  <c r="AL456" i="1"/>
  <c r="AL448" i="1"/>
  <c r="AL440" i="1"/>
  <c r="AL432" i="1"/>
  <c r="AL424" i="1"/>
  <c r="AL416" i="1"/>
  <c r="AL408" i="1"/>
  <c r="AL400" i="1"/>
  <c r="AL392" i="1"/>
  <c r="AL384" i="1"/>
  <c r="AL376" i="1"/>
  <c r="AL368" i="1"/>
  <c r="AL360" i="1"/>
  <c r="AL352" i="1"/>
  <c r="AL288" i="1"/>
  <c r="AL75" i="1"/>
  <c r="AL17" i="1"/>
  <c r="AL343" i="1"/>
  <c r="AL279" i="1"/>
  <c r="AL344" i="1"/>
  <c r="AL336" i="1"/>
  <c r="AL328" i="1"/>
  <c r="AL320" i="1"/>
  <c r="AL312" i="1"/>
  <c r="AL304" i="1"/>
  <c r="AL296" i="1"/>
  <c r="AL280" i="1"/>
  <c r="AL272" i="1"/>
  <c r="AL695" i="1"/>
  <c r="AL687" i="1"/>
  <c r="AL679" i="1"/>
  <c r="AL671" i="1"/>
  <c r="AL663" i="1"/>
  <c r="AL655" i="1"/>
  <c r="AL647" i="1"/>
  <c r="AL639" i="1"/>
  <c r="AL631" i="1"/>
  <c r="AL623" i="1"/>
  <c r="AL615" i="1"/>
  <c r="AL607" i="1"/>
  <c r="AL599" i="1"/>
  <c r="AL591" i="1"/>
  <c r="AL583" i="1"/>
  <c r="AL575" i="1"/>
  <c r="AL567" i="1"/>
  <c r="AL559" i="1"/>
  <c r="AL551" i="1"/>
  <c r="AL543" i="1"/>
  <c r="AL535" i="1"/>
  <c r="AL527" i="1"/>
  <c r="AL519" i="1"/>
  <c r="AL511" i="1"/>
  <c r="AL503" i="1"/>
  <c r="AL495" i="1"/>
  <c r="AL487" i="1"/>
  <c r="AL479" i="1"/>
  <c r="AL471" i="1"/>
  <c r="AL463" i="1"/>
  <c r="AL455" i="1"/>
  <c r="AL447" i="1"/>
  <c r="AL439" i="1"/>
  <c r="AL431" i="1"/>
  <c r="AL423" i="1"/>
  <c r="AL415" i="1"/>
  <c r="AL407" i="1"/>
  <c r="AL399" i="1"/>
  <c r="AL391" i="1"/>
  <c r="AL383" i="1"/>
  <c r="AL375" i="1"/>
  <c r="AL367" i="1"/>
  <c r="AL359" i="1"/>
  <c r="AL351" i="1"/>
  <c r="AL335" i="1"/>
  <c r="AL327" i="1"/>
  <c r="AL319" i="1"/>
  <c r="AL311" i="1"/>
  <c r="AL303" i="1"/>
  <c r="AL295" i="1"/>
  <c r="AL287" i="1"/>
  <c r="AL271" i="1"/>
  <c r="AL263" i="1"/>
  <c r="AL255" i="1"/>
  <c r="AL247" i="1"/>
  <c r="AL239" i="1"/>
  <c r="AL231" i="1"/>
  <c r="AL223" i="1"/>
  <c r="AL215" i="1"/>
  <c r="AL207" i="1"/>
  <c r="AL199" i="1"/>
  <c r="AL191" i="1"/>
  <c r="AL702" i="1"/>
  <c r="AL694" i="1"/>
  <c r="AL686" i="1"/>
  <c r="AL678" i="1"/>
  <c r="AL670" i="1"/>
  <c r="AL662" i="1"/>
  <c r="AL654" i="1"/>
  <c r="AL646" i="1"/>
  <c r="AL638" i="1"/>
  <c r="AL630" i="1"/>
  <c r="AL622" i="1"/>
  <c r="AL614" i="1"/>
  <c r="AL606" i="1"/>
  <c r="AL598" i="1"/>
  <c r="AL590" i="1"/>
  <c r="AL582" i="1"/>
  <c r="AL574" i="1"/>
  <c r="AL566" i="1"/>
  <c r="AL558" i="1"/>
  <c r="AL550" i="1"/>
  <c r="AL542" i="1"/>
  <c r="AL534" i="1"/>
  <c r="AL526" i="1"/>
  <c r="AL518" i="1"/>
  <c r="AL510" i="1"/>
  <c r="AL502" i="1"/>
  <c r="AL494" i="1"/>
  <c r="AL486" i="1"/>
  <c r="AL478" i="1"/>
  <c r="AL470" i="1"/>
  <c r="AL462" i="1"/>
  <c r="AL454" i="1"/>
  <c r="AL446" i="1"/>
  <c r="AL438" i="1"/>
  <c r="AL430" i="1"/>
  <c r="AL422" i="1"/>
  <c r="AL414" i="1"/>
  <c r="AL406" i="1"/>
  <c r="AL398" i="1"/>
  <c r="AL390" i="1"/>
  <c r="AL382" i="1"/>
  <c r="AL374" i="1"/>
  <c r="AL366" i="1"/>
  <c r="AL358" i="1"/>
  <c r="AL350" i="1"/>
  <c r="AL342" i="1"/>
  <c r="AL334" i="1"/>
  <c r="AL326" i="1"/>
  <c r="AL318" i="1"/>
  <c r="AL310" i="1"/>
  <c r="AL302" i="1"/>
  <c r="AL294" i="1"/>
  <c r="AL286" i="1"/>
  <c r="AL278" i="1"/>
  <c r="AL270" i="1"/>
  <c r="AL262" i="1"/>
  <c r="AL254" i="1"/>
  <c r="AL246" i="1"/>
  <c r="AL238" i="1"/>
  <c r="AL230" i="1"/>
  <c r="AL222" i="1"/>
  <c r="AL214" i="1"/>
  <c r="AL206" i="1"/>
  <c r="AL198" i="1"/>
  <c r="AL190" i="1"/>
  <c r="AL701" i="1"/>
  <c r="AL693" i="1"/>
  <c r="AL685" i="1"/>
  <c r="AL677" i="1"/>
  <c r="AL669" i="1"/>
  <c r="AL661" i="1"/>
  <c r="AL653" i="1"/>
  <c r="AL645" i="1"/>
  <c r="AL637" i="1"/>
  <c r="AL629" i="1"/>
  <c r="AL621" i="1"/>
  <c r="AL613" i="1"/>
  <c r="AL605" i="1"/>
  <c r="AL597" i="1"/>
  <c r="AL589" i="1"/>
  <c r="AL581" i="1"/>
  <c r="AL573" i="1"/>
  <c r="AL565" i="1"/>
  <c r="AL557" i="1"/>
  <c r="AL549" i="1"/>
  <c r="AL541" i="1"/>
  <c r="AL533" i="1"/>
  <c r="AL525" i="1"/>
  <c r="AL517" i="1"/>
  <c r="AL509" i="1"/>
  <c r="AL501" i="1"/>
  <c r="AL493" i="1"/>
  <c r="AL485" i="1"/>
  <c r="AL477" i="1"/>
  <c r="AL469" i="1"/>
  <c r="AL461" i="1"/>
  <c r="AL453" i="1"/>
  <c r="AL445" i="1"/>
  <c r="AL437" i="1"/>
  <c r="AL429" i="1"/>
  <c r="AL421" i="1"/>
  <c r="AL413" i="1"/>
  <c r="AL405" i="1"/>
  <c r="AL397" i="1"/>
  <c r="AL389" i="1"/>
  <c r="AL381" i="1"/>
  <c r="AL373" i="1"/>
  <c r="AL365" i="1"/>
  <c r="AL357" i="1"/>
  <c r="AL349" i="1"/>
  <c r="AL341" i="1"/>
  <c r="AL325" i="1"/>
  <c r="AL317" i="1"/>
  <c r="AL309" i="1"/>
  <c r="AL301" i="1"/>
  <c r="AL293" i="1"/>
  <c r="AL285" i="1"/>
  <c r="AL277" i="1"/>
  <c r="AL261" i="1"/>
  <c r="AL245" i="1"/>
  <c r="AL229" i="1"/>
  <c r="AL213" i="1"/>
  <c r="AL197" i="1"/>
  <c r="AL700" i="1"/>
  <c r="AL692" i="1"/>
  <c r="AL684" i="1"/>
  <c r="AL676" i="1"/>
  <c r="AL668" i="1"/>
  <c r="AL660" i="1"/>
  <c r="AL652" i="1"/>
  <c r="AL644" i="1"/>
  <c r="AL636" i="1"/>
  <c r="AL628" i="1"/>
  <c r="AL620" i="1"/>
  <c r="AL612" i="1"/>
  <c r="AL604" i="1"/>
  <c r="AL596" i="1"/>
  <c r="AL588" i="1"/>
  <c r="AL580" i="1"/>
  <c r="AL572" i="1"/>
  <c r="AL564" i="1"/>
  <c r="AL556" i="1"/>
  <c r="AL548" i="1"/>
  <c r="AL540" i="1"/>
  <c r="AL532" i="1"/>
  <c r="AL524" i="1"/>
  <c r="AL516" i="1"/>
  <c r="AL508" i="1"/>
  <c r="AL500" i="1"/>
  <c r="AL492" i="1"/>
  <c r="AL484" i="1"/>
  <c r="AL476" i="1"/>
  <c r="AL468" i="1"/>
  <c r="AL460" i="1"/>
  <c r="AL452" i="1"/>
  <c r="AL444" i="1"/>
  <c r="AL436" i="1"/>
  <c r="AL428" i="1"/>
  <c r="AL420" i="1"/>
  <c r="AL412" i="1"/>
  <c r="AL404" i="1"/>
  <c r="AL396" i="1"/>
  <c r="AL388" i="1"/>
  <c r="AL380" i="1"/>
  <c r="AL372" i="1"/>
  <c r="AL364" i="1"/>
  <c r="AL356" i="1"/>
  <c r="AL348" i="1"/>
  <c r="AL340" i="1"/>
  <c r="AL332" i="1"/>
  <c r="AL316" i="1"/>
  <c r="AL308" i="1"/>
  <c r="AL300" i="1"/>
  <c r="AL292" i="1"/>
  <c r="AL284" i="1"/>
  <c r="AL276" i="1"/>
  <c r="AL268" i="1"/>
  <c r="AL260" i="1"/>
  <c r="AL252" i="1"/>
  <c r="AL244" i="1"/>
  <c r="AL236" i="1"/>
  <c r="AL228" i="1"/>
  <c r="AL220" i="1"/>
  <c r="AL212" i="1"/>
  <c r="AL204" i="1"/>
  <c r="AL196" i="1"/>
  <c r="AL188" i="1"/>
  <c r="AL180" i="1"/>
  <c r="AL172" i="1"/>
  <c r="AL164" i="1"/>
  <c r="AL156" i="1"/>
  <c r="AL148" i="1"/>
  <c r="AL140" i="1"/>
  <c r="AL132" i="1"/>
  <c r="AL124" i="1"/>
  <c r="AL116" i="1"/>
  <c r="AL108" i="1"/>
  <c r="AL100" i="1"/>
  <c r="AL92" i="1"/>
  <c r="AL84" i="1"/>
  <c r="AL76" i="1"/>
  <c r="AL68" i="1"/>
  <c r="AL60" i="1"/>
  <c r="AL52" i="1"/>
  <c r="AL44" i="1"/>
  <c r="AL36" i="1"/>
  <c r="AL24" i="1"/>
  <c r="AL7" i="1"/>
  <c r="AL12" i="1"/>
  <c r="AL3" i="1"/>
  <c r="AL699" i="1"/>
  <c r="AL691" i="1"/>
  <c r="AL683" i="1"/>
  <c r="AL675" i="1"/>
  <c r="AL667" i="1"/>
  <c r="AL659" i="1"/>
  <c r="AL651" i="1"/>
  <c r="AL643" i="1"/>
  <c r="AL635" i="1"/>
  <c r="AL627" i="1"/>
  <c r="AL619" i="1"/>
  <c r="AL611" i="1"/>
  <c r="AL603" i="1"/>
  <c r="AL595" i="1"/>
  <c r="AL587" i="1"/>
  <c r="AL579" i="1"/>
  <c r="AL571" i="1"/>
  <c r="AL563" i="1"/>
  <c r="AL555" i="1"/>
  <c r="AL547" i="1"/>
  <c r="AL539" i="1"/>
  <c r="AL531" i="1"/>
  <c r="AL523" i="1"/>
  <c r="AL515" i="1"/>
  <c r="AL507" i="1"/>
  <c r="AL499" i="1"/>
  <c r="AL491" i="1"/>
  <c r="AL483" i="1"/>
  <c r="AL475" i="1"/>
  <c r="AL467" i="1"/>
  <c r="AL459" i="1"/>
  <c r="AL451" i="1"/>
  <c r="AL443" i="1"/>
  <c r="AL435" i="1"/>
  <c r="AL427" i="1"/>
  <c r="AL419" i="1"/>
  <c r="AL411" i="1"/>
  <c r="AL403" i="1"/>
  <c r="AL395" i="1"/>
  <c r="AL387" i="1"/>
  <c r="AL379" i="1"/>
  <c r="AL371" i="1"/>
  <c r="AL363" i="1"/>
  <c r="AL355" i="1"/>
  <c r="AL347" i="1"/>
  <c r="AL339" i="1"/>
  <c r="AL331" i="1"/>
  <c r="AL323" i="1"/>
  <c r="AL307" i="1"/>
  <c r="AL299" i="1"/>
  <c r="AL291" i="1"/>
  <c r="AL283" i="1"/>
  <c r="AL275" i="1"/>
  <c r="AL267" i="1"/>
  <c r="AL259" i="1"/>
  <c r="AL251" i="1"/>
  <c r="AL243" i="1"/>
  <c r="AL235" i="1"/>
  <c r="AL227" i="1"/>
  <c r="AL219" i="1"/>
  <c r="AL211" i="1"/>
  <c r="AL203" i="1"/>
  <c r="AL195" i="1"/>
  <c r="AL187" i="1"/>
  <c r="AL179" i="1"/>
  <c r="AL171" i="1"/>
  <c r="AL163" i="1"/>
  <c r="AL155" i="1"/>
  <c r="AL147" i="1"/>
  <c r="AL131" i="1"/>
  <c r="AL123" i="1"/>
  <c r="AL115" i="1"/>
  <c r="AL107" i="1"/>
  <c r="AL99" i="1"/>
  <c r="AL91" i="1"/>
  <c r="AL83" i="1"/>
  <c r="AL67" i="1"/>
  <c r="AL59" i="1"/>
  <c r="AL51" i="1"/>
  <c r="AL43" i="1"/>
  <c r="AL35" i="1"/>
  <c r="AL22" i="1"/>
  <c r="AL6" i="1"/>
  <c r="AL10" i="1"/>
  <c r="AL698" i="1"/>
  <c r="AL690" i="1"/>
  <c r="AL682" i="1"/>
  <c r="AL674" i="1"/>
  <c r="AL666" i="1"/>
  <c r="AL658" i="1"/>
  <c r="AL650" i="1"/>
  <c r="AL642" i="1"/>
  <c r="AL634" i="1"/>
  <c r="AL626" i="1"/>
  <c r="AL618" i="1"/>
  <c r="AL610" i="1"/>
  <c r="AL602" i="1"/>
  <c r="AL594" i="1"/>
  <c r="AL586" i="1"/>
  <c r="AL578" i="1"/>
  <c r="AL570" i="1"/>
  <c r="AL562" i="1"/>
  <c r="AL554" i="1"/>
  <c r="AL546" i="1"/>
  <c r="AL538" i="1"/>
  <c r="AL530" i="1"/>
  <c r="AL522" i="1"/>
  <c r="AL514" i="1"/>
  <c r="AL506" i="1"/>
  <c r="AL498" i="1"/>
  <c r="AL490" i="1"/>
  <c r="AL482" i="1"/>
  <c r="AL474" i="1"/>
  <c r="AL466" i="1"/>
  <c r="AL458" i="1"/>
  <c r="AL450" i="1"/>
  <c r="AL442" i="1"/>
  <c r="AL434" i="1"/>
  <c r="AL426" i="1"/>
  <c r="AL418" i="1"/>
  <c r="AL410" i="1"/>
  <c r="AL402" i="1"/>
  <c r="AL394" i="1"/>
  <c r="AL386" i="1"/>
  <c r="AL378" i="1"/>
  <c r="AL370" i="1"/>
  <c r="AL362" i="1"/>
  <c r="AL354" i="1"/>
  <c r="AL346" i="1"/>
  <c r="AL338" i="1"/>
  <c r="AL330" i="1"/>
  <c r="AL322" i="1"/>
  <c r="AL314" i="1"/>
  <c r="AL298" i="1"/>
  <c r="AL290" i="1"/>
  <c r="AL282" i="1"/>
  <c r="AL274" i="1"/>
  <c r="AL266" i="1"/>
  <c r="AL258" i="1"/>
  <c r="AL250" i="1"/>
  <c r="AL242" i="1"/>
  <c r="AL234" i="1"/>
  <c r="AL226" i="1"/>
  <c r="AL218" i="1"/>
  <c r="AL210" i="1"/>
  <c r="AL202" i="1"/>
  <c r="AL194" i="1"/>
  <c r="AL697" i="1"/>
  <c r="AL689" i="1"/>
  <c r="AL681" i="1"/>
  <c r="AL673" i="1"/>
  <c r="AL665" i="1"/>
  <c r="AL657" i="1"/>
  <c r="AL649" i="1"/>
  <c r="AL641" i="1"/>
  <c r="AL633" i="1"/>
  <c r="AL625" i="1"/>
  <c r="AL617" i="1"/>
  <c r="AL609" i="1"/>
  <c r="AL601" i="1"/>
  <c r="AL593" i="1"/>
  <c r="AL585" i="1"/>
  <c r="AL577" i="1"/>
  <c r="AL569" i="1"/>
  <c r="AL561" i="1"/>
  <c r="AL553" i="1"/>
  <c r="AL545" i="1"/>
  <c r="AL537" i="1"/>
  <c r="AL529" i="1"/>
  <c r="AL521" i="1"/>
  <c r="AL513" i="1"/>
  <c r="AL505" i="1"/>
  <c r="AL497" i="1"/>
  <c r="AL489" i="1"/>
  <c r="AL481" i="1"/>
  <c r="AL473" i="1"/>
  <c r="AL465" i="1"/>
  <c r="AL457" i="1"/>
  <c r="AL449" i="1"/>
  <c r="AL441" i="1"/>
  <c r="AL433" i="1"/>
  <c r="AL425" i="1"/>
  <c r="AL417" i="1"/>
  <c r="AL409" i="1"/>
  <c r="AL401" i="1"/>
  <c r="AL393" i="1"/>
  <c r="AL385" i="1"/>
  <c r="AL377" i="1"/>
  <c r="AL369" i="1"/>
  <c r="AL361" i="1"/>
  <c r="AL353" i="1"/>
  <c r="AL345" i="1"/>
  <c r="AL337" i="1"/>
  <c r="AL329" i="1"/>
  <c r="AL321" i="1"/>
  <c r="AL313" i="1"/>
  <c r="AL305" i="1"/>
  <c r="AL289" i="1"/>
  <c r="AL281" i="1"/>
  <c r="AL273" i="1"/>
  <c r="AL265" i="1"/>
  <c r="AL257" i="1"/>
  <c r="AL249" i="1"/>
  <c r="AL241" i="1"/>
  <c r="AL233" i="1"/>
  <c r="AL225" i="1"/>
  <c r="AL217" i="1"/>
  <c r="AL209" i="1"/>
  <c r="AL201" i="1"/>
  <c r="AL181" i="1"/>
  <c r="AL173" i="1"/>
  <c r="AL165" i="1"/>
  <c r="AL157" i="1"/>
  <c r="AL149" i="1"/>
  <c r="AL141" i="1"/>
  <c r="AL133" i="1"/>
  <c r="AL125" i="1"/>
  <c r="AL117" i="1"/>
  <c r="AL109" i="1"/>
  <c r="AL101" i="1"/>
  <c r="AL93" i="1"/>
  <c r="AL85" i="1"/>
  <c r="AL77" i="1"/>
  <c r="AL69" i="1"/>
  <c r="AL61" i="1"/>
  <c r="AL53" i="1"/>
  <c r="AL45" i="1"/>
  <c r="AL37" i="1"/>
  <c r="AL29" i="1"/>
  <c r="AL9" i="1"/>
  <c r="AL21" i="1"/>
  <c r="AL4" i="1"/>
  <c r="AL186" i="1"/>
  <c r="AL178" i="1"/>
  <c r="AL170" i="1"/>
  <c r="AL162" i="1"/>
  <c r="AL154" i="1"/>
  <c r="AL146" i="1"/>
  <c r="AL138" i="1"/>
  <c r="AL130" i="1"/>
  <c r="AL122" i="1"/>
  <c r="AL114" i="1"/>
  <c r="AL106" i="1"/>
  <c r="AL98" i="1"/>
  <c r="AL90" i="1"/>
  <c r="AL82" i="1"/>
  <c r="AL74" i="1"/>
  <c r="AL66" i="1"/>
  <c r="AL58" i="1"/>
  <c r="AL50" i="1"/>
  <c r="AL42" i="1"/>
  <c r="AL34" i="1"/>
  <c r="AL20" i="1"/>
  <c r="AL28" i="1"/>
  <c r="AL15" i="1"/>
  <c r="AL193" i="1"/>
  <c r="AL185" i="1"/>
  <c r="AL177" i="1"/>
  <c r="AL169" i="1"/>
  <c r="AL161" i="1"/>
  <c r="AL153" i="1"/>
  <c r="AL145" i="1"/>
  <c r="AL137" i="1"/>
  <c r="AL129" i="1"/>
  <c r="AL121" i="1"/>
  <c r="AL113" i="1"/>
  <c r="AL105" i="1"/>
  <c r="AL97" i="1"/>
  <c r="AL89" i="1"/>
  <c r="AL81" i="1"/>
  <c r="AL73" i="1"/>
  <c r="AL65" i="1"/>
  <c r="AL57" i="1"/>
  <c r="AL49" i="1"/>
  <c r="AL41" i="1"/>
  <c r="AL33" i="1"/>
  <c r="AL18" i="1"/>
  <c r="AL27" i="1"/>
  <c r="AL13" i="1"/>
  <c r="AL264" i="1"/>
  <c r="AL256" i="1"/>
  <c r="AL248" i="1"/>
  <c r="AL240" i="1"/>
  <c r="AL232" i="1"/>
  <c r="AL224" i="1"/>
  <c r="AL216" i="1"/>
  <c r="AL208" i="1"/>
  <c r="AL200" i="1"/>
  <c r="AL192" i="1"/>
  <c r="AL184" i="1"/>
  <c r="AL176" i="1"/>
  <c r="AL168" i="1"/>
  <c r="AL160" i="1"/>
  <c r="AL152" i="1"/>
  <c r="AL144" i="1"/>
  <c r="AL136" i="1"/>
  <c r="AL128" i="1"/>
  <c r="AL120" i="1"/>
  <c r="AL112" i="1"/>
  <c r="AL104" i="1"/>
  <c r="AL96" i="1"/>
  <c r="AL88" i="1"/>
  <c r="AL80" i="1"/>
  <c r="AL72" i="1"/>
  <c r="AL64" i="1"/>
  <c r="AL56" i="1"/>
  <c r="AL48" i="1"/>
  <c r="AL40" i="1"/>
  <c r="AL32" i="1"/>
  <c r="AL16" i="1"/>
  <c r="AL26" i="1"/>
  <c r="AL11" i="1"/>
  <c r="AL183" i="1"/>
  <c r="AL175" i="1"/>
  <c r="AL167" i="1"/>
  <c r="AL159" i="1"/>
  <c r="AL151" i="1"/>
  <c r="AL143" i="1"/>
  <c r="AL135" i="1"/>
  <c r="AL127" i="1"/>
  <c r="AL119" i="1"/>
  <c r="AL111" i="1"/>
  <c r="AL103" i="1"/>
  <c r="AL95" i="1"/>
  <c r="AL87" i="1"/>
  <c r="AL79" i="1"/>
  <c r="AL71" i="1"/>
  <c r="AL63" i="1"/>
  <c r="AL55" i="1"/>
  <c r="AL47" i="1"/>
  <c r="AL39" i="1"/>
  <c r="AL31" i="1"/>
  <c r="AL14" i="1"/>
  <c r="AL25" i="1"/>
  <c r="AL8" i="1"/>
  <c r="AL182" i="1"/>
  <c r="AL174" i="1"/>
  <c r="AL166" i="1"/>
  <c r="AL158" i="1"/>
  <c r="AL150" i="1"/>
  <c r="AL142" i="1"/>
  <c r="AL134" i="1"/>
  <c r="AL126" i="1"/>
  <c r="AL118" i="1"/>
  <c r="AL110" i="1"/>
  <c r="AL102" i="1"/>
  <c r="AL94" i="1"/>
  <c r="AL86" i="1"/>
  <c r="AL78" i="1"/>
  <c r="AL70" i="1"/>
  <c r="AL62" i="1"/>
  <c r="AL54" i="1"/>
  <c r="AL46" i="1"/>
  <c r="AL38" i="1"/>
  <c r="AL30" i="1"/>
  <c r="AL19" i="1"/>
  <c r="AL23" i="1"/>
  <c r="AL5" i="1"/>
  <c r="D12" i="3" l="1" a="1"/>
  <c r="D12" i="3" s="1"/>
  <c r="D3" i="3"/>
  <c r="D39" i="3"/>
  <c r="D11" i="3"/>
  <c r="C23" i="4"/>
  <c r="C22" i="4"/>
  <c r="C17" i="4"/>
  <c r="C7" i="4"/>
  <c r="AH7" i="3"/>
  <c r="J13" i="3"/>
  <c r="F7" i="3" a="1"/>
  <c r="F7" i="3" s="1"/>
  <c r="E6" i="3"/>
  <c r="B7" i="8"/>
  <c r="G15" i="8" s="1"/>
  <c r="B6" i="8"/>
  <c r="N14" i="8" s="1"/>
  <c r="B5" i="8"/>
  <c r="N13" i="8" s="1"/>
  <c r="B4" i="8"/>
  <c r="N11" i="8" s="1"/>
  <c r="B3" i="8"/>
  <c r="F10" i="8" s="1"/>
  <c r="B2" i="8"/>
  <c r="N9" i="8" s="1"/>
  <c r="AR2" i="1"/>
  <c r="AO2" i="1"/>
  <c r="AN2" i="1"/>
  <c r="AM2" i="1"/>
  <c r="Z2" i="1"/>
  <c r="X2" i="1"/>
  <c r="F15" i="8" l="1"/>
  <c r="AP10" i="3"/>
  <c r="D17" i="3" s="1"/>
  <c r="AS10" i="3"/>
  <c r="AR10" i="3" s="1"/>
  <c r="D18" i="3" s="1"/>
  <c r="AS14" i="3"/>
  <c r="AR14" i="3" s="1"/>
  <c r="I18" i="3" s="1"/>
  <c r="AQ14" i="3"/>
  <c r="AP14" i="3" s="1"/>
  <c r="I17" i="3" s="1"/>
  <c r="I35" i="3"/>
  <c r="AS15" i="3"/>
  <c r="AR15" i="3" s="1"/>
  <c r="J18" i="3" s="1"/>
  <c r="AQ15" i="3"/>
  <c r="AP15" i="3" s="1"/>
  <c r="J17" i="3" s="1"/>
  <c r="AQ13" i="3"/>
  <c r="AP13" i="3" s="1"/>
  <c r="H17" i="3" s="1"/>
  <c r="AS13" i="3"/>
  <c r="AR13" i="3" s="1"/>
  <c r="H18" i="3" s="1"/>
  <c r="E13" i="3"/>
  <c r="E21" i="3"/>
  <c r="E22" i="3"/>
  <c r="E20" i="3"/>
  <c r="F13" i="3"/>
  <c r="F22" i="3"/>
  <c r="F20" i="3"/>
  <c r="F21" i="3"/>
  <c r="H13" i="3"/>
  <c r="H22" i="3"/>
  <c r="H20" i="3"/>
  <c r="H21" i="3"/>
  <c r="I13" i="3"/>
  <c r="I22" i="3"/>
  <c r="I20" i="3"/>
  <c r="I21" i="3"/>
  <c r="J7" i="3" a="1"/>
  <c r="J7" i="3" s="1"/>
  <c r="AU6" i="7"/>
  <c r="AU5" i="7"/>
  <c r="F14" i="8"/>
  <c r="G14" i="8"/>
  <c r="N10" i="8"/>
  <c r="N12" i="8" s="1"/>
  <c r="N15" i="8"/>
  <c r="F9" i="8"/>
  <c r="F2" i="3"/>
  <c r="G10" i="8"/>
  <c r="AG13" i="3"/>
  <c r="F19" i="3"/>
  <c r="F27" i="3"/>
  <c r="J35" i="3"/>
  <c r="F45" i="3"/>
  <c r="AH13" i="3"/>
  <c r="J19" i="3"/>
  <c r="F30" i="3"/>
  <c r="F36" i="3"/>
  <c r="F46" i="3"/>
  <c r="F14" i="3"/>
  <c r="F23" i="3"/>
  <c r="F31" i="3"/>
  <c r="F37" i="3"/>
  <c r="J46" i="3"/>
  <c r="F11" i="8"/>
  <c r="J2" i="3"/>
  <c r="F15" i="3"/>
  <c r="AY6" i="7" s="1"/>
  <c r="F24" i="3"/>
  <c r="J31" i="3"/>
  <c r="F41" i="3"/>
  <c r="F47" i="3"/>
  <c r="G11" i="8"/>
  <c r="F8" i="3"/>
  <c r="J15" i="3"/>
  <c r="AY12" i="7" s="1"/>
  <c r="F25" i="3"/>
  <c r="F32" i="3"/>
  <c r="F42" i="3"/>
  <c r="F9" i="3"/>
  <c r="F16" i="3"/>
  <c r="AZ6" i="7" s="1"/>
  <c r="F26" i="3"/>
  <c r="AV6" i="7" s="1"/>
  <c r="F33" i="3"/>
  <c r="J42" i="3"/>
  <c r="G13" i="8"/>
  <c r="AG9" i="3"/>
  <c r="AL9" i="3" s="1"/>
  <c r="AN9" i="3" s="1"/>
  <c r="J26" i="3"/>
  <c r="AV12" i="7" s="1"/>
  <c r="F34" i="3"/>
  <c r="F43" i="3"/>
  <c r="F13" i="8"/>
  <c r="F6" i="3"/>
  <c r="F10" i="3"/>
  <c r="AJ27" i="3"/>
  <c r="F35" i="3"/>
  <c r="F44" i="3"/>
  <c r="E8" i="3"/>
  <c r="AP2" i="1"/>
  <c r="T14" i="8"/>
  <c r="S14" i="8"/>
  <c r="R14" i="8"/>
  <c r="H14" i="8"/>
  <c r="AX5" i="7"/>
  <c r="E48" i="3"/>
  <c r="J9" i="3"/>
  <c r="J10" i="3"/>
  <c r="J16" i="3"/>
  <c r="AZ12" i="7" s="1"/>
  <c r="J23" i="3"/>
  <c r="AN27" i="3"/>
  <c r="J32" i="3"/>
  <c r="J36" i="3"/>
  <c r="J43" i="3"/>
  <c r="J47" i="3"/>
  <c r="AU12" i="7"/>
  <c r="J24" i="3"/>
  <c r="J27" i="3"/>
  <c r="J33" i="3"/>
  <c r="J37" i="3"/>
  <c r="J44" i="3"/>
  <c r="J8" i="3"/>
  <c r="J6" i="3"/>
  <c r="J14" i="3"/>
  <c r="AX12" i="7" s="1"/>
  <c r="J25" i="3"/>
  <c r="J30" i="3"/>
  <c r="J34" i="3"/>
  <c r="J41" i="3"/>
  <c r="J45" i="3"/>
  <c r="I8" i="3"/>
  <c r="I30" i="3"/>
  <c r="I41" i="3"/>
  <c r="I2" i="3"/>
  <c r="I24" i="3"/>
  <c r="I33" i="3"/>
  <c r="I44" i="3"/>
  <c r="I16" i="3"/>
  <c r="AZ11" i="7" s="1"/>
  <c r="AM27" i="3"/>
  <c r="I36" i="3"/>
  <c r="I47" i="3"/>
  <c r="AU11" i="7"/>
  <c r="I7" i="3" a="1"/>
  <c r="I7" i="3" s="1"/>
  <c r="I9" i="3"/>
  <c r="I19" i="3"/>
  <c r="I31" i="3"/>
  <c r="I42" i="3"/>
  <c r="I14" i="3"/>
  <c r="AX11" i="7" s="1"/>
  <c r="I25" i="3"/>
  <c r="I34" i="3"/>
  <c r="I45" i="3"/>
  <c r="I27" i="3"/>
  <c r="I37" i="3"/>
  <c r="I23" i="3"/>
  <c r="I32" i="3"/>
  <c r="I43" i="3"/>
  <c r="I5" i="3" a="1"/>
  <c r="I5" i="3" s="1"/>
  <c r="I6" i="3"/>
  <c r="I10" i="3"/>
  <c r="I15" i="3"/>
  <c r="AY11" i="7" s="1"/>
  <c r="I26" i="3"/>
  <c r="AV11" i="7" s="1"/>
  <c r="I46" i="3"/>
  <c r="AV4" i="7"/>
  <c r="AU4" i="7"/>
  <c r="AJ45" i="3" a="1"/>
  <c r="AJ45" i="3" s="1"/>
  <c r="AL2" i="1"/>
  <c r="AQ2" i="1"/>
  <c r="H11" i="8" s="1"/>
  <c r="F38" i="3"/>
  <c r="J40" i="3"/>
  <c r="G9" i="8"/>
  <c r="AX6" i="7"/>
  <c r="T10" i="8"/>
  <c r="S10" i="8"/>
  <c r="R13" i="8"/>
  <c r="N16" i="8"/>
  <c r="T13" i="8"/>
  <c r="T9" i="8"/>
  <c r="AJ41" i="3" a="1"/>
  <c r="AJ41" i="3" s="1"/>
  <c r="AJ42" i="3" a="1"/>
  <c r="AJ42" i="3" s="1"/>
  <c r="F48" i="3"/>
  <c r="I48" i="3"/>
  <c r="T11" i="8"/>
  <c r="J48" i="3"/>
  <c r="T15" i="8"/>
  <c r="AJ43" i="3" a="1"/>
  <c r="AJ43" i="3" s="1"/>
  <c r="AH41" i="3" a="1"/>
  <c r="AH41" i="3" s="1"/>
  <c r="R10" i="8"/>
  <c r="S13" i="8"/>
  <c r="I38" i="3"/>
  <c r="AI41" i="3" a="1"/>
  <c r="AI41" i="3" s="1"/>
  <c r="J38" i="3"/>
  <c r="S15" i="8"/>
  <c r="AI43" i="3" a="1"/>
  <c r="AI43" i="3" s="1"/>
  <c r="S11" i="8"/>
  <c r="F11" i="3"/>
  <c r="I39" i="3"/>
  <c r="I11" i="3"/>
  <c r="AI45" i="3" a="1"/>
  <c r="AI45" i="3" s="1"/>
  <c r="F40" i="3"/>
  <c r="S9" i="8"/>
  <c r="I40" i="3"/>
  <c r="R9" i="8"/>
  <c r="I4" i="3"/>
  <c r="BB11" i="7" s="1"/>
  <c r="J4" i="3"/>
  <c r="BB12" i="7" s="1"/>
  <c r="J5" i="3" a="1"/>
  <c r="J5" i="3" s="1"/>
  <c r="AH45" i="3" a="1"/>
  <c r="AH45" i="3" s="1"/>
  <c r="F28" i="3"/>
  <c r="I28" i="3"/>
  <c r="F29" i="3"/>
  <c r="E5" i="3" a="1"/>
  <c r="E5" i="3" s="1"/>
  <c r="J28" i="3"/>
  <c r="I29" i="3"/>
  <c r="AH43" i="3" a="1"/>
  <c r="AH43" i="3" s="1"/>
  <c r="F5" i="3" a="1"/>
  <c r="F5" i="3" s="1"/>
  <c r="J29" i="3"/>
  <c r="R11" i="8"/>
  <c r="R15" i="8"/>
  <c r="F4" i="3"/>
  <c r="BB6" i="7" s="1"/>
  <c r="H23" i="3"/>
  <c r="H10" i="3"/>
  <c r="H41" i="3"/>
  <c r="H6" i="3"/>
  <c r="H9" i="3"/>
  <c r="H14" i="3"/>
  <c r="AX10" i="7" s="1"/>
  <c r="H16" i="3"/>
  <c r="AZ10" i="7" s="1"/>
  <c r="AL29" i="3" a="1"/>
  <c r="AL29" i="3" s="1"/>
  <c r="H29" i="3"/>
  <c r="H31" i="3"/>
  <c r="H34" i="3"/>
  <c r="H36" i="3"/>
  <c r="H37" i="3"/>
  <c r="H46" i="3"/>
  <c r="H48" i="3"/>
  <c r="H4" i="3"/>
  <c r="BB10" i="7" s="1"/>
  <c r="H5" i="3" a="1"/>
  <c r="H5" i="3" s="1"/>
  <c r="H24" i="3"/>
  <c r="H44" i="3"/>
  <c r="H26" i="3"/>
  <c r="AV10" i="7" s="1"/>
  <c r="H27" i="3"/>
  <c r="AH42" i="3" a="1"/>
  <c r="AH42" i="3" s="1"/>
  <c r="H42" i="3"/>
  <c r="AU10" i="7"/>
  <c r="H2" i="3"/>
  <c r="H7" i="3" a="1"/>
  <c r="H7" i="3" s="1"/>
  <c r="H28" i="3"/>
  <c r="H15" i="3"/>
  <c r="AY10" i="7" s="1"/>
  <c r="H19" i="3"/>
  <c r="H30" i="3"/>
  <c r="H32" i="3"/>
  <c r="H33" i="3"/>
  <c r="H35" i="3"/>
  <c r="H38" i="3"/>
  <c r="H40" i="3"/>
  <c r="AI42" i="3" a="1"/>
  <c r="AI42" i="3" s="1"/>
  <c r="H45" i="3"/>
  <c r="H47" i="3"/>
  <c r="H25" i="3"/>
  <c r="H43" i="3"/>
  <c r="AL27" i="3"/>
  <c r="E25" i="3"/>
  <c r="E14" i="3"/>
  <c r="AK17" i="3"/>
  <c r="E9" i="3"/>
  <c r="E10" i="3"/>
  <c r="AJ40" i="3" a="1"/>
  <c r="AJ40" i="3" s="1"/>
  <c r="E45" i="3"/>
  <c r="AG12" i="3"/>
  <c r="E27" i="3"/>
  <c r="E30" i="3"/>
  <c r="E34" i="3"/>
  <c r="E38" i="3"/>
  <c r="E47" i="3"/>
  <c r="E16" i="3"/>
  <c r="AZ5" i="7" s="1"/>
  <c r="E19" i="3"/>
  <c r="E40" i="3"/>
  <c r="E42" i="3"/>
  <c r="E24" i="3"/>
  <c r="AI27" i="3"/>
  <c r="E28" i="3"/>
  <c r="E32" i="3"/>
  <c r="E36" i="3"/>
  <c r="AH40" i="3" a="1"/>
  <c r="AH40" i="3" s="1"/>
  <c r="E44" i="3"/>
  <c r="AG8" i="3"/>
  <c r="AL8" i="3" s="1"/>
  <c r="AN8" i="3" s="1"/>
  <c r="E11" i="3"/>
  <c r="AH12" i="3"/>
  <c r="E29" i="3"/>
  <c r="E33" i="3"/>
  <c r="E37" i="3"/>
  <c r="E46" i="3"/>
  <c r="E4" i="3"/>
  <c r="BB5" i="7" s="1"/>
  <c r="E15" i="3"/>
  <c r="AY5" i="7" s="1"/>
  <c r="AI40" i="3" a="1"/>
  <c r="AI40" i="3" s="1"/>
  <c r="E2" i="3"/>
  <c r="E23" i="3"/>
  <c r="E26" i="3"/>
  <c r="AV5" i="7" s="1"/>
  <c r="E31" i="3"/>
  <c r="E35" i="3"/>
  <c r="E41" i="3"/>
  <c r="E43" i="3"/>
  <c r="AH11" i="3"/>
  <c r="AI39" i="3" a="1"/>
  <c r="AI39" i="3" s="1"/>
  <c r="AX4" i="7"/>
  <c r="AZ4" i="7"/>
  <c r="AH27" i="3"/>
  <c r="AJ39" i="3" a="1"/>
  <c r="AJ39" i="3" s="1"/>
  <c r="AY4" i="7"/>
  <c r="AG7" i="3"/>
  <c r="AL7" i="3" s="1"/>
  <c r="AN7" i="3" s="1"/>
  <c r="BB4" i="7"/>
  <c r="AH28" i="3"/>
  <c r="AH39" i="3" a="1"/>
  <c r="AH39" i="3" s="1"/>
  <c r="AG11" i="3"/>
  <c r="AH32" i="3" l="1"/>
  <c r="G12" i="8"/>
  <c r="G16" i="8"/>
  <c r="AL13" i="3"/>
  <c r="AN13" i="3" s="1"/>
  <c r="R16" i="8"/>
  <c r="AG2" i="3" a="1"/>
  <c r="AG2" i="3" s="1"/>
  <c r="H9" i="8"/>
  <c r="H15" i="8"/>
  <c r="AH29" i="3" a="1"/>
  <c r="AH29" i="3" s="1"/>
  <c r="E39" i="3"/>
  <c r="AI28" i="3"/>
  <c r="H11" i="3"/>
  <c r="AI29" i="3" a="1"/>
  <c r="AI29" i="3" s="1"/>
  <c r="J11" i="3"/>
  <c r="AG3" i="3" a="1"/>
  <c r="AG3" i="3" s="1"/>
  <c r="AH2" i="3"/>
  <c r="AL28" i="3"/>
  <c r="H39" i="3"/>
  <c r="AJ28" i="3"/>
  <c r="AV9" i="7"/>
  <c r="F12" i="3" a="1"/>
  <c r="F12" i="3" s="1"/>
  <c r="I12" i="3" a="1"/>
  <c r="I12" i="3" s="1"/>
  <c r="E3" i="3"/>
  <c r="AN29" i="3" a="1"/>
  <c r="AN29" i="3" s="1"/>
  <c r="H12" i="3" a="1"/>
  <c r="H12" i="3" s="1"/>
  <c r="AG4" i="3" a="1"/>
  <c r="AG4" i="3" s="1"/>
  <c r="E12" i="3" a="1"/>
  <c r="E12" i="3" s="1"/>
  <c r="L3" i="8"/>
  <c r="AJ29" i="3" a="1"/>
  <c r="AJ29" i="3" s="1"/>
  <c r="AN28" i="3"/>
  <c r="AM29" i="3" a="1"/>
  <c r="AM29" i="3" s="1"/>
  <c r="F39" i="3"/>
  <c r="J39" i="3"/>
  <c r="J12" i="3" a="1"/>
  <c r="J12" i="3" s="1"/>
  <c r="AK16" i="3"/>
  <c r="AM28" i="3"/>
  <c r="AV3" i="7"/>
  <c r="AL11" i="3"/>
  <c r="AN11" i="3" s="1"/>
  <c r="S16" i="8"/>
  <c r="S12" i="8"/>
  <c r="AJ32" i="3"/>
  <c r="T16" i="8"/>
  <c r="T12" i="8"/>
  <c r="P4" i="8"/>
  <c r="O4" i="8"/>
  <c r="R12" i="8"/>
  <c r="AJ37" i="3"/>
  <c r="AJ33" i="3"/>
  <c r="J3" i="3"/>
  <c r="AK41" i="3"/>
  <c r="AH37" i="3"/>
  <c r="H10" i="8"/>
  <c r="H13" i="8"/>
  <c r="P3" i="8"/>
  <c r="O3" i="8"/>
  <c r="L4" i="8"/>
  <c r="K4" i="8"/>
  <c r="AG18" i="3" a="1"/>
  <c r="AG18" i="3" s="1"/>
  <c r="AG17" i="3" a="1"/>
  <c r="AG17" i="3" s="1"/>
  <c r="K5" i="8"/>
  <c r="AG16" i="3" a="1"/>
  <c r="AG16" i="3" s="1"/>
  <c r="AH16" i="3"/>
  <c r="AK18" i="3"/>
  <c r="O5" i="8"/>
  <c r="AK43" i="3"/>
  <c r="AI37" i="3"/>
  <c r="AI33" i="3"/>
  <c r="AK45" i="3"/>
  <c r="H3" i="3"/>
  <c r="AH33" i="3"/>
  <c r="L5" i="8"/>
  <c r="K3" i="8"/>
  <c r="I3" i="3"/>
  <c r="F3" i="3"/>
  <c r="P5" i="8"/>
  <c r="AK42" i="3"/>
  <c r="AK40" i="3"/>
  <c r="AL12" i="3"/>
  <c r="AN12" i="3" s="1"/>
  <c r="AI32" i="3"/>
  <c r="AI36" i="3"/>
  <c r="AH36" i="3"/>
  <c r="AJ36" i="3"/>
  <c r="AK39" i="3"/>
  <c r="AK28" i="3" l="1"/>
  <c r="H16" i="8"/>
  <c r="AL4" i="3"/>
  <c r="AN4" i="3" s="1"/>
  <c r="AK29" i="3"/>
  <c r="H12" i="8"/>
  <c r="AO28" i="3"/>
  <c r="AL3" i="3"/>
  <c r="AN3" i="3" s="1"/>
  <c r="AO29" i="3"/>
  <c r="AL2" i="3"/>
  <c r="AN2" i="3" s="1"/>
  <c r="AK32" i="3"/>
  <c r="AK37" i="3"/>
  <c r="O6" i="8"/>
  <c r="AK33" i="3"/>
  <c r="K6" i="8"/>
  <c r="P6" i="8"/>
  <c r="L6" i="8"/>
  <c r="AL18" i="3"/>
  <c r="AN18" i="3" s="1"/>
  <c r="AL17" i="3"/>
  <c r="AN17" i="3" s="1"/>
  <c r="AL16" i="3"/>
  <c r="AN16" i="3" s="1"/>
  <c r="AK36"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<sst xmlns="http://schemas.openxmlformats.org/spreadsheetml/2006/main" count="595" uniqueCount="337">
  <si>
    <t>Auton start</t>
  </si>
  <si>
    <t>Auton Scored High</t>
  </si>
  <si>
    <t>Auton Scored Low</t>
  </si>
  <si>
    <t>Auton Move Off Line</t>
  </si>
  <si>
    <t>Balls Scored From Trench</t>
  </si>
  <si>
    <t>Balls Scored from Mid</t>
  </si>
  <si>
    <t>Balls Scored From Alliance zone</t>
  </si>
  <si>
    <t>Balls Passed</t>
  </si>
  <si>
    <t>Control Panels Spun</t>
  </si>
  <si>
    <t>Control Panel Color</t>
  </si>
  <si>
    <t>Defense Level</t>
  </si>
  <si>
    <t>Climbed</t>
  </si>
  <si>
    <t>Adjustable Climber</t>
  </si>
  <si>
    <t>Lift other Robot</t>
  </si>
  <si>
    <t>Any Fouls</t>
  </si>
  <si>
    <t>Breakdown/ No Show</t>
  </si>
  <si>
    <t>team #</t>
  </si>
  <si>
    <t>auton balls scored high</t>
  </si>
  <si>
    <t>auton balls scored low</t>
  </si>
  <si>
    <t xml:space="preserve">scored from trench </t>
  </si>
  <si>
    <t xml:space="preserve">auton balls picked up in trench </t>
  </si>
  <si>
    <t>balls scored from mid</t>
  </si>
  <si>
    <t>shot from alliance zone</t>
  </si>
  <si>
    <t>balls passed</t>
  </si>
  <si>
    <t xml:space="preserve">auton extra balls </t>
  </si>
  <si>
    <t>moved off line</t>
  </si>
  <si>
    <t>end climb</t>
  </si>
  <si>
    <t>end adjustible climb</t>
  </si>
  <si>
    <t>auton extra balls picked up</t>
  </si>
  <si>
    <t>auton balls scored</t>
  </si>
  <si>
    <t>balls scored high</t>
  </si>
  <si>
    <t>balls scored low</t>
  </si>
  <si>
    <t>balls scored</t>
  </si>
  <si>
    <t>match number</t>
  </si>
  <si>
    <t>commment</t>
  </si>
  <si>
    <t>recovery</t>
  </si>
  <si>
    <t>auton our score</t>
  </si>
  <si>
    <t>teleop our score</t>
  </si>
  <si>
    <t>Balls scored low</t>
  </si>
  <si>
    <t>panel color</t>
  </si>
  <si>
    <t>panel spun</t>
  </si>
  <si>
    <t>Endgame our score</t>
  </si>
  <si>
    <t>scouter initials</t>
  </si>
  <si>
    <t>"MB"</t>
  </si>
  <si>
    <t>our score</t>
  </si>
  <si>
    <t>auton extra balls picked up2</t>
  </si>
  <si>
    <t>Control Panels Spun3</t>
  </si>
  <si>
    <t>Number of teams</t>
  </si>
  <si>
    <t>Sum of Control Panels Spun</t>
  </si>
  <si>
    <t>Sum of Control Panel Color</t>
  </si>
  <si>
    <t>Sum of Climbed</t>
  </si>
  <si>
    <t>Sum of Adjustable Climber</t>
  </si>
  <si>
    <t>Sum of Breakdown/ No Show</t>
  </si>
  <si>
    <t>Average of our score</t>
  </si>
  <si>
    <t>Average of Auton Scored High</t>
  </si>
  <si>
    <t>times scouted</t>
  </si>
  <si>
    <t>Average of Auton Scored Low</t>
  </si>
  <si>
    <t>Auton Average Scored Balls</t>
  </si>
  <si>
    <t>Auton Max Scored Balls</t>
  </si>
  <si>
    <t>Max Balls Scored From Trench</t>
  </si>
  <si>
    <t>Max Balls Scored</t>
  </si>
  <si>
    <t>auton start left</t>
  </si>
  <si>
    <t>auton start right</t>
  </si>
  <si>
    <t>Auton start center</t>
  </si>
  <si>
    <t>Average Defense</t>
  </si>
  <si>
    <t>auton scored low</t>
  </si>
  <si>
    <t>auton picked up in trench</t>
  </si>
  <si>
    <t>auton move off line</t>
  </si>
  <si>
    <t>auton ball scored</t>
  </si>
  <si>
    <t>balls scored from alliance zone</t>
  </si>
  <si>
    <t xml:space="preserve">control panel spun </t>
  </si>
  <si>
    <t>control panel color</t>
  </si>
  <si>
    <t>defence level</t>
  </si>
  <si>
    <t>climbed</t>
  </si>
  <si>
    <t>ajustible climb</t>
  </si>
  <si>
    <t>lift other bot</t>
  </si>
  <si>
    <t>break down/no show</t>
  </si>
  <si>
    <t>recover</t>
  </si>
  <si>
    <t>endgame our score</t>
  </si>
  <si>
    <t xml:space="preserve">fouls </t>
  </si>
  <si>
    <t>dial shooter</t>
  </si>
  <si>
    <t>max shooter</t>
  </si>
  <si>
    <t>all balls scored</t>
  </si>
  <si>
    <t>all balls scored high</t>
  </si>
  <si>
    <t>wheel size</t>
  </si>
  <si>
    <t>line thickness</t>
  </si>
  <si>
    <t xml:space="preserve">dial defense </t>
  </si>
  <si>
    <t>max defense</t>
  </si>
  <si>
    <t>dial climb</t>
  </si>
  <si>
    <t>Team Total</t>
  </si>
  <si>
    <t>Avg Balls Scored</t>
  </si>
  <si>
    <t>Auton</t>
  </si>
  <si>
    <t>Teleop</t>
  </si>
  <si>
    <t>Endgame</t>
  </si>
  <si>
    <t>Total</t>
  </si>
  <si>
    <t>Our Alliance</t>
  </si>
  <si>
    <t>Enemy Alliance</t>
  </si>
  <si>
    <t>Our Score avg</t>
  </si>
  <si>
    <t>Our Score max</t>
  </si>
  <si>
    <t>enemy</t>
  </si>
  <si>
    <t>our</t>
  </si>
  <si>
    <t>start left</t>
  </si>
  <si>
    <t>start center</t>
  </si>
  <si>
    <t>start right</t>
  </si>
  <si>
    <t>scored high</t>
  </si>
  <si>
    <t>Team #</t>
  </si>
  <si>
    <t>Low Ball</t>
  </si>
  <si>
    <t>High Ball</t>
  </si>
  <si>
    <t>Alliance Total</t>
  </si>
  <si>
    <t xml:space="preserve"> </t>
  </si>
  <si>
    <t>Auton Balls Picked Up in Mid</t>
  </si>
  <si>
    <t>Control Panel Spun Time</t>
  </si>
  <si>
    <t>Control Panel Color Time</t>
  </si>
  <si>
    <t>Balanced</t>
  </si>
  <si>
    <t>Auton ball picked up in our trench</t>
  </si>
  <si>
    <t>Auton Balls Picked Up In Their Trench</t>
  </si>
  <si>
    <t>"SS"</t>
  </si>
  <si>
    <t>Auton picked up mid</t>
  </si>
  <si>
    <t>Control Panel Time</t>
  </si>
  <si>
    <t>Panel Time</t>
  </si>
  <si>
    <t>Control Panel Spin Time</t>
  </si>
  <si>
    <t>all balls scored Low</t>
  </si>
  <si>
    <t>defense</t>
  </si>
  <si>
    <t>end lift other robot</t>
  </si>
  <si>
    <t>Auton Score</t>
  </si>
  <si>
    <t>Teleop Score</t>
  </si>
  <si>
    <t>Endgame Score</t>
  </si>
  <si>
    <t>Max Points</t>
  </si>
  <si>
    <t>Avg Points</t>
  </si>
  <si>
    <t>Climb</t>
  </si>
  <si>
    <t>Sum Climb</t>
  </si>
  <si>
    <t>max score</t>
  </si>
  <si>
    <t xml:space="preserve">balls scored for trench </t>
  </si>
  <si>
    <t>Auton Ball Own Trench</t>
  </si>
  <si>
    <t>Auton Opposite Ball Trench</t>
  </si>
  <si>
    <t>Auton Ball Middle</t>
  </si>
  <si>
    <t>Avg our score</t>
  </si>
  <si>
    <t>Max of Defense Level</t>
  </si>
  <si>
    <t>macro claps</t>
  </si>
  <si>
    <t xml:space="preserve">Teams     = </t>
  </si>
  <si>
    <t>Avg Balls Scored Low</t>
  </si>
  <si>
    <t>Avg Balls Scored From Alliance Zone</t>
  </si>
  <si>
    <t>Avg Balls Scored From Mid</t>
  </si>
  <si>
    <t>Avg Balls Scored From Trench</t>
  </si>
  <si>
    <t>Avg auton our score</t>
  </si>
  <si>
    <t>Avg teleop our score</t>
  </si>
  <si>
    <t>Avg endgame our score</t>
  </si>
  <si>
    <t>Game names</t>
  </si>
  <si>
    <t>Pmoney</t>
  </si>
  <si>
    <t>Sethy poo</t>
  </si>
  <si>
    <t>little Mac</t>
  </si>
  <si>
    <t>Brad</t>
  </si>
  <si>
    <t>names</t>
  </si>
  <si>
    <t>add power ups</t>
  </si>
  <si>
    <t>Claps</t>
  </si>
  <si>
    <t>v</t>
  </si>
  <si>
    <t>2 claps</t>
  </si>
  <si>
    <t>clasp times</t>
  </si>
  <si>
    <t>time spun w/ out 0</t>
  </si>
  <si>
    <t>sum time spun</t>
  </si>
  <si>
    <t>time spun color w/ out 0</t>
  </si>
  <si>
    <t>color time spun</t>
  </si>
  <si>
    <t>""</t>
  </si>
  <si>
    <t>Average of auton our score</t>
  </si>
  <si>
    <t>Average of teleop our score</t>
  </si>
  <si>
    <t>Average of Endgame our score</t>
  </si>
  <si>
    <t>Max of auton balls scored</t>
  </si>
  <si>
    <t>Average of Balls Scored From Trench</t>
  </si>
  <si>
    <t>Average of balls scored low</t>
  </si>
  <si>
    <t>Average of balls scored</t>
  </si>
  <si>
    <t>Max of balls scored2</t>
  </si>
  <si>
    <t>Max of balls scored high</t>
  </si>
  <si>
    <t>Leveled with us</t>
  </si>
  <si>
    <t>"LL"</t>
  </si>
  <si>
    <t>"MT"</t>
  </si>
  <si>
    <t xml:space="preserve">Wasn't able to shoot any balls </t>
  </si>
  <si>
    <t>"RS"</t>
  </si>
  <si>
    <t>Something went wrong because they seemed like one side of the not was unrisponsive</t>
  </si>
  <si>
    <t>Good intake, they did climb but a ball was under them supporting them so it didn't count</t>
  </si>
  <si>
    <t>"KV"</t>
  </si>
  <si>
    <t xml:space="preserve">Good auto that got two inner ports, got stuck on balls twice, seems to have poor turn around time with shooter
</t>
  </si>
  <si>
    <t>Bot was very shaky, something as wrong with code or drivetrain</t>
  </si>
  <si>
    <t>Balls seemed to get stuck at shooter, possible broken or disconnected motor</t>
  </si>
  <si>
    <t>Very good and consistent shooter</t>
  </si>
  <si>
    <t>"KN"</t>
  </si>
  <si>
    <t>Bumpy/not great drive train, decent bumper gap intake</t>
  </si>
  <si>
    <t>Didn't show up</t>
  </si>
  <si>
    <t>Amazing shooter</t>
  </si>
  <si>
    <t>Very very good intake, about half of the balls they shot went into the small hole</t>
  </si>
  <si>
    <t>Almost climbed, quick shooter</t>
  </si>
  <si>
    <t>Seemed to do very little, inefficient intake and shooter times, may be possible of climbing</t>
  </si>
  <si>
    <t>Tried to climb yet failed</t>
  </si>
  <si>
    <t xml:space="preserve">Good climber </t>
  </si>
  <si>
    <t>Hooked on and almost made it but fell off at the end, was very still at the beginning of the match, has a pop up ball shooter</t>
  </si>
  <si>
    <t>Broke down right before endgame, recovered and tried to shoot but ran out of time</t>
  </si>
  <si>
    <t>Struggled to intake, missed most shots, and could not climb</t>
  </si>
  <si>
    <t>Shredded power cells and inconsistent intake; no attempted shots made it in; broke down mid teleop</t>
  </si>
  <si>
    <t xml:space="preserve">Didn't shoot or intake anything </t>
  </si>
  <si>
    <t>Robot never moved off the start line</t>
  </si>
  <si>
    <t>Didn't do much</t>
  </si>
  <si>
    <t>Intake is decent, has a very strong shooter. During the beginning code freaked out and they rammed the wall. To add on their climber failed and they tipped. They may of had a foul against them</t>
  </si>
  <si>
    <t>Has only a human player load in, no intake, cannot climb and prevented partner from climbing</t>
  </si>
  <si>
    <t>Can't shoot high</t>
  </si>
  <si>
    <t xml:space="preserve">Great shooter </t>
  </si>
  <si>
    <t xml:space="preserve">They climbed but our positions are messed up, consistent climb
</t>
  </si>
  <si>
    <t>The shooter was working but then they weren't able to shoot</t>
  </si>
  <si>
    <t>No auto, took a while to start teleop, could not intake a ball to shoot, tried to play defense but was being pushed around.</t>
  </si>
  <si>
    <t xml:space="preserve">Can only score low balls when they attempted to climb their climber broke they also got a penalty </t>
  </si>
  <si>
    <t>Looked like they tried to get the low goal, but every ball was deflected?</t>
  </si>
  <si>
    <t>"WR"</t>
  </si>
  <si>
    <t>Intake failed at the end of match, did not climb</t>
  </si>
  <si>
    <t>Slammed into alliance partner, causing them to not climb</t>
  </si>
  <si>
    <t>Motor snapped off so we must off gotten some fouls mayby</t>
  </si>
  <si>
    <t>Slow shoot cycle</t>
  </si>
  <si>
    <t>Good intake bad shooter shot a lot made 2</t>
  </si>
  <si>
    <t>They extended their climber early on in the game so they violated the hight limit.</t>
  </si>
  <si>
    <t>Slow shoot</t>
  </si>
  <si>
    <t>All shots were either too low or too high</t>
  </si>
  <si>
    <t>Attempted spin, blue trench violation</t>
  </si>
  <si>
    <t>Alliance robot pushed them into other team</t>
  </si>
  <si>
    <t>They got heavily defended by 190 and some parts flew of them or 190. They tried to climb but their hook popes off. They also smashed into the wall in auto</t>
  </si>
  <si>
    <t>They could not intake balls, the had to drive to the other side of the field and get balks dropped in them</t>
  </si>
  <si>
    <t xml:space="preserve">Poor intake </t>
  </si>
  <si>
    <t>Can only score low</t>
  </si>
  <si>
    <t>Only shoots low</t>
  </si>
  <si>
    <t xml:space="preserve">Not a strong shooter </t>
  </si>
  <si>
    <t>Come on team, what happen with the climber and program</t>
  </si>
  <si>
    <t>Intake issues</t>
  </si>
  <si>
    <t>Overheard they lost pressure before match so shooter not functional</t>
  </si>
  <si>
    <t>"KN "</t>
  </si>
  <si>
    <t>Intake failed used human player station, human player was quick</t>
  </si>
  <si>
    <t>Cross field shots missed, double climb not level, teleop shots failed</t>
  </si>
  <si>
    <t>They broke down and Didn't move</t>
  </si>
  <si>
    <t xml:space="preserve">Shut down during match </t>
  </si>
  <si>
    <t>Seemed to be knocked out by defense</t>
  </si>
  <si>
    <t>Slow intake</t>
  </si>
  <si>
    <t>Most shots are low and missing, broke down in rendezvous point !I'd teleop but recovered for an endgame climb</t>
  </si>
  <si>
    <t>No climber, missed some shots made others</t>
  </si>
  <si>
    <t>Got hit by red by generator switch but still stayed hanging</t>
  </si>
  <si>
    <t xml:space="preserve">The shot with too much power </t>
  </si>
  <si>
    <t>Another robot pushed us in</t>
  </si>
  <si>
    <t>Was hard to tell if it climbed because it was a centimeter off the ground</t>
  </si>
  <si>
    <t>Pushed other robot into climbing robot causing them to loose hanging robot</t>
  </si>
  <si>
    <t>Can fit under trench, has no climber</t>
  </si>
  <si>
    <t>Fast shooter</t>
  </si>
  <si>
    <t>Not the worst intake in the world but not the best either</t>
  </si>
  <si>
    <t>Looks like shooter jammed. Didn't shoot at all</t>
  </si>
  <si>
    <t>Had issues before match and robot never connected</t>
  </si>
  <si>
    <t>No show</t>
  </si>
  <si>
    <t>Bumped into us, causing a foul</t>
  </si>
  <si>
    <t>Quick to human player station hit other alliance robots, rough in rendezvous point lost power cells</t>
  </si>
  <si>
    <t>Struggled to stay vertical while driving, missed all but 1 far trench shots, climber malfunctioned</t>
  </si>
  <si>
    <t xml:space="preserve">Had some mechanical problems during match </t>
  </si>
  <si>
    <t xml:space="preserve">Can only shoot from alliance zone bad intake </t>
  </si>
  <si>
    <t>Balanced by themselves</t>
  </si>
  <si>
    <t>Shot a lot of balls outside the field</t>
  </si>
  <si>
    <t>Pretty sure they broke down, wasnt moving much and smashed into walls</t>
  </si>
  <si>
    <t>Was parked and hit by red when another team tried to park. Intake was consistent but shooter not so much</t>
  </si>
  <si>
    <t>Missed all shooting attempts, consistent intake, may not have been individual robot on fouls but alliance got a lot</t>
  </si>
  <si>
    <t>No auto</t>
  </si>
  <si>
    <t>Steering broke</t>
  </si>
  <si>
    <t xml:space="preserve">Got stuck on the roundeveou point </t>
  </si>
  <si>
    <t>Took a bad hit to intake and was connected but not functional</t>
  </si>
  <si>
    <t xml:space="preserve">Was just short in  shooting </t>
  </si>
  <si>
    <t>They could only score low</t>
  </si>
  <si>
    <t xml:space="preserve">Can only score low </t>
  </si>
  <si>
    <t xml:space="preserve">Good intake, good cycle speed, consistent shooter </t>
  </si>
  <si>
    <t xml:space="preserve">Trench foul, rendezvous foul, touched climbing robot, disconnected </t>
  </si>
  <si>
    <t>Could not get many in low went for defense was not the best, has no climbing option</t>
  </si>
  <si>
    <t>Stayed only on their side, was functional</t>
  </si>
  <si>
    <t>Good intake</t>
  </si>
  <si>
    <t>Only low goal</t>
  </si>
  <si>
    <t>Never intakes more than 2 balls, first climb seen</t>
  </si>
  <si>
    <t>Sat around waiting for climb</t>
  </si>
  <si>
    <t>Did not have scouting tablet but robot was not very active</t>
  </si>
  <si>
    <t>Rough defense</t>
  </si>
  <si>
    <t>Turret was spinning a lot</t>
  </si>
  <si>
    <t>Attempted climb but could not make it up</t>
  </si>
  <si>
    <t xml:space="preserve">Not a good shooter </t>
  </si>
  <si>
    <t>Trench shots may vary by one or two, audience blocked view</t>
  </si>
  <si>
    <t>Inconsistent shooter, no climber mechanism</t>
  </si>
  <si>
    <t>"pp"</t>
  </si>
  <si>
    <t xml:space="preserve">Very accurate. intakes from human play station </t>
  </si>
  <si>
    <t>Tried to climb but could not reach generator switch</t>
  </si>
  <si>
    <t>Defense tech foul</t>
  </si>
  <si>
    <t>Good intake, took time to get shooter aligned, consistent climb</t>
  </si>
  <si>
    <t>Drives up to score</t>
  </si>
  <si>
    <t>Usually climb but climber mechanism malfunctioned, missed all shots but had consistent intake</t>
  </si>
  <si>
    <t>Triple Climb</t>
  </si>
  <si>
    <t xml:space="preserve">Acutate </t>
  </si>
  <si>
    <t>Flipped another robot</t>
  </si>
  <si>
    <t>Struggled to maneuver on the field</t>
  </si>
  <si>
    <t>Can't intake balls off floor, only from human player.</t>
  </si>
  <si>
    <t>Made some power cells in inner port, got heavily defended recovered but then was flipped on its side</t>
  </si>
  <si>
    <t>Good low bot climber doesn't work</t>
  </si>
  <si>
    <t>Something broke dragged a rope with hook</t>
  </si>
  <si>
    <t>Great shooter ðŸ‘Œ</t>
  </si>
  <si>
    <t>Slow shooter.not the best pick</t>
  </si>
  <si>
    <t>Broke down in other alliances rendezvous zone</t>
  </si>
  <si>
    <t>Got defended on so they couldn't score</t>
  </si>
  <si>
    <t>Twords the field and they stopped shooting, may be a mechanical issue</t>
  </si>
  <si>
    <t>Triple climb</t>
  </si>
  <si>
    <t>Was heavily defended and couldn't get around it, stopped early in teleop to climb</t>
  </si>
  <si>
    <t>"super long range fire"</t>
  </si>
  <si>
    <t>Very good team</t>
  </si>
  <si>
    <t>2064 defended them very well so they couldn't score</t>
  </si>
  <si>
    <t>They defended a bit blocked some shots</t>
  </si>
  <si>
    <t>Balanced by ourselves</t>
  </si>
  <si>
    <t>Tried to climb but their corner of the frame is on the ground</t>
  </si>
  <si>
    <t>Shoots high</t>
  </si>
  <si>
    <t>"MT,"</t>
  </si>
  <si>
    <t>Missed far shots, loads at human player station but human players were not to quick, one in inner port</t>
  </si>
  <si>
    <t>Seemed to have a problem with the robot</t>
  </si>
  <si>
    <t>Broke down after auto, recovered scored then stopped for climb with 10 seconds before end, could not climb in time</t>
  </si>
  <si>
    <t>Couldn't see much, everyone was standing in the way</t>
  </si>
  <si>
    <t>Very inaccurate shooter</t>
  </si>
  <si>
    <t>Missed all far shots, got stuck on power cell and ripped it, shooter is not fully tuned missed all teleop shots, part of balanced triple climb</t>
  </si>
  <si>
    <t>Long range but slow drivetrain</t>
  </si>
  <si>
    <t>Failed climb attempt</t>
  </si>
  <si>
    <t>Very very good intake</t>
  </si>
  <si>
    <t>Crashed into driver station wall a lot</t>
  </si>
  <si>
    <t>Ball was jammed so they went on defense. They also tried to climb which failed</t>
  </si>
  <si>
    <t>Extended climber before endgame</t>
  </si>
  <si>
    <t>Tech foul, triple climb, jittery robot</t>
  </si>
  <si>
    <t>Their intake and feeder is not good</t>
  </si>
  <si>
    <t>Defended well a few shots still got past them tho</t>
  </si>
  <si>
    <t>Good trench clearance, quick cycle time with a slower human player</t>
  </si>
  <si>
    <t>Drove slowly while in taking, got balls but struggled to line up to shoot, climbed but fell because hook snapped</t>
  </si>
  <si>
    <t>Can go under trench well</t>
  </si>
  <si>
    <t>Got stuck on control panel frame got unstuck, quick intake</t>
  </si>
  <si>
    <t>Relies on feeder</t>
  </si>
  <si>
    <t>This robot can't do much other than move</t>
  </si>
  <si>
    <t>Sat around entire match</t>
  </si>
  <si>
    <t>They tried to climb but the climber broke</t>
  </si>
  <si>
    <t>Dropped all power cells in their control, broke down recovered and could not move from rendezvous point still climbed</t>
  </si>
  <si>
    <t>Cannot shoot high</t>
  </si>
  <si>
    <t xml:space="preserve">Team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</si>
</sst>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9" x14ac:knownFonts="1">
    <font>
      <sz val="11"/>
      <color theme="1"/>
      <name val="Calibri"/>
      <family val="2"/>
      <scheme val="minor"/>
    </font>
    <font>
      <sz val="22"/>
      <color theme="1"/>
      <name val="Calibri"/>
      <family val="2"/>
      <scheme val="minor"/>
    </font>
    <font>
      <sz val="24"/>
      <color theme="1"/>
      <name val="Calibri"/>
      <family val="2"/>
      <scheme val="minor"/>
    </font>
    <font>
      <u/>
      <sz val="11"/>
      <color theme="10"/>
      <name val="Calibri"/>
      <family val="2"/>
      <scheme val="minor"/>
    </font>
    <font>
      <sz val="11"/>
      <color theme="0"/>
      <name val="Calibri"/>
      <family val="2"/>
      <scheme val="minor"/>
    </font>
    <font>
      <sz val="11"/>
      <name val="Calibri"/>
      <family val="2"/>
      <scheme val="minor"/>
    </font>
    <font>
      <sz val="12"/>
      <name val="Calibri"/>
      <family val="2"/>
      <scheme val="minor"/>
    </font>
    <font>
      <sz val="14"/>
      <color theme="1"/>
      <name val="Calibri"/>
      <family val="2"/>
      <scheme val="minor"/>
    </font>
    <font>
      <sz val="28"/>
      <color theme="1"/>
      <name val="Calibri"/>
      <family val="2"/>
      <scheme val="minor"/>
    </font>
    <font>
      <sz val="8"/>
      <name val="Calibri"/>
      <family val="2"/>
      <scheme val="minor"/>
    </font>
    <font>
      <sz val="14"/>
      <color theme="0"/>
      <name val="Calibri"/>
      <family val="2"/>
      <scheme val="minor"/>
    </font>
    <font>
      <sz val="20"/>
      <color theme="1"/>
      <name val="Calibri"/>
      <family val="2"/>
      <scheme val="minor"/>
    </font>
    <font>
      <sz val="14"/>
      <color rgb="FFFFFF00"/>
      <name val="Calibri"/>
      <family val="2"/>
      <scheme val="minor"/>
    </font>
    <font>
      <sz val="11"/>
      <color rgb="FF000000"/>
      <name val="Calibri"/>
      <family val="2"/>
    </font>
    <font>
      <sz val="16"/>
      <color theme="1"/>
      <name val="Calibri"/>
      <family val="2"/>
      <scheme val="minor"/>
    </font>
    <font>
      <u/>
      <sz val="16"/>
      <color theme="10"/>
      <name val="Calibri"/>
      <family val="2"/>
      <scheme val="minor"/>
    </font>
    <font>
      <b/>
      <sz val="11"/>
      <color theme="1"/>
      <name val="Calibri"/>
      <family val="2"/>
      <scheme val="minor"/>
    </font>
    <font>
      <b/>
      <sz val="16"/>
      <color theme="0"/>
      <name val="Calibri"/>
      <family val="2"/>
      <scheme val="minor"/>
    </font>
    <font>
      <b/>
      <sz val="16"/>
      <color theme="1"/>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rgb="FFFFFFFF"/>
        <bgColor indexed="64"/>
      </patternFill>
    </fill>
    <fill>
      <patternFill patternType="solid">
        <fgColor theme="9"/>
        <bgColor indexed="64"/>
      </patternFill>
    </fill>
    <fill>
      <patternFill patternType="solid">
        <fgColor rgb="FFFFC000"/>
        <bgColor indexed="64"/>
      </patternFill>
    </fill>
    <fill>
      <patternFill patternType="solid">
        <fgColor theme="0"/>
        <bgColor indexed="64"/>
      </patternFill>
    </fill>
    <fill>
      <patternFill patternType="solid">
        <fgColor theme="1"/>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rgb="FF7030A0"/>
        <bgColor indexed="64"/>
      </patternFill>
    </fill>
    <fill>
      <patternFill patternType="solid">
        <fgColor rgb="FF000000"/>
        <bgColor indexed="64"/>
      </patternFill>
    </fill>
    <fill>
      <patternFill patternType="solid">
        <fgColor theme="0" tint="-0.249977111117893"/>
        <bgColor indexed="64"/>
      </patternFill>
    </fill>
  </fills>
  <borders count="16">
    <border>
      <left/>
      <right/>
      <top/>
      <bottom/>
      <diagonal/>
    </border>
    <border>
      <left/>
      <right/>
      <top style="thin">
        <color indexed="64"/>
      </top>
      <bottom style="thin">
        <color indexed="64"/>
      </bottom>
      <diagonal/>
    </border>
    <border>
      <left/>
      <right/>
      <top/>
      <bottom style="thin">
        <color indexed="64"/>
      </bottom>
      <diagonal/>
    </border>
    <border>
      <left style="thin">
        <color theme="0"/>
      </left>
      <right style="thin">
        <color theme="0"/>
      </right>
      <top/>
      <bottom/>
      <diagonal/>
    </border>
    <border>
      <left/>
      <right style="thin">
        <color theme="1"/>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theme="1"/>
      </right>
      <top style="thin">
        <color indexed="64"/>
      </top>
      <bottom/>
      <diagonal/>
    </border>
    <border>
      <left style="thin">
        <color theme="1"/>
      </left>
      <right style="thin">
        <color theme="1"/>
      </right>
      <top style="thin">
        <color theme="1"/>
      </top>
      <bottom style="thin">
        <color indexed="64"/>
      </bottom>
      <diagonal/>
    </border>
    <border>
      <left style="thin">
        <color theme="1"/>
      </left>
      <right style="thin">
        <color theme="1"/>
      </right>
      <top/>
      <bottom/>
      <diagonal/>
    </border>
    <border>
      <left/>
      <right style="thin">
        <color theme="1"/>
      </right>
      <top/>
      <bottom style="thin">
        <color indexed="64"/>
      </bottom>
      <diagonal/>
    </border>
    <border>
      <left style="thin">
        <color theme="1"/>
      </left>
      <right style="thin">
        <color theme="1"/>
      </right>
      <top style="thin">
        <color theme="0"/>
      </top>
      <bottom style="thin">
        <color indexed="64"/>
      </bottom>
      <diagonal/>
    </border>
    <border>
      <left style="thin">
        <color theme="1"/>
      </left>
      <right style="thin">
        <color theme="1"/>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s>
  <cellStyleXfs count="2">
    <xf numFmtId="0" fontId="0" fillId="0" borderId="0"/>
    <xf numFmtId="0" fontId="3" fillId="0" borderId="0" applyNumberFormat="0" applyFill="0" applyBorder="0" applyAlignment="0" applyProtection="0"/>
  </cellStyleXfs>
  <cellXfs count="117">
    <xf numFmtId="0" fontId="0" fillId="0" borderId="0" xfId="0"/>
    <xf numFmtId="0" fontId="0" fillId="2" borderId="0" xfId="0" applyFill="1" applyAlignment="1">
      <alignment wrapText="1"/>
    </xf>
    <xf numFmtId="0" fontId="0" fillId="3" borderId="0" xfId="0" applyFill="1"/>
    <xf numFmtId="0" fontId="1" fillId="0" borderId="0" xfId="0" applyFont="1"/>
    <xf numFmtId="0" fontId="2" fillId="0" borderId="0" xfId="0" applyFont="1"/>
    <xf numFmtId="0" fontId="0" fillId="0" borderId="0" xfId="0" applyAlignment="1">
      <alignment wrapText="1"/>
    </xf>
    <xf numFmtId="0" fontId="0" fillId="6" borderId="0" xfId="0" applyFill="1" applyAlignment="1">
      <alignment wrapText="1"/>
    </xf>
    <xf numFmtId="0" fontId="0" fillId="7" borderId="0" xfId="0" applyFill="1" applyAlignment="1">
      <alignment wrapText="1"/>
    </xf>
    <xf numFmtId="0" fontId="0" fillId="2" borderId="0" xfId="0" applyFill="1"/>
    <xf numFmtId="0" fontId="5" fillId="2" borderId="0" xfId="0" applyFont="1" applyFill="1" applyAlignment="1">
      <alignment wrapText="1"/>
    </xf>
    <xf numFmtId="0" fontId="5" fillId="4" borderId="0" xfId="0" applyFont="1" applyFill="1" applyAlignment="1">
      <alignment wrapText="1"/>
    </xf>
    <xf numFmtId="0" fontId="6" fillId="4" borderId="0" xfId="0" applyFont="1" applyFill="1" applyAlignment="1">
      <alignment wrapText="1"/>
    </xf>
    <xf numFmtId="0" fontId="0" fillId="0" borderId="0" xfId="0" applyAlignment="1">
      <alignment horizontal="left"/>
    </xf>
    <xf numFmtId="164" fontId="0" fillId="0" borderId="0" xfId="0" applyNumberFormat="1"/>
    <xf numFmtId="0" fontId="0" fillId="0" borderId="0" xfId="0" applyFill="1"/>
    <xf numFmtId="0" fontId="0" fillId="8" borderId="0" xfId="0" applyFill="1"/>
    <xf numFmtId="0" fontId="5" fillId="2" borderId="0" xfId="0" applyFont="1" applyFill="1" applyAlignment="1">
      <alignment horizontal="center" wrapText="1"/>
    </xf>
    <xf numFmtId="0" fontId="0" fillId="2" borderId="0" xfId="0" applyFill="1" applyAlignment="1">
      <alignment horizontal="center"/>
    </xf>
    <xf numFmtId="0" fontId="0" fillId="9" borderId="0" xfId="0" applyFill="1"/>
    <xf numFmtId="0" fontId="0" fillId="9" borderId="0" xfId="0" applyFill="1" applyAlignment="1">
      <alignment wrapText="1"/>
    </xf>
    <xf numFmtId="0" fontId="0" fillId="2" borderId="0" xfId="0" applyNumberFormat="1" applyFill="1"/>
    <xf numFmtId="164" fontId="0" fillId="0" borderId="0" xfId="0" applyNumberFormat="1" applyAlignment="1">
      <alignment wrapText="1"/>
    </xf>
    <xf numFmtId="0" fontId="0" fillId="0" borderId="0" xfId="0" applyBorder="1"/>
    <xf numFmtId="0" fontId="0" fillId="8" borderId="13" xfId="0" applyFill="1" applyBorder="1"/>
    <xf numFmtId="0" fontId="0" fillId="2" borderId="13" xfId="0" applyFill="1" applyBorder="1"/>
    <xf numFmtId="0" fontId="11" fillId="0" borderId="0" xfId="0" applyFont="1"/>
    <xf numFmtId="164" fontId="11" fillId="0" borderId="0" xfId="0" applyNumberFormat="1" applyFont="1"/>
    <xf numFmtId="0" fontId="11" fillId="9" borderId="0" xfId="0" applyFont="1" applyFill="1"/>
    <xf numFmtId="164" fontId="11" fillId="9" borderId="0" xfId="0" applyNumberFormat="1" applyFont="1" applyFill="1"/>
    <xf numFmtId="0" fontId="11" fillId="0" borderId="14" xfId="0" applyFont="1" applyBorder="1"/>
    <xf numFmtId="164" fontId="11" fillId="0" borderId="2" xfId="0" applyNumberFormat="1" applyFont="1" applyBorder="1"/>
    <xf numFmtId="0" fontId="11" fillId="0" borderId="15" xfId="0" applyFont="1" applyBorder="1"/>
    <xf numFmtId="0" fontId="11" fillId="2" borderId="0" xfId="0" applyFont="1" applyFill="1"/>
    <xf numFmtId="0" fontId="11" fillId="2" borderId="2" xfId="0" applyFont="1" applyFill="1" applyBorder="1"/>
    <xf numFmtId="164" fontId="11" fillId="2" borderId="2" xfId="0" applyNumberFormat="1" applyFont="1" applyFill="1" applyBorder="1"/>
    <xf numFmtId="164" fontId="11" fillId="2" borderId="0" xfId="0" applyNumberFormat="1" applyFont="1" applyFill="1"/>
    <xf numFmtId="0" fontId="11" fillId="12" borderId="0" xfId="0" applyFont="1" applyFill="1"/>
    <xf numFmtId="164" fontId="11" fillId="12" borderId="2" xfId="0" applyNumberFormat="1" applyFont="1" applyFill="1" applyBorder="1"/>
    <xf numFmtId="164" fontId="11" fillId="12" borderId="0" xfId="0" applyNumberFormat="1" applyFont="1" applyFill="1"/>
    <xf numFmtId="0" fontId="11" fillId="2" borderId="14" xfId="0" applyFont="1" applyFill="1" applyBorder="1"/>
    <xf numFmtId="0" fontId="11" fillId="0" borderId="0" xfId="0" applyFont="1" applyFill="1"/>
    <xf numFmtId="0" fontId="0" fillId="12" borderId="0" xfId="0" applyFill="1"/>
    <xf numFmtId="164" fontId="0" fillId="8" borderId="0" xfId="0" applyNumberFormat="1" applyFill="1" applyBorder="1"/>
    <xf numFmtId="164" fontId="0" fillId="0" borderId="0" xfId="0" applyNumberFormat="1" applyBorder="1" applyAlignment="1">
      <alignment wrapText="1"/>
    </xf>
    <xf numFmtId="164" fontId="0" fillId="0" borderId="2" xfId="0" applyNumberFormat="1" applyFill="1" applyBorder="1"/>
    <xf numFmtId="164" fontId="0" fillId="0" borderId="2" xfId="0" applyNumberFormat="1" applyFill="1" applyBorder="1" applyAlignment="1">
      <alignment wrapText="1"/>
    </xf>
    <xf numFmtId="0" fontId="14" fillId="0" borderId="0" xfId="0" applyFont="1"/>
    <xf numFmtId="0" fontId="15" fillId="5" borderId="0" xfId="1" applyFont="1" applyFill="1" applyAlignment="1">
      <alignment vertical="center" wrapText="1"/>
    </xf>
    <xf numFmtId="0" fontId="16" fillId="0" borderId="0" xfId="0" applyFont="1"/>
    <xf numFmtId="1" fontId="5" fillId="2" borderId="0" xfId="0" applyNumberFormat="1" applyFont="1" applyFill="1" applyAlignment="1">
      <alignment wrapText="1"/>
    </xf>
    <xf numFmtId="1" fontId="0" fillId="2" borderId="0" xfId="0" applyNumberFormat="1" applyFill="1"/>
    <xf numFmtId="1" fontId="0" fillId="0" borderId="0" xfId="0" applyNumberFormat="1"/>
    <xf numFmtId="0" fontId="0" fillId="0" borderId="0" xfId="0" applyProtection="1">
      <protection locked="0"/>
    </xf>
    <xf numFmtId="0" fontId="8" fillId="2" borderId="0" xfId="0" applyFont="1" applyFill="1" applyAlignment="1" applyProtection="1">
      <alignment horizontal="left" vertical="center" wrapText="1"/>
      <protection locked="0"/>
    </xf>
    <xf numFmtId="164" fontId="0" fillId="13" borderId="0" xfId="0" applyNumberFormat="1" applyFill="1" applyProtection="1">
      <protection locked="0"/>
    </xf>
    <xf numFmtId="164" fontId="0" fillId="13" borderId="10" xfId="0" applyNumberFormat="1" applyFill="1" applyBorder="1" applyProtection="1">
      <protection locked="0"/>
    </xf>
    <xf numFmtId="164" fontId="0" fillId="9" borderId="11" xfId="0" applyNumberFormat="1" applyFill="1" applyBorder="1" applyProtection="1">
      <protection locked="0"/>
    </xf>
    <xf numFmtId="164" fontId="0" fillId="2" borderId="0" xfId="0" applyNumberFormat="1" applyFill="1" applyProtection="1">
      <protection locked="0"/>
    </xf>
    <xf numFmtId="0" fontId="0" fillId="9" borderId="0" xfId="0" applyFill="1" applyProtection="1">
      <protection locked="0"/>
    </xf>
    <xf numFmtId="0" fontId="7" fillId="10" borderId="1" xfId="0" applyFont="1" applyFill="1" applyBorder="1" applyAlignment="1" applyProtection="1">
      <alignment horizontal="left" vertical="center" wrapText="1"/>
      <protection locked="0"/>
    </xf>
    <xf numFmtId="1" fontId="7" fillId="10" borderId="1" xfId="0" applyNumberFormat="1" applyFont="1" applyFill="1" applyBorder="1" applyAlignment="1" applyProtection="1">
      <alignment horizontal="center" vertical="center"/>
      <protection locked="0"/>
    </xf>
    <xf numFmtId="1" fontId="7" fillId="10" borderId="4" xfId="0" applyNumberFormat="1" applyFont="1" applyFill="1" applyBorder="1" applyAlignment="1" applyProtection="1">
      <alignment horizontal="center" vertical="center"/>
      <protection locked="0"/>
    </xf>
    <xf numFmtId="1" fontId="7" fillId="9" borderId="5" xfId="0" applyNumberFormat="1" applyFont="1" applyFill="1" applyBorder="1" applyAlignment="1" applyProtection="1">
      <alignment horizontal="center" vertical="center"/>
      <protection locked="0"/>
    </xf>
    <xf numFmtId="1" fontId="7" fillId="11" borderId="1" xfId="0" applyNumberFormat="1" applyFont="1" applyFill="1" applyBorder="1" applyAlignment="1" applyProtection="1">
      <alignment horizontal="center" vertical="center"/>
      <protection locked="0"/>
    </xf>
    <xf numFmtId="0" fontId="0" fillId="9" borderId="0" xfId="0" applyFill="1" applyBorder="1" applyProtection="1">
      <protection locked="0"/>
    </xf>
    <xf numFmtId="9" fontId="0" fillId="0" borderId="0" xfId="0" applyNumberFormat="1" applyProtection="1">
      <protection locked="0"/>
    </xf>
    <xf numFmtId="9" fontId="5" fillId="0" borderId="0" xfId="0" applyNumberFormat="1" applyFont="1" applyProtection="1">
      <protection locked="0"/>
    </xf>
    <xf numFmtId="10" fontId="5" fillId="0" borderId="0" xfId="0" applyNumberFormat="1" applyFont="1" applyProtection="1">
      <protection locked="0"/>
    </xf>
    <xf numFmtId="0" fontId="18" fillId="10" borderId="1" xfId="0" applyFont="1" applyFill="1" applyBorder="1" applyAlignment="1" applyProtection="1">
      <alignment horizontal="left" vertical="center" wrapText="1"/>
      <protection locked="0"/>
    </xf>
    <xf numFmtId="164" fontId="18" fillId="0" borderId="0" xfId="0" applyNumberFormat="1" applyFont="1" applyAlignment="1" applyProtection="1">
      <alignment horizontal="center" vertical="center"/>
      <protection locked="0"/>
    </xf>
    <xf numFmtId="164" fontId="18" fillId="9" borderId="9" xfId="0" applyNumberFormat="1" applyFont="1" applyFill="1" applyBorder="1" applyAlignment="1" applyProtection="1">
      <alignment horizontal="center" vertical="center"/>
      <protection locked="0"/>
    </xf>
    <xf numFmtId="0" fontId="12" fillId="10" borderId="1" xfId="0" applyFont="1" applyFill="1" applyBorder="1" applyAlignment="1" applyProtection="1">
      <alignment horizontal="left" vertical="center" wrapText="1"/>
      <protection locked="0"/>
    </xf>
    <xf numFmtId="164" fontId="7" fillId="0" borderId="0" xfId="0" applyNumberFormat="1" applyFont="1" applyAlignment="1" applyProtection="1">
      <alignment horizontal="center" vertical="center"/>
      <protection locked="0"/>
    </xf>
    <xf numFmtId="164" fontId="7" fillId="9" borderId="7" xfId="0" applyNumberFormat="1" applyFont="1" applyFill="1" applyBorder="1" applyAlignment="1" applyProtection="1">
      <alignment horizontal="center" vertical="center"/>
      <protection locked="0"/>
    </xf>
    <xf numFmtId="164" fontId="7" fillId="10" borderId="1" xfId="0" applyNumberFormat="1" applyFont="1" applyFill="1" applyBorder="1" applyAlignment="1" applyProtection="1">
      <alignment horizontal="center" vertical="center"/>
      <protection locked="0"/>
    </xf>
    <xf numFmtId="164" fontId="7" fillId="9" borderId="8" xfId="0" applyNumberFormat="1" applyFont="1" applyFill="1" applyBorder="1" applyAlignment="1" applyProtection="1">
      <alignment horizontal="center" vertical="center"/>
      <protection locked="0"/>
    </xf>
    <xf numFmtId="164" fontId="7" fillId="11" borderId="1" xfId="0" applyNumberFormat="1" applyFont="1" applyFill="1" applyBorder="1" applyAlignment="1" applyProtection="1">
      <alignment horizontal="center" vertical="center"/>
      <protection locked="0"/>
    </xf>
    <xf numFmtId="0" fontId="7" fillId="10" borderId="0" xfId="0" applyFont="1" applyFill="1" applyBorder="1" applyAlignment="1" applyProtection="1">
      <alignment horizontal="left" vertical="center" wrapText="1"/>
      <protection locked="0"/>
    </xf>
    <xf numFmtId="164" fontId="7" fillId="9" borderId="9" xfId="0" applyNumberFormat="1" applyFont="1" applyFill="1" applyBorder="1" applyAlignment="1" applyProtection="1">
      <alignment horizontal="center" vertical="center"/>
      <protection locked="0"/>
    </xf>
    <xf numFmtId="164" fontId="7" fillId="9" borderId="5" xfId="0" applyNumberFormat="1" applyFont="1" applyFill="1" applyBorder="1" applyAlignment="1" applyProtection="1">
      <alignment horizontal="center" vertical="center"/>
      <protection locked="0"/>
    </xf>
    <xf numFmtId="0" fontId="14" fillId="10" borderId="1" xfId="0" applyFont="1" applyFill="1" applyBorder="1" applyAlignment="1" applyProtection="1">
      <alignment horizontal="left" vertical="center" wrapText="1"/>
      <protection locked="0"/>
    </xf>
    <xf numFmtId="164" fontId="14" fillId="10" borderId="1" xfId="0" applyNumberFormat="1" applyFont="1" applyFill="1" applyBorder="1" applyAlignment="1" applyProtection="1">
      <alignment horizontal="center" vertical="center"/>
      <protection locked="0"/>
    </xf>
    <xf numFmtId="164" fontId="14" fillId="11" borderId="1" xfId="0" applyNumberFormat="1" applyFont="1" applyFill="1" applyBorder="1" applyAlignment="1" applyProtection="1">
      <alignment horizontal="center" vertical="center"/>
      <protection locked="0"/>
    </xf>
    <xf numFmtId="0" fontId="4" fillId="9" borderId="0" xfId="0" applyFont="1" applyFill="1" applyBorder="1" applyProtection="1">
      <protection locked="0"/>
    </xf>
    <xf numFmtId="0" fontId="14" fillId="10" borderId="0" xfId="0" applyFont="1" applyFill="1" applyBorder="1" applyAlignment="1" applyProtection="1">
      <alignment horizontal="left" vertical="center" wrapText="1"/>
      <protection locked="0"/>
    </xf>
    <xf numFmtId="164" fontId="14" fillId="0" borderId="0" xfId="0" applyNumberFormat="1" applyFont="1" applyAlignment="1" applyProtection="1">
      <alignment horizontal="center" vertical="center"/>
      <protection locked="0"/>
    </xf>
    <xf numFmtId="0" fontId="17" fillId="10" borderId="1" xfId="0" applyFont="1" applyFill="1" applyBorder="1" applyAlignment="1" applyProtection="1">
      <alignment horizontal="left" vertical="center" wrapText="1"/>
      <protection locked="0"/>
    </xf>
    <xf numFmtId="164" fontId="18" fillId="10" borderId="1" xfId="0" applyNumberFormat="1" applyFont="1" applyFill="1" applyBorder="1" applyAlignment="1" applyProtection="1">
      <alignment horizontal="center" vertical="center"/>
      <protection locked="0"/>
    </xf>
    <xf numFmtId="164" fontId="18" fillId="11" borderId="1" xfId="0" applyNumberFormat="1" applyFont="1" applyFill="1" applyBorder="1" applyAlignment="1" applyProtection="1">
      <alignment horizontal="center" vertical="center"/>
      <protection locked="0"/>
    </xf>
    <xf numFmtId="0" fontId="12" fillId="10" borderId="0" xfId="0" applyFont="1" applyFill="1" applyBorder="1" applyAlignment="1" applyProtection="1">
      <alignment horizontal="left" vertical="center" wrapText="1"/>
      <protection locked="0"/>
    </xf>
    <xf numFmtId="2" fontId="7" fillId="10" borderId="0" xfId="0" applyNumberFormat="1" applyFont="1" applyFill="1" applyBorder="1" applyAlignment="1" applyProtection="1">
      <alignment horizontal="center" vertical="center" wrapText="1"/>
      <protection locked="0"/>
    </xf>
    <xf numFmtId="2" fontId="7" fillId="14" borderId="0" xfId="0" applyNumberFormat="1" applyFont="1" applyFill="1" applyBorder="1" applyAlignment="1" applyProtection="1">
      <alignment horizontal="center" vertical="center" wrapText="1"/>
      <protection locked="0"/>
    </xf>
    <xf numFmtId="2" fontId="7" fillId="8" borderId="0" xfId="0" applyNumberFormat="1" applyFont="1" applyFill="1" applyBorder="1" applyAlignment="1" applyProtection="1">
      <alignment horizontal="center" vertical="center" wrapText="1"/>
      <protection locked="0"/>
    </xf>
    <xf numFmtId="0" fontId="7" fillId="9" borderId="0" xfId="0" applyFont="1" applyFill="1" applyProtection="1">
      <protection locked="0"/>
    </xf>
    <xf numFmtId="0" fontId="16" fillId="0" borderId="0" xfId="0" applyFont="1" applyProtection="1">
      <protection locked="0"/>
    </xf>
    <xf numFmtId="164" fontId="7" fillId="8" borderId="1" xfId="0" applyNumberFormat="1" applyFont="1" applyFill="1" applyBorder="1" applyAlignment="1" applyProtection="1">
      <alignment horizontal="center" vertical="center"/>
      <protection locked="0"/>
    </xf>
    <xf numFmtId="0" fontId="16" fillId="9" borderId="0" xfId="0" applyFont="1" applyFill="1" applyProtection="1">
      <protection locked="0"/>
    </xf>
    <xf numFmtId="0" fontId="16" fillId="9" borderId="0" xfId="0" applyFont="1" applyFill="1" applyBorder="1" applyProtection="1">
      <protection locked="0"/>
    </xf>
    <xf numFmtId="164" fontId="7" fillId="4" borderId="0" xfId="0" applyNumberFormat="1" applyFont="1" applyFill="1" applyAlignment="1" applyProtection="1">
      <alignment horizontal="center" vertical="center"/>
      <protection locked="0"/>
    </xf>
    <xf numFmtId="164" fontId="7" fillId="3" borderId="0" xfId="0" applyNumberFormat="1" applyFont="1" applyFill="1" applyAlignment="1" applyProtection="1">
      <alignment horizontal="center" vertical="center"/>
      <protection locked="0"/>
    </xf>
    <xf numFmtId="0" fontId="12" fillId="9" borderId="0" xfId="0" applyFont="1" applyFill="1" applyBorder="1" applyAlignment="1" applyProtection="1">
      <alignment horizontal="left" vertical="center" wrapText="1"/>
      <protection locked="0"/>
    </xf>
    <xf numFmtId="164" fontId="7" fillId="8" borderId="12" xfId="0" applyNumberFormat="1" applyFont="1" applyFill="1" applyBorder="1" applyAlignment="1" applyProtection="1">
      <alignment horizontal="center" vertical="center"/>
      <protection locked="0"/>
    </xf>
    <xf numFmtId="164" fontId="0" fillId="0" borderId="0" xfId="0" applyNumberFormat="1" applyProtection="1">
      <protection locked="0"/>
    </xf>
    <xf numFmtId="164" fontId="7" fillId="8" borderId="6" xfId="0" applyNumberFormat="1" applyFont="1" applyFill="1" applyBorder="1" applyAlignment="1" applyProtection="1">
      <alignment horizontal="center" vertical="center"/>
      <protection locked="0"/>
    </xf>
    <xf numFmtId="0" fontId="18" fillId="10" borderId="0" xfId="0" applyFont="1" applyFill="1" applyBorder="1" applyAlignment="1" applyProtection="1">
      <alignment horizontal="left" vertical="center" wrapText="1"/>
      <protection locked="0"/>
    </xf>
    <xf numFmtId="0" fontId="0" fillId="8" borderId="0" xfId="0" applyFill="1" applyBorder="1" applyProtection="1">
      <protection locked="0"/>
    </xf>
    <xf numFmtId="0" fontId="10" fillId="9" borderId="0" xfId="0" applyFont="1" applyFill="1" applyBorder="1" applyAlignment="1" applyProtection="1">
      <alignment horizontal="left" vertical="center" wrapText="1"/>
      <protection locked="0"/>
    </xf>
    <xf numFmtId="0" fontId="17" fillId="9" borderId="2" xfId="0" applyFont="1" applyFill="1" applyBorder="1" applyAlignment="1" applyProtection="1">
      <alignment horizontal="left" vertical="center" wrapText="1"/>
      <protection locked="0"/>
    </xf>
    <xf numFmtId="164" fontId="18" fillId="9" borderId="12" xfId="0" applyNumberFormat="1" applyFont="1" applyFill="1" applyBorder="1" applyAlignment="1" applyProtection="1">
      <alignment horizontal="center" vertical="center"/>
      <protection locked="0"/>
    </xf>
    <xf numFmtId="0" fontId="10" fillId="9" borderId="0" xfId="0" applyFont="1" applyFill="1" applyAlignment="1" applyProtection="1">
      <alignment horizontal="left" vertical="center" wrapText="1"/>
      <protection locked="0"/>
    </xf>
    <xf numFmtId="164" fontId="0" fillId="9" borderId="0" xfId="0" applyNumberFormat="1" applyFill="1" applyProtection="1">
      <protection locked="0"/>
    </xf>
    <xf numFmtId="164" fontId="0" fillId="9" borderId="0" xfId="0" applyNumberFormat="1" applyFill="1" applyBorder="1" applyProtection="1">
      <protection locked="0"/>
    </xf>
    <xf numFmtId="0" fontId="7" fillId="9" borderId="0" xfId="0" applyFont="1" applyFill="1" applyAlignment="1" applyProtection="1">
      <alignment horizontal="left" vertical="center" wrapText="1"/>
      <protection locked="0"/>
    </xf>
    <xf numFmtId="0" fontId="7" fillId="0" borderId="0" xfId="0" applyFont="1" applyAlignment="1" applyProtection="1">
      <alignment horizontal="left" vertical="center" wrapText="1"/>
      <protection locked="0"/>
    </xf>
    <xf numFmtId="164" fontId="0" fillId="9" borderId="3" xfId="0" applyNumberFormat="1" applyFill="1" applyBorder="1" applyProtection="1">
      <protection locked="0"/>
    </xf>
    <xf numFmtId="0" fontId="0" fillId="8" borderId="0" xfId="0" applyFill="1" applyProtection="1">
      <protection locked="0"/>
    </xf>
    <xf numFmtId="0" fontId="0" fillId="0" borderId="0" xfId="0" applyProtection="1">
      <protection locked="0" hidden="1"/>
    </xf>
  </cellXfs>
  <cellStyles count="2">
    <cellStyle name="Hyperlink" xfId="1" builtinId="8"/>
    <cellStyle name="Normal" xfId="0" builtinId="0"/>
  </cellStyles>
  <dxfs count="83">
    <dxf>
      <alignment wrapText="1"/>
    </dxf>
    <dxf>
      <fill>
        <patternFill patternType="solid">
          <bgColor rgb="FFFFFF00"/>
        </patternFill>
      </fill>
    </dxf>
    <dxf>
      <numFmt numFmtId="164" formatCode="0.0"/>
    </dxf>
    <dxf>
      <alignment wrapText="1"/>
    </dxf>
    <dxf>
      <numFmt numFmtId="164" formatCode="0.0"/>
    </dxf>
    <dxf>
      <numFmt numFmtId="164" formatCode="0.0"/>
    </dxf>
    <dxf>
      <alignment wrapText="1"/>
    </dxf>
    <dxf>
      <fill>
        <patternFill>
          <bgColor theme="0"/>
        </patternFill>
      </fill>
    </dxf>
    <dxf>
      <fill>
        <patternFill>
          <bgColor theme="0"/>
        </patternFill>
      </fill>
    </dxf>
    <dxf>
      <border>
        <bottom style="thin">
          <color indexed="64"/>
        </bottom>
      </border>
    </dxf>
    <dxf>
      <border>
        <bottom style="thin">
          <color indexed="64"/>
        </bottom>
      </border>
    </dxf>
    <dxf>
      <fill>
        <patternFill patternType="none">
          <fgColor indexed="64"/>
          <bgColor indexed="65"/>
        </patternFill>
      </fill>
    </dxf>
    <dxf>
      <fill>
        <patternFill patternType="none">
          <fgColor indexed="64"/>
          <bgColor indexed="65"/>
        </patternFill>
      </fill>
    </dxf>
    <dxf>
      <border>
        <left/>
        <right/>
        <top/>
        <bottom/>
      </border>
    </dxf>
    <dxf>
      <alignment wrapText="1"/>
    </dxf>
    <dxf>
      <alignment wrapText="1"/>
    </dxf>
    <dxf>
      <alignment wrapText="1"/>
    </dxf>
    <dxf>
      <fill>
        <patternFill patternType="solid">
          <bgColor rgb="FFFFFF00"/>
        </patternFill>
      </fill>
    </dxf>
    <dxf>
      <numFmt numFmtId="164" formatCode="0.0"/>
    </dxf>
    <dxf>
      <alignment wrapText="1"/>
    </dxf>
    <dxf>
      <numFmt numFmtId="164" formatCode="0.0"/>
    </dxf>
    <dxf>
      <numFmt numFmtId="164" formatCode="0.0"/>
    </dxf>
    <dxf>
      <alignment wrapText="1"/>
    </dxf>
    <dxf>
      <fill>
        <patternFill>
          <bgColor theme="0"/>
        </patternFill>
      </fill>
    </dxf>
    <dxf>
      <fill>
        <patternFill>
          <bgColor theme="0"/>
        </patternFill>
      </fill>
    </dxf>
    <dxf>
      <border>
        <bottom style="thin">
          <color indexed="64"/>
        </bottom>
      </border>
    </dxf>
    <dxf>
      <border>
        <bottom style="thin">
          <color indexed="64"/>
        </bottom>
      </border>
    </dxf>
    <dxf>
      <fill>
        <patternFill patternType="none">
          <fgColor indexed="64"/>
          <bgColor indexed="65"/>
        </patternFill>
      </fill>
    </dxf>
    <dxf>
      <fill>
        <patternFill patternType="none">
          <fgColor indexed="64"/>
          <bgColor indexed="65"/>
        </patternFill>
      </fill>
    </dxf>
    <dxf>
      <border>
        <left/>
        <right/>
        <top/>
        <bottom/>
      </border>
    </dxf>
    <dxf>
      <alignment wrapText="1"/>
    </dxf>
    <dxf>
      <alignment wrapText="1"/>
    </dxf>
    <dxf>
      <alignment wrapText="1"/>
    </dxf>
    <dxf>
      <fill>
        <patternFill patternType="solid">
          <bgColor rgb="FFFFFF00"/>
        </patternFill>
      </fill>
    </dxf>
    <dxf>
      <numFmt numFmtId="164" formatCode="0.0"/>
    </dxf>
    <dxf>
      <alignment wrapText="1"/>
    </dxf>
    <dxf>
      <numFmt numFmtId="164" formatCode="0.0"/>
    </dxf>
    <dxf>
      <numFmt numFmtId="164" formatCode="0.0"/>
    </dxf>
    <dxf>
      <alignment wrapText="1"/>
    </dxf>
    <dxf>
      <fill>
        <patternFill>
          <bgColor theme="0"/>
        </patternFill>
      </fill>
    </dxf>
    <dxf>
      <fill>
        <patternFill>
          <bgColor theme="0"/>
        </patternFill>
      </fill>
    </dxf>
    <dxf>
      <border>
        <bottom style="thin">
          <color indexed="64"/>
        </bottom>
      </border>
    </dxf>
    <dxf>
      <border>
        <bottom style="thin">
          <color indexed="64"/>
        </bottom>
      </border>
    </dxf>
    <dxf>
      <fill>
        <patternFill patternType="none">
          <fgColor indexed="64"/>
          <bgColor indexed="65"/>
        </patternFill>
      </fill>
    </dxf>
    <dxf>
      <fill>
        <patternFill patternType="none">
          <fgColor indexed="64"/>
          <bgColor indexed="65"/>
        </patternFill>
      </fill>
    </dxf>
    <dxf>
      <border>
        <left/>
        <right/>
        <top/>
        <bottom/>
      </border>
    </dxf>
    <dxf>
      <alignment wrapText="1"/>
    </dxf>
    <dxf>
      <alignment wrapText="1"/>
    </dxf>
    <dxf>
      <alignment wrapText="1"/>
    </dxf>
    <dxf>
      <fill>
        <patternFill patternType="solid">
          <bgColor rgb="FFFFFF00"/>
        </patternFill>
      </fill>
    </dxf>
    <dxf>
      <numFmt numFmtId="164" formatCode="0.0"/>
    </dxf>
    <dxf>
      <alignment wrapText="1"/>
    </dxf>
    <dxf>
      <numFmt numFmtId="164" formatCode="0.0"/>
    </dxf>
    <dxf>
      <numFmt numFmtId="164" formatCode="0.0"/>
    </dxf>
    <dxf>
      <alignment wrapText="1"/>
    </dxf>
    <dxf>
      <fill>
        <patternFill>
          <bgColor theme="0"/>
        </patternFill>
      </fill>
    </dxf>
    <dxf>
      <fill>
        <patternFill>
          <bgColor theme="0"/>
        </patternFill>
      </fill>
    </dxf>
    <dxf>
      <border>
        <bottom style="thin">
          <color indexed="64"/>
        </bottom>
      </border>
    </dxf>
    <dxf>
      <border>
        <bottom style="thin">
          <color indexed="64"/>
        </bottom>
      </border>
    </dxf>
    <dxf>
      <fill>
        <patternFill patternType="none">
          <fgColor indexed="64"/>
          <bgColor indexed="65"/>
        </patternFill>
      </fill>
    </dxf>
    <dxf>
      <fill>
        <patternFill patternType="none">
          <fgColor indexed="64"/>
          <bgColor indexed="65"/>
        </patternFill>
      </fill>
    </dxf>
    <dxf>
      <border>
        <left/>
        <right/>
        <top/>
        <bottom/>
      </border>
    </dxf>
    <dxf>
      <alignment wrapText="1"/>
    </dxf>
    <dxf>
      <alignment wrapText="1"/>
    </dxf>
    <dxf>
      <numFmt numFmtId="0" formatCode="General"/>
      <fill>
        <patternFill patternType="solid">
          <fgColor indexed="64"/>
          <bgColor rgb="FFFFFF00"/>
        </patternFill>
      </fill>
    </dxf>
    <dxf>
      <numFmt numFmtId="1" formatCode="0"/>
      <fill>
        <patternFill patternType="solid">
          <fgColor indexed="64"/>
          <bgColor rgb="FFFFFF00"/>
        </patternFill>
      </fill>
    </dxf>
    <dxf>
      <numFmt numFmtId="0" formatCode="General"/>
      <fill>
        <patternFill patternType="solid">
          <fgColor indexed="64"/>
          <bgColor rgb="FFFFFF00"/>
        </patternFill>
      </fill>
    </dxf>
    <dxf>
      <numFmt numFmtId="0" formatCode="General"/>
      <fill>
        <patternFill patternType="solid">
          <fgColor indexed="64"/>
          <bgColor rgb="FFFFFF00"/>
        </patternFill>
      </fill>
    </dxf>
    <dxf>
      <numFmt numFmtId="0" formatCode="General"/>
      <fill>
        <patternFill patternType="solid">
          <fgColor indexed="64"/>
          <bgColor rgb="FFFFFF00"/>
        </patternFill>
      </fill>
    </dxf>
    <dxf>
      <numFmt numFmtId="0" formatCode="General"/>
      <fill>
        <patternFill patternType="solid">
          <fgColor indexed="64"/>
          <bgColor rgb="FFFFFF00"/>
        </patternFill>
      </fill>
    </dxf>
    <dxf>
      <numFmt numFmtId="0" formatCode="General"/>
      <fill>
        <patternFill patternType="solid">
          <fgColor indexed="64"/>
          <bgColor rgb="FFFFFF00"/>
        </patternFill>
      </fill>
    </dxf>
    <dxf>
      <numFmt numFmtId="0" formatCode="General"/>
      <fill>
        <patternFill patternType="solid">
          <fgColor indexed="64"/>
          <bgColor rgb="FFFFFF00"/>
        </patternFill>
      </fill>
    </dxf>
    <dxf>
      <numFmt numFmtId="0" formatCode="General"/>
      <fill>
        <patternFill patternType="solid">
          <fgColor indexed="64"/>
          <bgColor rgb="FFFFFF00"/>
        </patternFill>
      </fill>
    </dxf>
    <dxf>
      <numFmt numFmtId="0" formatCode="General"/>
      <fill>
        <patternFill patternType="solid">
          <fgColor indexed="64"/>
          <bgColor rgb="FFFFFF00"/>
        </patternFill>
      </fill>
      <alignment horizontal="center" vertical="bottom" textRotation="0" indent="0" justifyLastLine="0" shrinkToFit="0" readingOrder="0"/>
    </dxf>
    <dxf>
      <numFmt numFmtId="0" formatCode="General"/>
      <fill>
        <patternFill patternType="solid">
          <fgColor indexed="64"/>
          <bgColor rgb="FFFFFF00"/>
        </patternFill>
      </fill>
    </dxf>
    <dxf>
      <numFmt numFmtId="0" formatCode="General"/>
      <fill>
        <patternFill patternType="solid">
          <fgColor indexed="64"/>
          <bgColor rgb="FFFFFF00"/>
        </patternFill>
      </fill>
    </dxf>
    <dxf>
      <numFmt numFmtId="0" formatCode="General"/>
      <fill>
        <patternFill patternType="solid">
          <fgColor indexed="64"/>
          <bgColor rgb="FFFFFF00"/>
        </patternFill>
      </fill>
    </dxf>
    <dxf>
      <numFmt numFmtId="0" formatCode="General"/>
      <fill>
        <patternFill patternType="solid">
          <fgColor indexed="64"/>
          <bgColor rgb="FFFFFF00"/>
        </patternFill>
      </fill>
    </dxf>
    <dxf>
      <fill>
        <patternFill patternType="solid">
          <fgColor indexed="64"/>
          <bgColor rgb="FFFFFF00"/>
        </patternFill>
      </fill>
    </dxf>
    <dxf>
      <numFmt numFmtId="0" formatCode="General"/>
      <fill>
        <patternFill patternType="solid">
          <fgColor indexed="64"/>
          <bgColor rgb="FFFFFF00"/>
        </patternFill>
      </fill>
    </dxf>
    <dxf>
      <numFmt numFmtId="0" formatCode="General"/>
      <fill>
        <patternFill patternType="solid">
          <fgColor indexed="64"/>
          <bgColor rgb="FFFFFF00"/>
        </patternFill>
      </fill>
    </dxf>
    <dxf>
      <numFmt numFmtId="0" formatCode="General"/>
      <fill>
        <patternFill patternType="solid">
          <fgColor indexed="64"/>
          <bgColor rgb="FFFFFF00"/>
        </patternFill>
      </fill>
    </dxf>
    <dxf>
      <font>
        <strike val="0"/>
        <outline val="0"/>
        <shadow val="0"/>
        <u val="none"/>
        <vertAlign val="baseline"/>
        <color auto="1"/>
        <name val="Calibri"/>
        <family val="2"/>
        <scheme val="minor"/>
      </font>
      <fill>
        <patternFill patternType="solid">
          <fgColor indexed="64"/>
          <bgColor theme="0" tint="-0.34998626667073579"/>
        </patternFill>
      </fill>
      <alignment horizontal="general" vertical="bottom" textRotation="0" wrapText="1" indent="0" justifyLastLine="0" shrinkToFit="0" readingOrder="0"/>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3" Type="http://schemas.openxmlformats.org/officeDocument/2006/relationships/chartUserShapes" Target="../drawings/drawing14.xml"/><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346349563447428"/>
          <c:y val="0.16473609795960723"/>
          <c:w val="0.73109432749477743"/>
          <c:h val="0.6478944262124966"/>
        </c:manualLayout>
      </c:layout>
      <c:barChart>
        <c:barDir val="bar"/>
        <c:grouping val="clustered"/>
        <c:varyColors val="0"/>
        <c:ser>
          <c:idx val="0"/>
          <c:order val="0"/>
          <c:spPr>
            <a:solidFill>
              <a:schemeClr val="tx1"/>
            </a:solidFill>
            <a:ln>
              <a:noFill/>
            </a:ln>
            <a:effectLst/>
          </c:spPr>
          <c:invertIfNegative val="0"/>
          <c:cat>
            <c:numRef>
              <c:f>Auton!$AU$4:$AU$6</c:f>
              <c:numCache>
                <c:formatCode>General</c:formatCode>
                <c:ptCount val="3"/>
                <c:pt idx="0">
                  <c:v>316</c:v>
                </c:pt>
                <c:pt idx="1">
                  <c:v>1350</c:v>
                </c:pt>
                <c:pt idx="2">
                  <c:v>2262</c:v>
                </c:pt>
              </c:numCache>
            </c:numRef>
          </c:cat>
          <c:val>
            <c:numRef>
              <c:f>Auton!$AV$4:$AV$6</c:f>
              <c:numCache>
                <c:formatCode>General</c:formatCode>
                <c:ptCount val="3"/>
                <c:pt idx="0">
                  <c:v>0</c:v>
                </c:pt>
                <c:pt idx="1">
                  <c:v>0</c:v>
                </c:pt>
                <c:pt idx="2">
                  <c:v>0</c:v>
                </c:pt>
              </c:numCache>
            </c:numRef>
          </c:val>
          <c:extLst>
            <c:ext xmlns:c16="http://schemas.microsoft.com/office/drawing/2014/chart" uri="{C3380CC4-5D6E-409C-BE32-E72D297353CC}">
              <c16:uniqueId val="{00000000-0F74-49B6-AE1F-8D8FA40BC077}"/>
            </c:ext>
          </c:extLst>
        </c:ser>
        <c:dLbls>
          <c:showLegendKey val="0"/>
          <c:showVal val="0"/>
          <c:showCatName val="0"/>
          <c:showSerName val="0"/>
          <c:showPercent val="0"/>
          <c:showBubbleSize val="0"/>
        </c:dLbls>
        <c:gapWidth val="219"/>
        <c:axId val="562087896"/>
        <c:axId val="562086256"/>
      </c:barChart>
      <c:catAx>
        <c:axId val="562087896"/>
        <c:scaling>
          <c:orientation val="minMax"/>
        </c:scaling>
        <c:delete val="0"/>
        <c:axPos val="l"/>
        <c:numFmt formatCode="General" sourceLinked="1"/>
        <c:majorTickMark val="none"/>
        <c:minorTickMark val="none"/>
        <c:tickLblPos val="nextTo"/>
        <c:spPr>
          <a:noFill/>
          <a:ln w="9525" cap="flat" cmpd="sng" algn="ctr">
            <a:solidFill>
              <a:srgbClr val="FFFF00"/>
            </a:solidFill>
            <a:round/>
          </a:ln>
          <a:effectLst/>
        </c:spPr>
        <c:txPr>
          <a:bodyPr rot="-60000000" spcFirstLastPara="1" vertOverflow="ellipsis" vert="horz" wrap="square" anchor="ctr" anchorCtr="1"/>
          <a:lstStyle/>
          <a:p>
            <a:pPr>
              <a:defRPr sz="1200" b="0" i="0" u="none" strike="noStrike" kern="1200" baseline="0">
                <a:solidFill>
                  <a:srgbClr val="FFFF00"/>
                </a:solidFill>
                <a:latin typeface="+mn-lt"/>
                <a:ea typeface="+mn-ea"/>
                <a:cs typeface="+mn-cs"/>
              </a:defRPr>
            </a:pPr>
            <a:endParaRPr lang="en-US"/>
          </a:p>
        </c:txPr>
        <c:crossAx val="562086256"/>
        <c:crosses val="autoZero"/>
        <c:auto val="1"/>
        <c:lblAlgn val="ctr"/>
        <c:lblOffset val="100"/>
        <c:noMultiLvlLbl val="0"/>
      </c:catAx>
      <c:valAx>
        <c:axId val="562086256"/>
        <c:scaling>
          <c:orientation val="minMax"/>
          <c:max val="5"/>
          <c:min val="0"/>
        </c:scaling>
        <c:delete val="0"/>
        <c:axPos val="b"/>
        <c:majorGridlines>
          <c:spPr>
            <a:ln w="9525" cap="flat" cmpd="sng" algn="ctr">
              <a:noFill/>
              <a:round/>
            </a:ln>
            <a:effectLst/>
          </c:spPr>
        </c:majorGridlines>
        <c:numFmt formatCode="General" sourceLinked="1"/>
        <c:majorTickMark val="in"/>
        <c:minorTickMark val="in"/>
        <c:tickLblPos val="nextTo"/>
        <c:spPr>
          <a:noFill/>
          <a:ln>
            <a:solidFill>
              <a:srgbClr val="FFFF00"/>
            </a:solidFill>
          </a:ln>
          <a:effectLst/>
        </c:spPr>
        <c:txPr>
          <a:bodyPr rot="-60000000" spcFirstLastPara="1" vertOverflow="ellipsis" vert="horz" wrap="square" anchor="ctr" anchorCtr="1"/>
          <a:lstStyle/>
          <a:p>
            <a:pPr>
              <a:defRPr sz="1200" b="0" i="0" u="none" strike="noStrike" kern="1200" baseline="0">
                <a:solidFill>
                  <a:srgbClr val="FFFF00"/>
                </a:solidFill>
                <a:latin typeface="+mn-lt"/>
                <a:ea typeface="+mn-ea"/>
                <a:cs typeface="+mn-cs"/>
              </a:defRPr>
            </a:pPr>
            <a:endParaRPr lang="en-US"/>
          </a:p>
        </c:txPr>
        <c:crossAx val="562087896"/>
        <c:crosses val="autoZero"/>
        <c:crossBetween val="between"/>
        <c:majorUnit val="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346349563447428"/>
          <c:y val="0.16473609795960723"/>
          <c:w val="0.73109432749477743"/>
          <c:h val="0.6478944262124966"/>
        </c:manualLayout>
      </c:layout>
      <c:barChart>
        <c:barDir val="bar"/>
        <c:grouping val="clustered"/>
        <c:varyColors val="0"/>
        <c:ser>
          <c:idx val="0"/>
          <c:order val="0"/>
          <c:spPr>
            <a:solidFill>
              <a:schemeClr val="tx1"/>
            </a:solidFill>
            <a:ln>
              <a:noFill/>
            </a:ln>
            <a:effectLst/>
          </c:spPr>
          <c:invertIfNegative val="0"/>
          <c:cat>
            <c:numRef>
              <c:f>Auton!$AU$10:$AU$12</c:f>
              <c:numCache>
                <c:formatCode>General</c:formatCode>
                <c:ptCount val="3"/>
                <c:pt idx="0">
                  <c:v>7153</c:v>
                </c:pt>
                <c:pt idx="1">
                  <c:v>7760</c:v>
                </c:pt>
                <c:pt idx="2">
                  <c:v>4987</c:v>
                </c:pt>
              </c:numCache>
            </c:numRef>
          </c:cat>
          <c:val>
            <c:numRef>
              <c:f>Auton!$AV$10:$AV$12</c:f>
              <c:numCache>
                <c:formatCode>General</c:formatCode>
                <c:ptCount val="3"/>
                <c:pt idx="0">
                  <c:v>0</c:v>
                </c:pt>
                <c:pt idx="1">
                  <c:v>0</c:v>
                </c:pt>
                <c:pt idx="2">
                  <c:v>0</c:v>
                </c:pt>
              </c:numCache>
            </c:numRef>
          </c:val>
          <c:extLst>
            <c:ext xmlns:c16="http://schemas.microsoft.com/office/drawing/2014/chart" uri="{C3380CC4-5D6E-409C-BE32-E72D297353CC}">
              <c16:uniqueId val="{00000000-1B84-47BD-A1B4-556A29DBDCE8}"/>
            </c:ext>
          </c:extLst>
        </c:ser>
        <c:dLbls>
          <c:showLegendKey val="0"/>
          <c:showVal val="0"/>
          <c:showCatName val="0"/>
          <c:showSerName val="0"/>
          <c:showPercent val="0"/>
          <c:showBubbleSize val="0"/>
        </c:dLbls>
        <c:gapWidth val="219"/>
        <c:axId val="562087896"/>
        <c:axId val="562086256"/>
      </c:barChart>
      <c:catAx>
        <c:axId val="562087896"/>
        <c:scaling>
          <c:orientation val="minMax"/>
        </c:scaling>
        <c:delete val="0"/>
        <c:axPos val="l"/>
        <c:numFmt formatCode="General" sourceLinked="1"/>
        <c:majorTickMark val="none"/>
        <c:minorTickMark val="none"/>
        <c:tickLblPos val="nextTo"/>
        <c:spPr>
          <a:noFill/>
          <a:ln w="9525" cap="flat" cmpd="sng" algn="ctr">
            <a:solidFill>
              <a:srgbClr val="FFFF00"/>
            </a:solidFill>
            <a:round/>
          </a:ln>
          <a:effectLst/>
        </c:spPr>
        <c:txPr>
          <a:bodyPr rot="-60000000" spcFirstLastPara="1" vertOverflow="ellipsis" vert="horz" wrap="square" anchor="ctr" anchorCtr="1"/>
          <a:lstStyle/>
          <a:p>
            <a:pPr>
              <a:defRPr sz="1200" b="0" i="0" u="none" strike="noStrike" kern="1200" baseline="0">
                <a:solidFill>
                  <a:srgbClr val="FFFF00"/>
                </a:solidFill>
                <a:latin typeface="+mn-lt"/>
                <a:ea typeface="+mn-ea"/>
                <a:cs typeface="+mn-cs"/>
              </a:defRPr>
            </a:pPr>
            <a:endParaRPr lang="en-US"/>
          </a:p>
        </c:txPr>
        <c:crossAx val="562086256"/>
        <c:crosses val="autoZero"/>
        <c:auto val="1"/>
        <c:lblAlgn val="ctr"/>
        <c:lblOffset val="100"/>
        <c:noMultiLvlLbl val="0"/>
      </c:catAx>
      <c:valAx>
        <c:axId val="562086256"/>
        <c:scaling>
          <c:orientation val="minMax"/>
          <c:max val="5"/>
          <c:min val="0"/>
        </c:scaling>
        <c:delete val="0"/>
        <c:axPos val="b"/>
        <c:majorGridlines>
          <c:spPr>
            <a:ln w="9525" cap="flat" cmpd="sng" algn="ctr">
              <a:noFill/>
              <a:round/>
            </a:ln>
            <a:effectLst/>
          </c:spPr>
        </c:majorGridlines>
        <c:numFmt formatCode="General" sourceLinked="1"/>
        <c:majorTickMark val="in"/>
        <c:minorTickMark val="in"/>
        <c:tickLblPos val="nextTo"/>
        <c:spPr>
          <a:noFill/>
          <a:ln>
            <a:solidFill>
              <a:srgbClr val="FFFF00"/>
            </a:solidFill>
          </a:ln>
          <a:effectLst/>
        </c:spPr>
        <c:txPr>
          <a:bodyPr rot="-60000000" spcFirstLastPara="1" vertOverflow="ellipsis" vert="horz" wrap="square" anchor="ctr" anchorCtr="1"/>
          <a:lstStyle/>
          <a:p>
            <a:pPr>
              <a:defRPr sz="1200" b="0" i="0" u="none" strike="noStrike" kern="1200" baseline="0">
                <a:solidFill>
                  <a:srgbClr val="FFFF00"/>
                </a:solidFill>
                <a:latin typeface="+mn-lt"/>
                <a:ea typeface="+mn-ea"/>
                <a:cs typeface="+mn-cs"/>
              </a:defRPr>
            </a:pPr>
            <a:endParaRPr lang="en-US"/>
          </a:p>
        </c:txPr>
        <c:crossAx val="562087896"/>
        <c:crosses val="autoZero"/>
        <c:crossBetween val="between"/>
        <c:majorUnit val="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346349563447428"/>
          <c:y val="0.16473609795960723"/>
          <c:w val="0.73109432749477743"/>
          <c:h val="0.6478944262124966"/>
        </c:manualLayout>
      </c:layout>
      <c:barChart>
        <c:barDir val="bar"/>
        <c:grouping val="clustered"/>
        <c:varyColors val="0"/>
        <c:ser>
          <c:idx val="0"/>
          <c:order val="0"/>
          <c:spPr>
            <a:solidFill>
              <a:schemeClr val="tx1"/>
            </a:solidFill>
            <a:ln>
              <a:noFill/>
            </a:ln>
            <a:effectLst/>
          </c:spPr>
          <c:invertIfNegative val="0"/>
          <c:cat>
            <c:numRef>
              <c:f>Auton!$AU$4:$AU$6</c:f>
              <c:numCache>
                <c:formatCode>General</c:formatCode>
                <c:ptCount val="3"/>
                <c:pt idx="0">
                  <c:v>316</c:v>
                </c:pt>
                <c:pt idx="1">
                  <c:v>1350</c:v>
                </c:pt>
                <c:pt idx="2">
                  <c:v>2262</c:v>
                </c:pt>
              </c:numCache>
            </c:numRef>
          </c:cat>
          <c:val>
            <c:numRef>
              <c:f>Auton!$AX$4:$AX$6</c:f>
              <c:numCache>
                <c:formatCode>General</c:formatCode>
                <c:ptCount val="3"/>
                <c:pt idx="0">
                  <c:v>0</c:v>
                </c:pt>
                <c:pt idx="1">
                  <c:v>4</c:v>
                </c:pt>
                <c:pt idx="2">
                  <c:v>0</c:v>
                </c:pt>
              </c:numCache>
            </c:numRef>
          </c:val>
          <c:extLst>
            <c:ext xmlns:c16="http://schemas.microsoft.com/office/drawing/2014/chart" uri="{C3380CC4-5D6E-409C-BE32-E72D297353CC}">
              <c16:uniqueId val="{00000000-B1AA-4A69-A77D-2B086DE693FF}"/>
            </c:ext>
          </c:extLst>
        </c:ser>
        <c:dLbls>
          <c:showLegendKey val="0"/>
          <c:showVal val="0"/>
          <c:showCatName val="0"/>
          <c:showSerName val="0"/>
          <c:showPercent val="0"/>
          <c:showBubbleSize val="0"/>
        </c:dLbls>
        <c:gapWidth val="219"/>
        <c:axId val="562087896"/>
        <c:axId val="562086256"/>
      </c:barChart>
      <c:catAx>
        <c:axId val="562087896"/>
        <c:scaling>
          <c:orientation val="minMax"/>
        </c:scaling>
        <c:delete val="0"/>
        <c:axPos val="r"/>
        <c:numFmt formatCode="General" sourceLinked="1"/>
        <c:majorTickMark val="none"/>
        <c:minorTickMark val="none"/>
        <c:tickLblPos val="nextTo"/>
        <c:spPr>
          <a:noFill/>
          <a:ln w="9525" cap="flat" cmpd="sng" algn="ctr">
            <a:solidFill>
              <a:srgbClr val="FFFF00"/>
            </a:solidFill>
            <a:round/>
          </a:ln>
          <a:effectLst/>
        </c:spPr>
        <c:txPr>
          <a:bodyPr rot="-60000000" spcFirstLastPara="1" vertOverflow="ellipsis" vert="horz" wrap="square" anchor="ctr" anchorCtr="1"/>
          <a:lstStyle/>
          <a:p>
            <a:pPr>
              <a:defRPr sz="1200" b="0" i="0" u="none" strike="noStrike" kern="1200" baseline="0">
                <a:solidFill>
                  <a:srgbClr val="FFFF00"/>
                </a:solidFill>
                <a:latin typeface="+mn-lt"/>
                <a:ea typeface="+mn-ea"/>
                <a:cs typeface="+mn-cs"/>
              </a:defRPr>
            </a:pPr>
            <a:endParaRPr lang="en-US"/>
          </a:p>
        </c:txPr>
        <c:crossAx val="562086256"/>
        <c:crosses val="autoZero"/>
        <c:auto val="1"/>
        <c:lblAlgn val="ctr"/>
        <c:lblOffset val="100"/>
        <c:noMultiLvlLbl val="0"/>
      </c:catAx>
      <c:valAx>
        <c:axId val="562086256"/>
        <c:scaling>
          <c:orientation val="maxMin"/>
        </c:scaling>
        <c:delete val="0"/>
        <c:axPos val="b"/>
        <c:majorGridlines>
          <c:spPr>
            <a:ln w="9525" cap="flat" cmpd="sng" algn="ctr">
              <a:noFill/>
              <a:round/>
            </a:ln>
            <a:effectLst/>
          </c:spPr>
        </c:majorGridlines>
        <c:numFmt formatCode="General" sourceLinked="1"/>
        <c:majorTickMark val="in"/>
        <c:minorTickMark val="in"/>
        <c:tickLblPos val="nextTo"/>
        <c:spPr>
          <a:noFill/>
          <a:ln>
            <a:solidFill>
              <a:srgbClr val="FFFF00"/>
            </a:solidFill>
          </a:ln>
          <a:effectLst/>
        </c:spPr>
        <c:txPr>
          <a:bodyPr rot="-60000000" spcFirstLastPara="1" vertOverflow="ellipsis" vert="horz" wrap="square" anchor="ctr" anchorCtr="1"/>
          <a:lstStyle/>
          <a:p>
            <a:pPr>
              <a:defRPr sz="1200" b="0" i="0" u="none" strike="noStrike" kern="1200" baseline="0">
                <a:solidFill>
                  <a:srgbClr val="FFFF00"/>
                </a:solidFill>
                <a:latin typeface="+mn-lt"/>
                <a:ea typeface="+mn-ea"/>
                <a:cs typeface="+mn-cs"/>
              </a:defRPr>
            </a:pPr>
            <a:endParaRPr lang="en-US"/>
          </a:p>
        </c:txPr>
        <c:crossAx val="562087896"/>
        <c:crosses val="autoZero"/>
        <c:crossBetween val="between"/>
        <c:majorUnit val="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346349563447428"/>
          <c:y val="0.16473609795960723"/>
          <c:w val="0.73109432749477743"/>
          <c:h val="0.6478944262124966"/>
        </c:manualLayout>
      </c:layout>
      <c:barChart>
        <c:barDir val="bar"/>
        <c:grouping val="clustered"/>
        <c:varyColors val="0"/>
        <c:ser>
          <c:idx val="0"/>
          <c:order val="0"/>
          <c:spPr>
            <a:solidFill>
              <a:schemeClr val="tx1"/>
            </a:solidFill>
            <a:ln>
              <a:noFill/>
            </a:ln>
            <a:effectLst/>
          </c:spPr>
          <c:invertIfNegative val="0"/>
          <c:cat>
            <c:numRef>
              <c:f>Auton!$AU$4:$AU$6</c:f>
              <c:numCache>
                <c:formatCode>General</c:formatCode>
                <c:ptCount val="3"/>
                <c:pt idx="0">
                  <c:v>316</c:v>
                </c:pt>
                <c:pt idx="1">
                  <c:v>1350</c:v>
                </c:pt>
                <c:pt idx="2">
                  <c:v>2262</c:v>
                </c:pt>
              </c:numCache>
            </c:numRef>
          </c:cat>
          <c:val>
            <c:numRef>
              <c:f>Auton!$AY$4:$AY$6</c:f>
              <c:numCache>
                <c:formatCode>General</c:formatCode>
                <c:ptCount val="3"/>
                <c:pt idx="0">
                  <c:v>0</c:v>
                </c:pt>
                <c:pt idx="1">
                  <c:v>0</c:v>
                </c:pt>
                <c:pt idx="2">
                  <c:v>0</c:v>
                </c:pt>
              </c:numCache>
            </c:numRef>
          </c:val>
          <c:extLst>
            <c:ext xmlns:c16="http://schemas.microsoft.com/office/drawing/2014/chart" uri="{C3380CC4-5D6E-409C-BE32-E72D297353CC}">
              <c16:uniqueId val="{00000000-4488-42FB-ABF8-B7BD8FB3D80B}"/>
            </c:ext>
          </c:extLst>
        </c:ser>
        <c:dLbls>
          <c:showLegendKey val="0"/>
          <c:showVal val="0"/>
          <c:showCatName val="0"/>
          <c:showSerName val="0"/>
          <c:showPercent val="0"/>
          <c:showBubbleSize val="0"/>
        </c:dLbls>
        <c:gapWidth val="219"/>
        <c:axId val="562087896"/>
        <c:axId val="562086256"/>
      </c:barChart>
      <c:catAx>
        <c:axId val="562087896"/>
        <c:scaling>
          <c:orientation val="minMax"/>
        </c:scaling>
        <c:delete val="0"/>
        <c:axPos val="r"/>
        <c:numFmt formatCode="General" sourceLinked="1"/>
        <c:majorTickMark val="none"/>
        <c:minorTickMark val="none"/>
        <c:tickLblPos val="nextTo"/>
        <c:spPr>
          <a:noFill/>
          <a:ln w="9525" cap="flat" cmpd="sng" algn="ctr">
            <a:solidFill>
              <a:srgbClr val="FFFF00"/>
            </a:solidFill>
            <a:round/>
          </a:ln>
          <a:effectLst/>
        </c:spPr>
        <c:txPr>
          <a:bodyPr rot="-60000000" spcFirstLastPara="1" vertOverflow="ellipsis" vert="horz" wrap="square" anchor="ctr" anchorCtr="1"/>
          <a:lstStyle/>
          <a:p>
            <a:pPr>
              <a:defRPr sz="1200" b="0" i="0" u="none" strike="noStrike" kern="1200" baseline="0">
                <a:solidFill>
                  <a:srgbClr val="FFFF00"/>
                </a:solidFill>
                <a:latin typeface="+mn-lt"/>
                <a:ea typeface="+mn-ea"/>
                <a:cs typeface="+mn-cs"/>
              </a:defRPr>
            </a:pPr>
            <a:endParaRPr lang="en-US"/>
          </a:p>
        </c:txPr>
        <c:crossAx val="562086256"/>
        <c:crosses val="autoZero"/>
        <c:auto val="1"/>
        <c:lblAlgn val="ctr"/>
        <c:lblOffset val="100"/>
        <c:noMultiLvlLbl val="0"/>
      </c:catAx>
      <c:valAx>
        <c:axId val="562086256"/>
        <c:scaling>
          <c:orientation val="maxMin"/>
        </c:scaling>
        <c:delete val="0"/>
        <c:axPos val="b"/>
        <c:majorGridlines>
          <c:spPr>
            <a:ln w="9525" cap="flat" cmpd="sng" algn="ctr">
              <a:noFill/>
              <a:round/>
            </a:ln>
            <a:effectLst/>
          </c:spPr>
        </c:majorGridlines>
        <c:numFmt formatCode="General" sourceLinked="1"/>
        <c:majorTickMark val="in"/>
        <c:minorTickMark val="in"/>
        <c:tickLblPos val="nextTo"/>
        <c:spPr>
          <a:noFill/>
          <a:ln>
            <a:solidFill>
              <a:srgbClr val="FFFF00"/>
            </a:solidFill>
          </a:ln>
          <a:effectLst/>
        </c:spPr>
        <c:txPr>
          <a:bodyPr rot="-60000000" spcFirstLastPara="1" vertOverflow="ellipsis" vert="horz" wrap="square" anchor="ctr" anchorCtr="1"/>
          <a:lstStyle/>
          <a:p>
            <a:pPr>
              <a:defRPr sz="1200" b="0" i="0" u="none" strike="noStrike" kern="1200" baseline="0">
                <a:solidFill>
                  <a:srgbClr val="FFFF00"/>
                </a:solidFill>
                <a:latin typeface="+mn-lt"/>
                <a:ea typeface="+mn-ea"/>
                <a:cs typeface="+mn-cs"/>
              </a:defRPr>
            </a:pPr>
            <a:endParaRPr lang="en-US"/>
          </a:p>
        </c:txPr>
        <c:crossAx val="562087896"/>
        <c:crosses val="autoZero"/>
        <c:crossBetween val="between"/>
        <c:majorUnit val="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346349563447428"/>
          <c:y val="0.16473609795960723"/>
          <c:w val="0.73109432749477743"/>
          <c:h val="0.6478944262124966"/>
        </c:manualLayout>
      </c:layout>
      <c:barChart>
        <c:barDir val="bar"/>
        <c:grouping val="clustered"/>
        <c:varyColors val="0"/>
        <c:ser>
          <c:idx val="0"/>
          <c:order val="0"/>
          <c:spPr>
            <a:solidFill>
              <a:schemeClr val="tx1"/>
            </a:solidFill>
            <a:ln>
              <a:noFill/>
            </a:ln>
            <a:effectLst/>
          </c:spPr>
          <c:invertIfNegative val="0"/>
          <c:cat>
            <c:numRef>
              <c:f>Auton!$AU$4:$AU$6</c:f>
              <c:numCache>
                <c:formatCode>General</c:formatCode>
                <c:ptCount val="3"/>
                <c:pt idx="0">
                  <c:v>316</c:v>
                </c:pt>
                <c:pt idx="1">
                  <c:v>1350</c:v>
                </c:pt>
                <c:pt idx="2">
                  <c:v>2262</c:v>
                </c:pt>
              </c:numCache>
            </c:numRef>
          </c:cat>
          <c:val>
            <c:numRef>
              <c:f>Auton!$AZ$4:$AZ$6</c:f>
              <c:numCache>
                <c:formatCode>General</c:formatCode>
                <c:ptCount val="3"/>
                <c:pt idx="0">
                  <c:v>0</c:v>
                </c:pt>
                <c:pt idx="1">
                  <c:v>0</c:v>
                </c:pt>
                <c:pt idx="2">
                  <c:v>0</c:v>
                </c:pt>
              </c:numCache>
            </c:numRef>
          </c:val>
          <c:extLst>
            <c:ext xmlns:c16="http://schemas.microsoft.com/office/drawing/2014/chart" uri="{C3380CC4-5D6E-409C-BE32-E72D297353CC}">
              <c16:uniqueId val="{00000000-BBB3-4671-8186-A6CDF0BB6D85}"/>
            </c:ext>
          </c:extLst>
        </c:ser>
        <c:dLbls>
          <c:showLegendKey val="0"/>
          <c:showVal val="0"/>
          <c:showCatName val="0"/>
          <c:showSerName val="0"/>
          <c:showPercent val="0"/>
          <c:showBubbleSize val="0"/>
        </c:dLbls>
        <c:gapWidth val="219"/>
        <c:axId val="562087896"/>
        <c:axId val="562086256"/>
      </c:barChart>
      <c:catAx>
        <c:axId val="562087896"/>
        <c:scaling>
          <c:orientation val="minMax"/>
        </c:scaling>
        <c:delete val="0"/>
        <c:axPos val="r"/>
        <c:numFmt formatCode="General" sourceLinked="1"/>
        <c:majorTickMark val="none"/>
        <c:minorTickMark val="none"/>
        <c:tickLblPos val="nextTo"/>
        <c:spPr>
          <a:noFill/>
          <a:ln w="9525" cap="flat" cmpd="sng" algn="ctr">
            <a:solidFill>
              <a:srgbClr val="FFFF00"/>
            </a:solidFill>
            <a:round/>
          </a:ln>
          <a:effectLst/>
        </c:spPr>
        <c:txPr>
          <a:bodyPr rot="-60000000" spcFirstLastPara="1" vertOverflow="ellipsis" vert="horz" wrap="square" anchor="ctr" anchorCtr="1"/>
          <a:lstStyle/>
          <a:p>
            <a:pPr>
              <a:defRPr sz="1200" b="0" i="0" u="none" strike="noStrike" kern="1200" baseline="0">
                <a:solidFill>
                  <a:srgbClr val="FFFF00"/>
                </a:solidFill>
                <a:latin typeface="+mn-lt"/>
                <a:ea typeface="+mn-ea"/>
                <a:cs typeface="+mn-cs"/>
              </a:defRPr>
            </a:pPr>
            <a:endParaRPr lang="en-US"/>
          </a:p>
        </c:txPr>
        <c:crossAx val="562086256"/>
        <c:crosses val="autoZero"/>
        <c:auto val="1"/>
        <c:lblAlgn val="ctr"/>
        <c:lblOffset val="100"/>
        <c:noMultiLvlLbl val="0"/>
      </c:catAx>
      <c:valAx>
        <c:axId val="562086256"/>
        <c:scaling>
          <c:orientation val="maxMin"/>
        </c:scaling>
        <c:delete val="0"/>
        <c:axPos val="b"/>
        <c:majorGridlines>
          <c:spPr>
            <a:ln w="9525" cap="flat" cmpd="sng" algn="ctr">
              <a:noFill/>
              <a:round/>
            </a:ln>
            <a:effectLst/>
          </c:spPr>
        </c:majorGridlines>
        <c:numFmt formatCode="General" sourceLinked="1"/>
        <c:majorTickMark val="in"/>
        <c:minorTickMark val="in"/>
        <c:tickLblPos val="nextTo"/>
        <c:spPr>
          <a:noFill/>
          <a:ln>
            <a:solidFill>
              <a:srgbClr val="FFFF00"/>
            </a:solidFill>
          </a:ln>
          <a:effectLst/>
        </c:spPr>
        <c:txPr>
          <a:bodyPr rot="-60000000" spcFirstLastPara="1" vertOverflow="ellipsis" vert="horz" wrap="square" anchor="ctr" anchorCtr="1"/>
          <a:lstStyle/>
          <a:p>
            <a:pPr>
              <a:defRPr sz="1200" b="0" i="0" u="none" strike="noStrike" kern="1200" baseline="0">
                <a:solidFill>
                  <a:srgbClr val="FFFF00"/>
                </a:solidFill>
                <a:latin typeface="+mn-lt"/>
                <a:ea typeface="+mn-ea"/>
                <a:cs typeface="+mn-cs"/>
              </a:defRPr>
            </a:pPr>
            <a:endParaRPr lang="en-US"/>
          </a:p>
        </c:txPr>
        <c:crossAx val="562087896"/>
        <c:crosses val="autoZero"/>
        <c:crossBetween val="between"/>
        <c:majorUnit val="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rgbClr val="FFFF00"/>
                </a:solidFill>
              </a:rPr>
              <a:t>Average</a:t>
            </a:r>
            <a:r>
              <a:rPr lang="en-US" baseline="0">
                <a:solidFill>
                  <a:srgbClr val="FFFF00"/>
                </a:solidFill>
              </a:rPr>
              <a:t> Scored</a:t>
            </a:r>
            <a:endParaRPr lang="en-US">
              <a:solidFill>
                <a:srgbClr val="FFFF00"/>
              </a:solidFill>
            </a:endParaRPr>
          </a:p>
        </c:rich>
      </c:tx>
      <c:layout>
        <c:manualLayout>
          <c:xMode val="edge"/>
          <c:yMode val="edge"/>
          <c:x val="9.6081985053973584E-2"/>
          <c:y val="5.622489959839357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8346349563447428"/>
          <c:y val="0.16473609795960723"/>
          <c:w val="0.73109432749477743"/>
          <c:h val="0.6478944262124966"/>
        </c:manualLayout>
      </c:layout>
      <c:barChart>
        <c:barDir val="bar"/>
        <c:grouping val="clustered"/>
        <c:varyColors val="0"/>
        <c:ser>
          <c:idx val="0"/>
          <c:order val="0"/>
          <c:spPr>
            <a:solidFill>
              <a:schemeClr val="tx1"/>
            </a:solidFill>
            <a:ln>
              <a:noFill/>
            </a:ln>
            <a:effectLst/>
          </c:spPr>
          <c:invertIfNegative val="0"/>
          <c:cat>
            <c:numRef>
              <c:f>Auton!$AU$4:$AU$6</c:f>
              <c:numCache>
                <c:formatCode>General</c:formatCode>
                <c:ptCount val="3"/>
                <c:pt idx="0">
                  <c:v>316</c:v>
                </c:pt>
                <c:pt idx="1">
                  <c:v>1350</c:v>
                </c:pt>
                <c:pt idx="2">
                  <c:v>2262</c:v>
                </c:pt>
              </c:numCache>
            </c:numRef>
          </c:cat>
          <c:val>
            <c:numRef>
              <c:f>Auton!$BB$4:$BB$6</c:f>
              <c:numCache>
                <c:formatCode>General</c:formatCode>
                <c:ptCount val="3"/>
                <c:pt idx="0">
                  <c:v>2</c:v>
                </c:pt>
                <c:pt idx="1">
                  <c:v>0.7142857142857143</c:v>
                </c:pt>
                <c:pt idx="2">
                  <c:v>1</c:v>
                </c:pt>
              </c:numCache>
            </c:numRef>
          </c:val>
          <c:extLst>
            <c:ext xmlns:c16="http://schemas.microsoft.com/office/drawing/2014/chart" uri="{C3380CC4-5D6E-409C-BE32-E72D297353CC}">
              <c16:uniqueId val="{00000000-4BA1-49E9-8D25-C2C309B416E5}"/>
            </c:ext>
          </c:extLst>
        </c:ser>
        <c:dLbls>
          <c:showLegendKey val="0"/>
          <c:showVal val="0"/>
          <c:showCatName val="0"/>
          <c:showSerName val="0"/>
          <c:showPercent val="0"/>
          <c:showBubbleSize val="0"/>
        </c:dLbls>
        <c:gapWidth val="219"/>
        <c:axId val="562087896"/>
        <c:axId val="562086256"/>
      </c:barChart>
      <c:catAx>
        <c:axId val="562087896"/>
        <c:scaling>
          <c:orientation val="minMax"/>
        </c:scaling>
        <c:delete val="0"/>
        <c:axPos val="r"/>
        <c:numFmt formatCode="General" sourceLinked="1"/>
        <c:majorTickMark val="none"/>
        <c:minorTickMark val="none"/>
        <c:tickLblPos val="nextTo"/>
        <c:spPr>
          <a:noFill/>
          <a:ln w="9525" cap="flat" cmpd="sng" algn="ctr">
            <a:solidFill>
              <a:srgbClr val="FFFF00"/>
            </a:solidFill>
            <a:round/>
          </a:ln>
          <a:effectLst/>
        </c:spPr>
        <c:txPr>
          <a:bodyPr rot="-60000000" spcFirstLastPara="1" vertOverflow="ellipsis" vert="horz" wrap="square" anchor="ctr" anchorCtr="1"/>
          <a:lstStyle/>
          <a:p>
            <a:pPr>
              <a:defRPr sz="1200" b="0" i="0" u="none" strike="noStrike" kern="1200" baseline="0">
                <a:solidFill>
                  <a:srgbClr val="FFFF00"/>
                </a:solidFill>
                <a:latin typeface="+mn-lt"/>
                <a:ea typeface="+mn-ea"/>
                <a:cs typeface="+mn-cs"/>
              </a:defRPr>
            </a:pPr>
            <a:endParaRPr lang="en-US"/>
          </a:p>
        </c:txPr>
        <c:crossAx val="562086256"/>
        <c:crosses val="autoZero"/>
        <c:auto val="1"/>
        <c:lblAlgn val="ctr"/>
        <c:lblOffset val="100"/>
        <c:noMultiLvlLbl val="0"/>
      </c:catAx>
      <c:valAx>
        <c:axId val="562086256"/>
        <c:scaling>
          <c:orientation val="maxMin"/>
        </c:scaling>
        <c:delete val="0"/>
        <c:axPos val="b"/>
        <c:majorGridlines>
          <c:spPr>
            <a:ln w="9525" cap="flat" cmpd="sng" algn="ctr">
              <a:noFill/>
              <a:round/>
            </a:ln>
            <a:effectLst/>
          </c:spPr>
        </c:majorGridlines>
        <c:numFmt formatCode="General" sourceLinked="1"/>
        <c:majorTickMark val="in"/>
        <c:minorTickMark val="in"/>
        <c:tickLblPos val="nextTo"/>
        <c:spPr>
          <a:noFill/>
          <a:ln>
            <a:solidFill>
              <a:srgbClr val="FFFF00"/>
            </a:solidFill>
          </a:ln>
          <a:effectLst/>
        </c:spPr>
        <c:txPr>
          <a:bodyPr rot="-60000000" spcFirstLastPara="1" vertOverflow="ellipsis" vert="horz" wrap="square" anchor="ctr" anchorCtr="1"/>
          <a:lstStyle/>
          <a:p>
            <a:pPr>
              <a:defRPr sz="1200" b="0" i="0" u="none" strike="noStrike" kern="1200" baseline="0">
                <a:solidFill>
                  <a:srgbClr val="FFFF00"/>
                </a:solidFill>
                <a:latin typeface="+mn-lt"/>
                <a:ea typeface="+mn-ea"/>
                <a:cs typeface="+mn-cs"/>
              </a:defRPr>
            </a:pPr>
            <a:endParaRPr lang="en-US"/>
          </a:p>
        </c:txPr>
        <c:crossAx val="562087896"/>
        <c:crosses val="autoZero"/>
        <c:crossBetween val="between"/>
        <c:majorUnit val="3"/>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346349563447428"/>
          <c:y val="0.16473609795960723"/>
          <c:w val="0.73109432749477743"/>
          <c:h val="0.6478944262124966"/>
        </c:manualLayout>
      </c:layout>
      <c:barChart>
        <c:barDir val="bar"/>
        <c:grouping val="clustered"/>
        <c:varyColors val="0"/>
        <c:ser>
          <c:idx val="0"/>
          <c:order val="0"/>
          <c:spPr>
            <a:solidFill>
              <a:schemeClr val="tx1"/>
            </a:solidFill>
            <a:ln>
              <a:noFill/>
            </a:ln>
            <a:effectLst/>
          </c:spPr>
          <c:invertIfNegative val="0"/>
          <c:cat>
            <c:numRef>
              <c:f>Auton!$AU$10:$AU$12</c:f>
              <c:numCache>
                <c:formatCode>General</c:formatCode>
                <c:ptCount val="3"/>
                <c:pt idx="0">
                  <c:v>7153</c:v>
                </c:pt>
                <c:pt idx="1">
                  <c:v>7760</c:v>
                </c:pt>
                <c:pt idx="2">
                  <c:v>4987</c:v>
                </c:pt>
              </c:numCache>
            </c:numRef>
          </c:cat>
          <c:val>
            <c:numRef>
              <c:f>Auton!$AX$10:$AX$12</c:f>
              <c:numCache>
                <c:formatCode>General</c:formatCode>
                <c:ptCount val="3"/>
                <c:pt idx="0">
                  <c:v>0</c:v>
                </c:pt>
                <c:pt idx="1">
                  <c:v>0</c:v>
                </c:pt>
                <c:pt idx="2">
                  <c:v>0</c:v>
                </c:pt>
              </c:numCache>
            </c:numRef>
          </c:val>
          <c:extLst>
            <c:ext xmlns:c16="http://schemas.microsoft.com/office/drawing/2014/chart" uri="{C3380CC4-5D6E-409C-BE32-E72D297353CC}">
              <c16:uniqueId val="{00000000-CC6E-43E7-9BFC-59C6A773FE3A}"/>
            </c:ext>
          </c:extLst>
        </c:ser>
        <c:dLbls>
          <c:showLegendKey val="0"/>
          <c:showVal val="0"/>
          <c:showCatName val="0"/>
          <c:showSerName val="0"/>
          <c:showPercent val="0"/>
          <c:showBubbleSize val="0"/>
        </c:dLbls>
        <c:gapWidth val="219"/>
        <c:axId val="562087896"/>
        <c:axId val="562086256"/>
      </c:barChart>
      <c:catAx>
        <c:axId val="562087896"/>
        <c:scaling>
          <c:orientation val="minMax"/>
        </c:scaling>
        <c:delete val="0"/>
        <c:axPos val="l"/>
        <c:numFmt formatCode="General" sourceLinked="1"/>
        <c:majorTickMark val="none"/>
        <c:minorTickMark val="none"/>
        <c:tickLblPos val="nextTo"/>
        <c:spPr>
          <a:noFill/>
          <a:ln w="9525" cap="flat" cmpd="sng" algn="ctr">
            <a:solidFill>
              <a:srgbClr val="FFFF00"/>
            </a:solidFill>
            <a:round/>
          </a:ln>
          <a:effectLst/>
        </c:spPr>
        <c:txPr>
          <a:bodyPr rot="-60000000" spcFirstLastPara="1" vertOverflow="ellipsis" vert="horz" wrap="square" anchor="ctr" anchorCtr="1"/>
          <a:lstStyle/>
          <a:p>
            <a:pPr>
              <a:defRPr sz="1200" b="0" i="0" u="none" strike="noStrike" kern="1200" baseline="0">
                <a:solidFill>
                  <a:srgbClr val="FFFF00"/>
                </a:solidFill>
                <a:latin typeface="+mn-lt"/>
                <a:ea typeface="+mn-ea"/>
                <a:cs typeface="+mn-cs"/>
              </a:defRPr>
            </a:pPr>
            <a:endParaRPr lang="en-US"/>
          </a:p>
        </c:txPr>
        <c:crossAx val="562086256"/>
        <c:crosses val="autoZero"/>
        <c:auto val="1"/>
        <c:lblAlgn val="ctr"/>
        <c:lblOffset val="100"/>
        <c:noMultiLvlLbl val="0"/>
      </c:catAx>
      <c:valAx>
        <c:axId val="562086256"/>
        <c:scaling>
          <c:orientation val="minMax"/>
          <c:max val="5"/>
          <c:min val="0"/>
        </c:scaling>
        <c:delete val="0"/>
        <c:axPos val="b"/>
        <c:majorGridlines>
          <c:spPr>
            <a:ln w="9525" cap="flat" cmpd="sng" algn="ctr">
              <a:noFill/>
              <a:round/>
            </a:ln>
            <a:effectLst/>
          </c:spPr>
        </c:majorGridlines>
        <c:numFmt formatCode="General" sourceLinked="1"/>
        <c:majorTickMark val="in"/>
        <c:minorTickMark val="in"/>
        <c:tickLblPos val="nextTo"/>
        <c:spPr>
          <a:noFill/>
          <a:ln>
            <a:solidFill>
              <a:srgbClr val="FFFF00"/>
            </a:solidFill>
          </a:ln>
          <a:effectLst/>
        </c:spPr>
        <c:txPr>
          <a:bodyPr rot="-60000000" spcFirstLastPara="1" vertOverflow="ellipsis" vert="horz" wrap="square" anchor="ctr" anchorCtr="1"/>
          <a:lstStyle/>
          <a:p>
            <a:pPr>
              <a:defRPr sz="1200" b="0" i="0" u="none" strike="noStrike" kern="1200" baseline="0">
                <a:solidFill>
                  <a:srgbClr val="FFFF00"/>
                </a:solidFill>
                <a:latin typeface="+mn-lt"/>
                <a:ea typeface="+mn-ea"/>
                <a:cs typeface="+mn-cs"/>
              </a:defRPr>
            </a:pPr>
            <a:endParaRPr lang="en-US"/>
          </a:p>
        </c:txPr>
        <c:crossAx val="562087896"/>
        <c:crosses val="autoZero"/>
        <c:crossBetween val="between"/>
        <c:majorUnit val="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346349563447428"/>
          <c:y val="0.16473609795960723"/>
          <c:w val="0.73109432749477743"/>
          <c:h val="0.6478944262124966"/>
        </c:manualLayout>
      </c:layout>
      <c:barChart>
        <c:barDir val="bar"/>
        <c:grouping val="clustered"/>
        <c:varyColors val="0"/>
        <c:ser>
          <c:idx val="0"/>
          <c:order val="0"/>
          <c:spPr>
            <a:solidFill>
              <a:schemeClr val="tx1"/>
            </a:solidFill>
            <a:ln>
              <a:noFill/>
            </a:ln>
            <a:effectLst/>
          </c:spPr>
          <c:invertIfNegative val="0"/>
          <c:cat>
            <c:numRef>
              <c:f>Auton!$AU$10:$AU$12</c:f>
              <c:numCache>
                <c:formatCode>General</c:formatCode>
                <c:ptCount val="3"/>
                <c:pt idx="0">
                  <c:v>7153</c:v>
                </c:pt>
                <c:pt idx="1">
                  <c:v>7760</c:v>
                </c:pt>
                <c:pt idx="2">
                  <c:v>4987</c:v>
                </c:pt>
              </c:numCache>
            </c:numRef>
          </c:cat>
          <c:val>
            <c:numRef>
              <c:f>Auton!$AY$10:$AY$12</c:f>
              <c:numCache>
                <c:formatCode>General</c:formatCode>
                <c:ptCount val="3"/>
                <c:pt idx="0">
                  <c:v>0</c:v>
                </c:pt>
                <c:pt idx="1">
                  <c:v>0</c:v>
                </c:pt>
                <c:pt idx="2">
                  <c:v>0</c:v>
                </c:pt>
              </c:numCache>
            </c:numRef>
          </c:val>
          <c:extLst>
            <c:ext xmlns:c16="http://schemas.microsoft.com/office/drawing/2014/chart" uri="{C3380CC4-5D6E-409C-BE32-E72D297353CC}">
              <c16:uniqueId val="{00000000-404C-434A-B398-690899B11652}"/>
            </c:ext>
          </c:extLst>
        </c:ser>
        <c:dLbls>
          <c:showLegendKey val="0"/>
          <c:showVal val="0"/>
          <c:showCatName val="0"/>
          <c:showSerName val="0"/>
          <c:showPercent val="0"/>
          <c:showBubbleSize val="0"/>
        </c:dLbls>
        <c:gapWidth val="219"/>
        <c:axId val="562087896"/>
        <c:axId val="562086256"/>
      </c:barChart>
      <c:catAx>
        <c:axId val="562087896"/>
        <c:scaling>
          <c:orientation val="minMax"/>
        </c:scaling>
        <c:delete val="0"/>
        <c:axPos val="l"/>
        <c:numFmt formatCode="General" sourceLinked="1"/>
        <c:majorTickMark val="none"/>
        <c:minorTickMark val="none"/>
        <c:tickLblPos val="nextTo"/>
        <c:spPr>
          <a:noFill/>
          <a:ln w="9525" cap="flat" cmpd="sng" algn="ctr">
            <a:solidFill>
              <a:srgbClr val="FFFF00"/>
            </a:solidFill>
            <a:round/>
          </a:ln>
          <a:effectLst/>
        </c:spPr>
        <c:txPr>
          <a:bodyPr rot="-60000000" spcFirstLastPara="1" vertOverflow="ellipsis" vert="horz" wrap="square" anchor="ctr" anchorCtr="1"/>
          <a:lstStyle/>
          <a:p>
            <a:pPr>
              <a:defRPr sz="1200" b="0" i="0" u="none" strike="noStrike" kern="1200" baseline="0">
                <a:solidFill>
                  <a:srgbClr val="FFFF00"/>
                </a:solidFill>
                <a:latin typeface="+mn-lt"/>
                <a:ea typeface="+mn-ea"/>
                <a:cs typeface="+mn-cs"/>
              </a:defRPr>
            </a:pPr>
            <a:endParaRPr lang="en-US"/>
          </a:p>
        </c:txPr>
        <c:crossAx val="562086256"/>
        <c:crosses val="autoZero"/>
        <c:auto val="1"/>
        <c:lblAlgn val="ctr"/>
        <c:lblOffset val="100"/>
        <c:noMultiLvlLbl val="0"/>
      </c:catAx>
      <c:valAx>
        <c:axId val="562086256"/>
        <c:scaling>
          <c:orientation val="minMax"/>
          <c:max val="5"/>
          <c:min val="0"/>
        </c:scaling>
        <c:delete val="0"/>
        <c:axPos val="b"/>
        <c:majorGridlines>
          <c:spPr>
            <a:ln w="9525" cap="flat" cmpd="sng" algn="ctr">
              <a:noFill/>
              <a:round/>
            </a:ln>
            <a:effectLst/>
          </c:spPr>
        </c:majorGridlines>
        <c:numFmt formatCode="General" sourceLinked="1"/>
        <c:majorTickMark val="in"/>
        <c:minorTickMark val="in"/>
        <c:tickLblPos val="nextTo"/>
        <c:spPr>
          <a:noFill/>
          <a:ln>
            <a:solidFill>
              <a:srgbClr val="FFFF00"/>
            </a:solidFill>
          </a:ln>
          <a:effectLst/>
        </c:spPr>
        <c:txPr>
          <a:bodyPr rot="-60000000" spcFirstLastPara="1" vertOverflow="ellipsis" vert="horz" wrap="square" anchor="ctr" anchorCtr="1"/>
          <a:lstStyle/>
          <a:p>
            <a:pPr>
              <a:defRPr sz="1200" b="0" i="0" u="none" strike="noStrike" kern="1200" baseline="0">
                <a:solidFill>
                  <a:srgbClr val="FFFF00"/>
                </a:solidFill>
                <a:latin typeface="+mn-lt"/>
                <a:ea typeface="+mn-ea"/>
                <a:cs typeface="+mn-cs"/>
              </a:defRPr>
            </a:pPr>
            <a:endParaRPr lang="en-US"/>
          </a:p>
        </c:txPr>
        <c:crossAx val="562087896"/>
        <c:crosses val="autoZero"/>
        <c:crossBetween val="between"/>
        <c:majorUnit val="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346349563447428"/>
          <c:y val="0.16473609795960723"/>
          <c:w val="0.73109432749477743"/>
          <c:h val="0.6478944262124966"/>
        </c:manualLayout>
      </c:layout>
      <c:barChart>
        <c:barDir val="bar"/>
        <c:grouping val="clustered"/>
        <c:varyColors val="0"/>
        <c:ser>
          <c:idx val="0"/>
          <c:order val="0"/>
          <c:spPr>
            <a:solidFill>
              <a:schemeClr val="tx1"/>
            </a:solidFill>
            <a:ln>
              <a:noFill/>
            </a:ln>
            <a:effectLst/>
          </c:spPr>
          <c:invertIfNegative val="0"/>
          <c:cat>
            <c:numRef>
              <c:f>Auton!$AU$10:$AU$12</c:f>
              <c:numCache>
                <c:formatCode>General</c:formatCode>
                <c:ptCount val="3"/>
                <c:pt idx="0">
                  <c:v>7153</c:v>
                </c:pt>
                <c:pt idx="1">
                  <c:v>7760</c:v>
                </c:pt>
                <c:pt idx="2">
                  <c:v>4987</c:v>
                </c:pt>
              </c:numCache>
            </c:numRef>
          </c:cat>
          <c:val>
            <c:numRef>
              <c:f>Auton!$AZ$10:$AZ$12</c:f>
              <c:numCache>
                <c:formatCode>General</c:formatCode>
                <c:ptCount val="3"/>
                <c:pt idx="0">
                  <c:v>0</c:v>
                </c:pt>
                <c:pt idx="1">
                  <c:v>0</c:v>
                </c:pt>
                <c:pt idx="2">
                  <c:v>0</c:v>
                </c:pt>
              </c:numCache>
            </c:numRef>
          </c:val>
          <c:extLst>
            <c:ext xmlns:c16="http://schemas.microsoft.com/office/drawing/2014/chart" uri="{C3380CC4-5D6E-409C-BE32-E72D297353CC}">
              <c16:uniqueId val="{00000000-F67C-48FC-B333-FB684EB4B704}"/>
            </c:ext>
          </c:extLst>
        </c:ser>
        <c:dLbls>
          <c:showLegendKey val="0"/>
          <c:showVal val="0"/>
          <c:showCatName val="0"/>
          <c:showSerName val="0"/>
          <c:showPercent val="0"/>
          <c:showBubbleSize val="0"/>
        </c:dLbls>
        <c:gapWidth val="219"/>
        <c:axId val="562087896"/>
        <c:axId val="562086256"/>
      </c:barChart>
      <c:catAx>
        <c:axId val="562087896"/>
        <c:scaling>
          <c:orientation val="minMax"/>
        </c:scaling>
        <c:delete val="0"/>
        <c:axPos val="l"/>
        <c:numFmt formatCode="General" sourceLinked="1"/>
        <c:majorTickMark val="none"/>
        <c:minorTickMark val="none"/>
        <c:tickLblPos val="nextTo"/>
        <c:spPr>
          <a:noFill/>
          <a:ln w="9525" cap="flat" cmpd="sng" algn="ctr">
            <a:solidFill>
              <a:srgbClr val="FFFF00"/>
            </a:solidFill>
            <a:round/>
          </a:ln>
          <a:effectLst/>
        </c:spPr>
        <c:txPr>
          <a:bodyPr rot="-60000000" spcFirstLastPara="1" vertOverflow="ellipsis" vert="horz" wrap="square" anchor="ctr" anchorCtr="1"/>
          <a:lstStyle/>
          <a:p>
            <a:pPr>
              <a:defRPr sz="1200" b="0" i="0" u="none" strike="noStrike" kern="1200" baseline="0">
                <a:solidFill>
                  <a:srgbClr val="FFFF00"/>
                </a:solidFill>
                <a:latin typeface="+mn-lt"/>
                <a:ea typeface="+mn-ea"/>
                <a:cs typeface="+mn-cs"/>
              </a:defRPr>
            </a:pPr>
            <a:endParaRPr lang="en-US"/>
          </a:p>
        </c:txPr>
        <c:crossAx val="562086256"/>
        <c:crosses val="autoZero"/>
        <c:auto val="1"/>
        <c:lblAlgn val="ctr"/>
        <c:lblOffset val="100"/>
        <c:noMultiLvlLbl val="0"/>
      </c:catAx>
      <c:valAx>
        <c:axId val="562086256"/>
        <c:scaling>
          <c:orientation val="minMax"/>
          <c:max val="5"/>
          <c:min val="0"/>
        </c:scaling>
        <c:delete val="0"/>
        <c:axPos val="b"/>
        <c:majorGridlines>
          <c:spPr>
            <a:ln w="9525" cap="flat" cmpd="sng" algn="ctr">
              <a:noFill/>
              <a:round/>
            </a:ln>
            <a:effectLst/>
          </c:spPr>
        </c:majorGridlines>
        <c:numFmt formatCode="General" sourceLinked="1"/>
        <c:majorTickMark val="in"/>
        <c:minorTickMark val="in"/>
        <c:tickLblPos val="nextTo"/>
        <c:spPr>
          <a:noFill/>
          <a:ln>
            <a:solidFill>
              <a:srgbClr val="FFFF00"/>
            </a:solidFill>
          </a:ln>
          <a:effectLst/>
        </c:spPr>
        <c:txPr>
          <a:bodyPr rot="-60000000" spcFirstLastPara="1" vertOverflow="ellipsis" vert="horz" wrap="square" anchor="ctr" anchorCtr="1"/>
          <a:lstStyle/>
          <a:p>
            <a:pPr>
              <a:defRPr sz="1200" b="0" i="0" u="none" strike="noStrike" kern="1200" baseline="0">
                <a:solidFill>
                  <a:srgbClr val="FFFF00"/>
                </a:solidFill>
                <a:latin typeface="+mn-lt"/>
                <a:ea typeface="+mn-ea"/>
                <a:cs typeface="+mn-cs"/>
              </a:defRPr>
            </a:pPr>
            <a:endParaRPr lang="en-US"/>
          </a:p>
        </c:txPr>
        <c:crossAx val="562087896"/>
        <c:crosses val="autoZero"/>
        <c:crossBetween val="between"/>
        <c:majorUnit val="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rgbClr val="FFFF00"/>
                </a:solidFill>
              </a:rPr>
              <a:t>Average</a:t>
            </a:r>
            <a:r>
              <a:rPr lang="en-US" baseline="0">
                <a:solidFill>
                  <a:srgbClr val="FFFF00"/>
                </a:solidFill>
              </a:rPr>
              <a:t> Scored</a:t>
            </a:r>
            <a:endParaRPr lang="en-US">
              <a:solidFill>
                <a:srgbClr val="FFFF00"/>
              </a:solidFill>
            </a:endParaRPr>
          </a:p>
        </c:rich>
      </c:tx>
      <c:layout>
        <c:manualLayout>
          <c:xMode val="edge"/>
          <c:yMode val="edge"/>
          <c:x val="0.26103052792733611"/>
          <c:y val="4.01606425702811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8346349563447428"/>
          <c:y val="0.16473609795960723"/>
          <c:w val="0.73109432749477743"/>
          <c:h val="0.6478944262124966"/>
        </c:manualLayout>
      </c:layout>
      <c:barChart>
        <c:barDir val="bar"/>
        <c:grouping val="clustered"/>
        <c:varyColors val="0"/>
        <c:ser>
          <c:idx val="0"/>
          <c:order val="0"/>
          <c:tx>
            <c:strRef>
              <c:f>Auton!$BB$10:$BB$12</c:f>
              <c:strCache>
                <c:ptCount val="3"/>
                <c:pt idx="0">
                  <c:v>0.333333333</c:v>
                </c:pt>
                <c:pt idx="1">
                  <c:v>0.166666667</c:v>
                </c:pt>
                <c:pt idx="2">
                  <c:v>1.333333333</c:v>
                </c:pt>
              </c:strCache>
            </c:strRef>
          </c:tx>
          <c:spPr>
            <a:solidFill>
              <a:schemeClr val="tx1"/>
            </a:solidFill>
            <a:ln>
              <a:noFill/>
            </a:ln>
            <a:effectLst/>
          </c:spPr>
          <c:invertIfNegative val="0"/>
          <c:cat>
            <c:numRef>
              <c:f>Auton!$AU$4:$AU$6</c:f>
              <c:numCache>
                <c:formatCode>General</c:formatCode>
                <c:ptCount val="3"/>
                <c:pt idx="0">
                  <c:v>316</c:v>
                </c:pt>
                <c:pt idx="1">
                  <c:v>1350</c:v>
                </c:pt>
                <c:pt idx="2">
                  <c:v>2262</c:v>
                </c:pt>
              </c:numCache>
            </c:numRef>
          </c:cat>
          <c:val>
            <c:numRef>
              <c:f>Auton!$BB$4:$BB$6</c:f>
              <c:numCache>
                <c:formatCode>General</c:formatCode>
                <c:ptCount val="3"/>
                <c:pt idx="0">
                  <c:v>2</c:v>
                </c:pt>
                <c:pt idx="1">
                  <c:v>0.7142857142857143</c:v>
                </c:pt>
                <c:pt idx="2">
                  <c:v>1</c:v>
                </c:pt>
              </c:numCache>
            </c:numRef>
          </c:val>
          <c:extLst>
            <c:ext xmlns:c16="http://schemas.microsoft.com/office/drawing/2014/chart" uri="{C3380CC4-5D6E-409C-BE32-E72D297353CC}">
              <c16:uniqueId val="{00000000-9712-44E1-98DF-F38754C95416}"/>
            </c:ext>
          </c:extLst>
        </c:ser>
        <c:dLbls>
          <c:showLegendKey val="0"/>
          <c:showVal val="0"/>
          <c:showCatName val="0"/>
          <c:showSerName val="0"/>
          <c:showPercent val="0"/>
          <c:showBubbleSize val="0"/>
        </c:dLbls>
        <c:gapWidth val="219"/>
        <c:axId val="562087896"/>
        <c:axId val="562086256"/>
      </c:barChart>
      <c:catAx>
        <c:axId val="562087896"/>
        <c:scaling>
          <c:orientation val="minMax"/>
        </c:scaling>
        <c:delete val="0"/>
        <c:axPos val="l"/>
        <c:numFmt formatCode="General" sourceLinked="1"/>
        <c:majorTickMark val="none"/>
        <c:minorTickMark val="none"/>
        <c:tickLblPos val="nextTo"/>
        <c:spPr>
          <a:noFill/>
          <a:ln w="9525" cap="flat" cmpd="sng" algn="ctr">
            <a:solidFill>
              <a:srgbClr val="FFFF00"/>
            </a:solidFill>
            <a:round/>
          </a:ln>
          <a:effectLst/>
        </c:spPr>
        <c:txPr>
          <a:bodyPr rot="-60000000" spcFirstLastPara="1" vertOverflow="ellipsis" vert="horz" wrap="square" anchor="ctr" anchorCtr="1"/>
          <a:lstStyle/>
          <a:p>
            <a:pPr>
              <a:defRPr sz="1200" b="0" i="0" u="none" strike="noStrike" kern="1200" baseline="0">
                <a:solidFill>
                  <a:srgbClr val="FFFF00"/>
                </a:solidFill>
                <a:latin typeface="+mn-lt"/>
                <a:ea typeface="+mn-ea"/>
                <a:cs typeface="+mn-cs"/>
              </a:defRPr>
            </a:pPr>
            <a:endParaRPr lang="en-US"/>
          </a:p>
        </c:txPr>
        <c:crossAx val="562086256"/>
        <c:crosses val="autoZero"/>
        <c:auto val="1"/>
        <c:lblAlgn val="ctr"/>
        <c:lblOffset val="100"/>
        <c:noMultiLvlLbl val="0"/>
      </c:catAx>
      <c:valAx>
        <c:axId val="562086256"/>
        <c:scaling>
          <c:orientation val="minMax"/>
        </c:scaling>
        <c:delete val="0"/>
        <c:axPos val="b"/>
        <c:majorGridlines>
          <c:spPr>
            <a:ln w="9525" cap="flat" cmpd="sng" algn="ctr">
              <a:noFill/>
              <a:round/>
            </a:ln>
            <a:effectLst/>
          </c:spPr>
        </c:majorGridlines>
        <c:numFmt formatCode="General" sourceLinked="1"/>
        <c:majorTickMark val="in"/>
        <c:minorTickMark val="in"/>
        <c:tickLblPos val="nextTo"/>
        <c:spPr>
          <a:noFill/>
          <a:ln>
            <a:solidFill>
              <a:srgbClr val="FFFF00"/>
            </a:solidFill>
          </a:ln>
          <a:effectLst/>
        </c:spPr>
        <c:txPr>
          <a:bodyPr rot="-60000000" spcFirstLastPara="1" vertOverflow="ellipsis" vert="horz" wrap="square" anchor="ctr" anchorCtr="1"/>
          <a:lstStyle/>
          <a:p>
            <a:pPr>
              <a:defRPr sz="1200" b="0" i="0" u="none" strike="noStrike" kern="1200" baseline="0">
                <a:solidFill>
                  <a:srgbClr val="FFFF00"/>
                </a:solidFill>
                <a:latin typeface="+mn-lt"/>
                <a:ea typeface="+mn-ea"/>
                <a:cs typeface="+mn-cs"/>
              </a:defRPr>
            </a:pPr>
            <a:endParaRPr lang="en-US"/>
          </a:p>
        </c:txPr>
        <c:crossAx val="562087896"/>
        <c:crosses val="autoZero"/>
        <c:crossBetween val="between"/>
        <c:majorUnit val="3"/>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sz="1200">
                <a:solidFill>
                  <a:schemeClr val="tx1"/>
                </a:solidFill>
              </a:rPr>
              <a:t>R</a:t>
            </a:r>
          </a:p>
        </c:rich>
      </c:tx>
      <c:layout>
        <c:manualLayout>
          <c:xMode val="edge"/>
          <c:yMode val="edge"/>
          <c:x val="0.72816630339811972"/>
          <c:y val="0.87222105204230849"/>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doughnutChart>
        <c:varyColors val="1"/>
        <c:ser>
          <c:idx val="0"/>
          <c:order val="0"/>
          <c:tx>
            <c:v>wheel size</c:v>
          </c:tx>
          <c:spPr>
            <a:solidFill>
              <a:srgbClr val="FF0000"/>
            </a:solidFill>
            <a:ln w="25400"/>
          </c:spPr>
          <c:dPt>
            <c:idx val="0"/>
            <c:bubble3D val="0"/>
            <c:spPr>
              <a:solidFill>
                <a:srgbClr val="FF0000"/>
              </a:solidFill>
              <a:ln w="25400">
                <a:solidFill>
                  <a:schemeClr val="lt1"/>
                </a:solidFill>
              </a:ln>
              <a:effectLst/>
            </c:spPr>
            <c:extLst>
              <c:ext xmlns:c16="http://schemas.microsoft.com/office/drawing/2014/chart" uri="{C3380CC4-5D6E-409C-BE32-E72D297353CC}">
                <c16:uniqueId val="{00000001-FC20-4E85-9814-19D35FB86C3E}"/>
              </c:ext>
            </c:extLst>
          </c:dPt>
          <c:dPt>
            <c:idx val="1"/>
            <c:bubble3D val="0"/>
            <c:spPr>
              <a:solidFill>
                <a:srgbClr val="00B050"/>
              </a:solidFill>
              <a:ln w="25400">
                <a:solidFill>
                  <a:schemeClr val="lt1"/>
                </a:solidFill>
              </a:ln>
              <a:effectLst/>
            </c:spPr>
            <c:extLst>
              <c:ext xmlns:c16="http://schemas.microsoft.com/office/drawing/2014/chart" uri="{C3380CC4-5D6E-409C-BE32-E72D297353CC}">
                <c16:uniqueId val="{00000003-FC20-4E85-9814-19D35FB86C3E}"/>
              </c:ext>
            </c:extLst>
          </c:dPt>
          <c:dPt>
            <c:idx val="2"/>
            <c:bubble3D val="0"/>
            <c:spPr>
              <a:noFill/>
              <a:ln w="25400">
                <a:solidFill>
                  <a:schemeClr val="lt1"/>
                </a:solidFill>
              </a:ln>
              <a:effectLst/>
            </c:spPr>
            <c:extLst>
              <c:ext xmlns:c16="http://schemas.microsoft.com/office/drawing/2014/chart" uri="{C3380CC4-5D6E-409C-BE32-E72D297353CC}">
                <c16:uniqueId val="{00000005-FC20-4E85-9814-19D35FB86C3E}"/>
              </c:ext>
            </c:extLst>
          </c:dPt>
          <c:val>
            <c:numRef>
              <c:f>alliance!$AJ$2:$AJ$4</c:f>
              <c:numCache>
                <c:formatCode>General</c:formatCode>
                <c:ptCount val="3"/>
                <c:pt idx="0">
                  <c:v>25</c:v>
                </c:pt>
                <c:pt idx="1">
                  <c:v>75</c:v>
                </c:pt>
                <c:pt idx="2">
                  <c:v>50</c:v>
                </c:pt>
              </c:numCache>
            </c:numRef>
          </c:val>
          <c:extLst>
            <c:ext xmlns:c16="http://schemas.microsoft.com/office/drawing/2014/chart" uri="{C3380CC4-5D6E-409C-BE32-E72D297353CC}">
              <c16:uniqueId val="{00000008-FC20-4E85-9814-19D35FB86C3E}"/>
            </c:ext>
          </c:extLst>
        </c:ser>
        <c:dLbls>
          <c:showLegendKey val="0"/>
          <c:showVal val="0"/>
          <c:showCatName val="0"/>
          <c:showSerName val="0"/>
          <c:showPercent val="0"/>
          <c:showBubbleSize val="0"/>
          <c:showLeaderLines val="1"/>
        </c:dLbls>
        <c:firstSliceAng val="240"/>
        <c:holeSize val="75"/>
      </c:doughnutChart>
      <c:pieChart>
        <c:varyColors val="1"/>
        <c:ser>
          <c:idx val="1"/>
          <c:order val="1"/>
          <c:tx>
            <c:v>%</c:v>
          </c:tx>
          <c:spPr>
            <a:noFill/>
            <a:ln>
              <a:noFill/>
            </a:ln>
          </c:spPr>
          <c:dPt>
            <c:idx val="0"/>
            <c:bubble3D val="0"/>
            <c:spPr>
              <a:noFill/>
              <a:ln w="19050">
                <a:noFill/>
              </a:ln>
              <a:effectLst/>
            </c:spPr>
            <c:extLst>
              <c:ext xmlns:c16="http://schemas.microsoft.com/office/drawing/2014/chart" uri="{C3380CC4-5D6E-409C-BE32-E72D297353CC}">
                <c16:uniqueId val="{0000000A-FC20-4E85-9814-19D35FB86C3E}"/>
              </c:ext>
            </c:extLst>
          </c:dPt>
          <c:dPt>
            <c:idx val="1"/>
            <c:bubble3D val="0"/>
            <c:spPr>
              <a:solidFill>
                <a:schemeClr val="tx1"/>
              </a:solidFill>
              <a:ln w="19050">
                <a:noFill/>
              </a:ln>
              <a:effectLst/>
            </c:spPr>
            <c:extLst>
              <c:ext xmlns:c16="http://schemas.microsoft.com/office/drawing/2014/chart" uri="{C3380CC4-5D6E-409C-BE32-E72D297353CC}">
                <c16:uniqueId val="{0000000C-FC20-4E85-9814-19D35FB86C3E}"/>
              </c:ext>
            </c:extLst>
          </c:dPt>
          <c:dPt>
            <c:idx val="2"/>
            <c:bubble3D val="0"/>
            <c:spPr>
              <a:noFill/>
              <a:ln w="22225">
                <a:noFill/>
              </a:ln>
              <a:effectLst/>
            </c:spPr>
            <c:extLst>
              <c:ext xmlns:c16="http://schemas.microsoft.com/office/drawing/2014/chart" uri="{C3380CC4-5D6E-409C-BE32-E72D297353CC}">
                <c16:uniqueId val="{0000000E-FC20-4E85-9814-19D35FB86C3E}"/>
              </c:ext>
            </c:extLst>
          </c:dPt>
          <c:val>
            <c:numRef>
              <c:f>alliance!$AL$2:$AN$2</c:f>
              <c:numCache>
                <c:formatCode>0%</c:formatCode>
                <c:ptCount val="3"/>
                <c:pt idx="0">
                  <c:v>0.70588235294117652</c:v>
                </c:pt>
                <c:pt idx="1">
                  <c:v>0.01</c:v>
                </c:pt>
                <c:pt idx="2" formatCode="0.00%">
                  <c:v>0.78411764705882347</c:v>
                </c:pt>
              </c:numCache>
            </c:numRef>
          </c:val>
          <c:extLst>
            <c:ext xmlns:c16="http://schemas.microsoft.com/office/drawing/2014/chart" uri="{C3380CC4-5D6E-409C-BE32-E72D297353CC}">
              <c16:uniqueId val="{0000000F-FC20-4E85-9814-19D35FB86C3E}"/>
            </c:ext>
          </c:extLst>
        </c:ser>
        <c:dLbls>
          <c:showLegendKey val="0"/>
          <c:showVal val="0"/>
          <c:showCatName val="0"/>
          <c:showSerName val="0"/>
          <c:showPercent val="0"/>
          <c:showBubbleSize val="0"/>
          <c:showLeaderLines val="1"/>
        </c:dLbls>
        <c:firstSliceAng val="24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sz="1200">
                <a:solidFill>
                  <a:schemeClr val="tx1"/>
                </a:solidFill>
              </a:rPr>
              <a:t>R</a:t>
            </a:r>
          </a:p>
        </c:rich>
      </c:tx>
      <c:layout>
        <c:manualLayout>
          <c:xMode val="edge"/>
          <c:yMode val="edge"/>
          <c:x val="0.70933359861720779"/>
          <c:y val="0.8620289416145556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doughnutChart>
        <c:varyColors val="1"/>
        <c:ser>
          <c:idx val="0"/>
          <c:order val="0"/>
          <c:tx>
            <c:v>wheel size</c:v>
          </c:tx>
          <c:spPr>
            <a:solidFill>
              <a:srgbClr val="FF0000"/>
            </a:solidFill>
            <a:ln w="25400"/>
          </c:spPr>
          <c:dPt>
            <c:idx val="0"/>
            <c:bubble3D val="0"/>
            <c:spPr>
              <a:solidFill>
                <a:srgbClr val="FF0000"/>
              </a:solidFill>
              <a:ln w="25400">
                <a:solidFill>
                  <a:schemeClr val="lt1"/>
                </a:solidFill>
              </a:ln>
              <a:effectLst/>
            </c:spPr>
            <c:extLst>
              <c:ext xmlns:c16="http://schemas.microsoft.com/office/drawing/2014/chart" uri="{C3380CC4-5D6E-409C-BE32-E72D297353CC}">
                <c16:uniqueId val="{00000001-6351-4CED-8488-408E3194092A}"/>
              </c:ext>
            </c:extLst>
          </c:dPt>
          <c:dPt>
            <c:idx val="1"/>
            <c:bubble3D val="0"/>
            <c:spPr>
              <a:solidFill>
                <a:srgbClr val="00B050"/>
              </a:solidFill>
              <a:ln w="25400">
                <a:solidFill>
                  <a:schemeClr val="lt1"/>
                </a:solidFill>
              </a:ln>
              <a:effectLst/>
            </c:spPr>
            <c:extLst>
              <c:ext xmlns:c16="http://schemas.microsoft.com/office/drawing/2014/chart" uri="{C3380CC4-5D6E-409C-BE32-E72D297353CC}">
                <c16:uniqueId val="{00000003-6351-4CED-8488-408E3194092A}"/>
              </c:ext>
            </c:extLst>
          </c:dPt>
          <c:dPt>
            <c:idx val="2"/>
            <c:bubble3D val="0"/>
            <c:spPr>
              <a:noFill/>
              <a:ln w="25400">
                <a:solidFill>
                  <a:schemeClr val="lt1"/>
                </a:solidFill>
              </a:ln>
              <a:effectLst/>
            </c:spPr>
            <c:extLst>
              <c:ext xmlns:c16="http://schemas.microsoft.com/office/drawing/2014/chart" uri="{C3380CC4-5D6E-409C-BE32-E72D297353CC}">
                <c16:uniqueId val="{00000005-6351-4CED-8488-408E3194092A}"/>
              </c:ext>
            </c:extLst>
          </c:dPt>
          <c:val>
            <c:numRef>
              <c:f>alliance!$AJ$2:$AJ$4</c:f>
              <c:numCache>
                <c:formatCode>General</c:formatCode>
                <c:ptCount val="3"/>
                <c:pt idx="0">
                  <c:v>25</c:v>
                </c:pt>
                <c:pt idx="1">
                  <c:v>75</c:v>
                </c:pt>
                <c:pt idx="2">
                  <c:v>50</c:v>
                </c:pt>
              </c:numCache>
            </c:numRef>
          </c:val>
          <c:extLst>
            <c:ext xmlns:c16="http://schemas.microsoft.com/office/drawing/2014/chart" uri="{C3380CC4-5D6E-409C-BE32-E72D297353CC}">
              <c16:uniqueId val="{00000008-6351-4CED-8488-408E3194092A}"/>
            </c:ext>
          </c:extLst>
        </c:ser>
        <c:dLbls>
          <c:showLegendKey val="0"/>
          <c:showVal val="0"/>
          <c:showCatName val="0"/>
          <c:showSerName val="0"/>
          <c:showPercent val="0"/>
          <c:showBubbleSize val="0"/>
          <c:showLeaderLines val="1"/>
        </c:dLbls>
        <c:firstSliceAng val="240"/>
        <c:holeSize val="75"/>
      </c:doughnutChart>
      <c:pieChart>
        <c:varyColors val="1"/>
        <c:ser>
          <c:idx val="1"/>
          <c:order val="1"/>
          <c:tx>
            <c:v>%</c:v>
          </c:tx>
          <c:dPt>
            <c:idx val="0"/>
            <c:bubble3D val="0"/>
            <c:spPr>
              <a:noFill/>
              <a:ln w="19050">
                <a:noFill/>
              </a:ln>
              <a:effectLst/>
            </c:spPr>
            <c:extLst>
              <c:ext xmlns:c16="http://schemas.microsoft.com/office/drawing/2014/chart" uri="{C3380CC4-5D6E-409C-BE32-E72D297353CC}">
                <c16:uniqueId val="{0000000A-6351-4CED-8488-408E3194092A}"/>
              </c:ext>
            </c:extLst>
          </c:dPt>
          <c:dPt>
            <c:idx val="1"/>
            <c:bubble3D val="0"/>
            <c:spPr>
              <a:solidFill>
                <a:schemeClr val="tx1"/>
              </a:solidFill>
              <a:ln w="19050">
                <a:noFill/>
              </a:ln>
              <a:effectLst/>
            </c:spPr>
            <c:extLst>
              <c:ext xmlns:c16="http://schemas.microsoft.com/office/drawing/2014/chart" uri="{C3380CC4-5D6E-409C-BE32-E72D297353CC}">
                <c16:uniqueId val="{0000000C-6351-4CED-8488-408E3194092A}"/>
              </c:ext>
            </c:extLst>
          </c:dPt>
          <c:dPt>
            <c:idx val="2"/>
            <c:bubble3D val="0"/>
            <c:spPr>
              <a:noFill/>
              <a:ln w="19050">
                <a:noFill/>
              </a:ln>
              <a:effectLst/>
            </c:spPr>
            <c:extLst>
              <c:ext xmlns:c16="http://schemas.microsoft.com/office/drawing/2014/chart" uri="{C3380CC4-5D6E-409C-BE32-E72D297353CC}">
                <c16:uniqueId val="{0000000E-6351-4CED-8488-408E3194092A}"/>
              </c:ext>
            </c:extLst>
          </c:dPt>
          <c:val>
            <c:numRef>
              <c:f>alliance!$AL$3:$AN$3</c:f>
              <c:numCache>
                <c:formatCode>0%</c:formatCode>
                <c:ptCount val="3"/>
                <c:pt idx="0">
                  <c:v>0.17647058823529413</c:v>
                </c:pt>
                <c:pt idx="1">
                  <c:v>0.01</c:v>
                </c:pt>
                <c:pt idx="2" formatCode="0.00%">
                  <c:v>1.3135294117647058</c:v>
                </c:pt>
              </c:numCache>
            </c:numRef>
          </c:val>
          <c:extLst>
            <c:ext xmlns:c16="http://schemas.microsoft.com/office/drawing/2014/chart" uri="{C3380CC4-5D6E-409C-BE32-E72D297353CC}">
              <c16:uniqueId val="{0000000F-6351-4CED-8488-408E3194092A}"/>
            </c:ext>
          </c:extLst>
        </c:ser>
        <c:dLbls>
          <c:showLegendKey val="0"/>
          <c:showVal val="0"/>
          <c:showCatName val="0"/>
          <c:showSerName val="0"/>
          <c:showPercent val="0"/>
          <c:showBubbleSize val="0"/>
          <c:showLeaderLines val="1"/>
        </c:dLbls>
        <c:firstSliceAng val="24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000000"/>
                </a:solidFill>
                <a:latin typeface="+mn-lt"/>
                <a:ea typeface="+mn-ea"/>
                <a:cs typeface="+mn-cs"/>
              </a:defRPr>
            </a:pPr>
            <a:r>
              <a:rPr lang="en-US" sz="1200">
                <a:solidFill>
                  <a:srgbClr val="000000"/>
                </a:solidFill>
              </a:rPr>
              <a:t>R</a:t>
            </a:r>
          </a:p>
        </c:rich>
      </c:tx>
      <c:layout>
        <c:manualLayout>
          <c:xMode val="edge"/>
          <c:yMode val="edge"/>
          <c:x val="0.28615877795639549"/>
          <c:y val="0.8926801823117931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000000"/>
              </a:solidFill>
              <a:latin typeface="+mn-lt"/>
              <a:ea typeface="+mn-ea"/>
              <a:cs typeface="+mn-cs"/>
            </a:defRPr>
          </a:pPr>
          <a:endParaRPr lang="en-US"/>
        </a:p>
      </c:txPr>
    </c:title>
    <c:autoTitleDeleted val="0"/>
    <c:plotArea>
      <c:layout/>
      <c:doughnutChart>
        <c:varyColors val="1"/>
        <c:ser>
          <c:idx val="0"/>
          <c:order val="0"/>
          <c:tx>
            <c:v>wheel size</c:v>
          </c:tx>
          <c:spPr>
            <a:solidFill>
              <a:srgbClr val="FF0000"/>
            </a:solidFill>
            <a:ln w="25400"/>
          </c:spPr>
          <c:dPt>
            <c:idx val="0"/>
            <c:bubble3D val="0"/>
            <c:spPr>
              <a:solidFill>
                <a:srgbClr val="FF0000"/>
              </a:solidFill>
              <a:ln w="25400">
                <a:solidFill>
                  <a:schemeClr val="lt1"/>
                </a:solidFill>
              </a:ln>
              <a:effectLst/>
            </c:spPr>
            <c:extLst>
              <c:ext xmlns:c16="http://schemas.microsoft.com/office/drawing/2014/chart" uri="{C3380CC4-5D6E-409C-BE32-E72D297353CC}">
                <c16:uniqueId val="{00000001-0B72-498A-93DA-A0DDEE2DF2D4}"/>
              </c:ext>
            </c:extLst>
          </c:dPt>
          <c:dPt>
            <c:idx val="1"/>
            <c:bubble3D val="0"/>
            <c:spPr>
              <a:solidFill>
                <a:srgbClr val="00B050"/>
              </a:solidFill>
              <a:ln w="25400">
                <a:solidFill>
                  <a:schemeClr val="lt1"/>
                </a:solidFill>
              </a:ln>
              <a:effectLst/>
            </c:spPr>
            <c:extLst>
              <c:ext xmlns:c16="http://schemas.microsoft.com/office/drawing/2014/chart" uri="{C3380CC4-5D6E-409C-BE32-E72D297353CC}">
                <c16:uniqueId val="{00000003-0B72-498A-93DA-A0DDEE2DF2D4}"/>
              </c:ext>
            </c:extLst>
          </c:dPt>
          <c:dPt>
            <c:idx val="2"/>
            <c:bubble3D val="0"/>
            <c:spPr>
              <a:noFill/>
              <a:ln w="25400">
                <a:solidFill>
                  <a:schemeClr val="lt1"/>
                </a:solidFill>
              </a:ln>
              <a:effectLst/>
            </c:spPr>
            <c:extLst>
              <c:ext xmlns:c16="http://schemas.microsoft.com/office/drawing/2014/chart" uri="{C3380CC4-5D6E-409C-BE32-E72D297353CC}">
                <c16:uniqueId val="{00000005-0B72-498A-93DA-A0DDEE2DF2D4}"/>
              </c:ext>
            </c:extLst>
          </c:dPt>
          <c:val>
            <c:numRef>
              <c:f>alliance!$AJ$2:$AJ$4</c:f>
              <c:numCache>
                <c:formatCode>General</c:formatCode>
                <c:ptCount val="3"/>
                <c:pt idx="0">
                  <c:v>25</c:v>
                </c:pt>
                <c:pt idx="1">
                  <c:v>75</c:v>
                </c:pt>
                <c:pt idx="2">
                  <c:v>50</c:v>
                </c:pt>
              </c:numCache>
            </c:numRef>
          </c:val>
          <c:extLst>
            <c:ext xmlns:c16="http://schemas.microsoft.com/office/drawing/2014/chart" uri="{C3380CC4-5D6E-409C-BE32-E72D297353CC}">
              <c16:uniqueId val="{00000008-0B72-498A-93DA-A0DDEE2DF2D4}"/>
            </c:ext>
          </c:extLst>
        </c:ser>
        <c:dLbls>
          <c:showLegendKey val="0"/>
          <c:showVal val="0"/>
          <c:showCatName val="0"/>
          <c:showSerName val="0"/>
          <c:showPercent val="0"/>
          <c:showBubbleSize val="0"/>
          <c:showLeaderLines val="1"/>
        </c:dLbls>
        <c:firstSliceAng val="240"/>
        <c:holeSize val="75"/>
      </c:doughnutChart>
      <c:pieChart>
        <c:varyColors val="1"/>
        <c:ser>
          <c:idx val="1"/>
          <c:order val="1"/>
          <c:tx>
            <c:v>%</c:v>
          </c:tx>
          <c:spPr>
            <a:noFill/>
            <a:ln>
              <a:noFill/>
            </a:ln>
          </c:spPr>
          <c:dPt>
            <c:idx val="0"/>
            <c:bubble3D val="0"/>
            <c:spPr>
              <a:noFill/>
              <a:ln w="19050">
                <a:noFill/>
              </a:ln>
              <a:effectLst/>
            </c:spPr>
            <c:extLst>
              <c:ext xmlns:c16="http://schemas.microsoft.com/office/drawing/2014/chart" uri="{C3380CC4-5D6E-409C-BE32-E72D297353CC}">
                <c16:uniqueId val="{0000000A-0B72-498A-93DA-A0DDEE2DF2D4}"/>
              </c:ext>
            </c:extLst>
          </c:dPt>
          <c:dPt>
            <c:idx val="1"/>
            <c:bubble3D val="0"/>
            <c:spPr>
              <a:solidFill>
                <a:schemeClr val="tx1"/>
              </a:solidFill>
              <a:ln w="19050">
                <a:noFill/>
              </a:ln>
              <a:effectLst/>
            </c:spPr>
            <c:extLst>
              <c:ext xmlns:c16="http://schemas.microsoft.com/office/drawing/2014/chart" uri="{C3380CC4-5D6E-409C-BE32-E72D297353CC}">
                <c16:uniqueId val="{0000000C-0B72-498A-93DA-A0DDEE2DF2D4}"/>
              </c:ext>
            </c:extLst>
          </c:dPt>
          <c:dPt>
            <c:idx val="2"/>
            <c:bubble3D val="0"/>
            <c:spPr>
              <a:noFill/>
              <a:ln w="19050">
                <a:noFill/>
              </a:ln>
              <a:effectLst/>
            </c:spPr>
            <c:extLst>
              <c:ext xmlns:c16="http://schemas.microsoft.com/office/drawing/2014/chart" uri="{C3380CC4-5D6E-409C-BE32-E72D297353CC}">
                <c16:uniqueId val="{0000000E-0B72-498A-93DA-A0DDEE2DF2D4}"/>
              </c:ext>
            </c:extLst>
          </c:dPt>
          <c:val>
            <c:numRef>
              <c:f>alliance!$AL$4:$AN$4</c:f>
              <c:numCache>
                <c:formatCode>0%</c:formatCode>
                <c:ptCount val="3"/>
                <c:pt idx="0">
                  <c:v>0.17647058823529413</c:v>
                </c:pt>
                <c:pt idx="1">
                  <c:v>0.01</c:v>
                </c:pt>
                <c:pt idx="2" formatCode="0.00%">
                  <c:v>1.3135294117647058</c:v>
                </c:pt>
              </c:numCache>
            </c:numRef>
          </c:val>
          <c:extLst>
            <c:ext xmlns:c16="http://schemas.microsoft.com/office/drawing/2014/chart" uri="{C3380CC4-5D6E-409C-BE32-E72D297353CC}">
              <c16:uniqueId val="{0000000F-0B72-498A-93DA-A0DDEE2DF2D4}"/>
            </c:ext>
          </c:extLst>
        </c:ser>
        <c:dLbls>
          <c:showLegendKey val="0"/>
          <c:showVal val="0"/>
          <c:showCatName val="0"/>
          <c:showSerName val="0"/>
          <c:showPercent val="0"/>
          <c:showBubbleSize val="0"/>
          <c:showLeaderLines val="1"/>
        </c:dLbls>
        <c:firstSliceAng val="24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sz="1200">
                <a:solidFill>
                  <a:schemeClr val="tx1"/>
                </a:solidFill>
              </a:rPr>
              <a:t>R</a:t>
            </a:r>
          </a:p>
        </c:rich>
      </c:tx>
      <c:layout>
        <c:manualLayout>
          <c:xMode val="edge"/>
          <c:yMode val="edge"/>
          <c:x val="0.68090677344342609"/>
          <c:y val="0.86731313121467757"/>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doughnutChart>
        <c:varyColors val="1"/>
        <c:ser>
          <c:idx val="0"/>
          <c:order val="0"/>
          <c:tx>
            <c:v>wheel size</c:v>
          </c:tx>
          <c:spPr>
            <a:solidFill>
              <a:srgbClr val="FF0000"/>
            </a:solidFill>
            <a:ln w="25400"/>
          </c:spPr>
          <c:dPt>
            <c:idx val="0"/>
            <c:bubble3D val="0"/>
            <c:spPr>
              <a:solidFill>
                <a:srgbClr val="FF0000"/>
              </a:solidFill>
              <a:ln w="25400">
                <a:solidFill>
                  <a:schemeClr val="lt1"/>
                </a:solidFill>
              </a:ln>
              <a:effectLst/>
            </c:spPr>
            <c:extLst>
              <c:ext xmlns:c16="http://schemas.microsoft.com/office/drawing/2014/chart" uri="{C3380CC4-5D6E-409C-BE32-E72D297353CC}">
                <c16:uniqueId val="{00000001-AA80-49CA-A04C-F23A01DAE4AC}"/>
              </c:ext>
            </c:extLst>
          </c:dPt>
          <c:dPt>
            <c:idx val="1"/>
            <c:bubble3D val="0"/>
            <c:spPr>
              <a:solidFill>
                <a:srgbClr val="00B050"/>
              </a:solidFill>
              <a:ln w="25400">
                <a:solidFill>
                  <a:schemeClr val="lt1"/>
                </a:solidFill>
              </a:ln>
              <a:effectLst/>
            </c:spPr>
            <c:extLst>
              <c:ext xmlns:c16="http://schemas.microsoft.com/office/drawing/2014/chart" uri="{C3380CC4-5D6E-409C-BE32-E72D297353CC}">
                <c16:uniqueId val="{00000003-AA80-49CA-A04C-F23A01DAE4AC}"/>
              </c:ext>
            </c:extLst>
          </c:dPt>
          <c:dPt>
            <c:idx val="2"/>
            <c:bubble3D val="0"/>
            <c:spPr>
              <a:noFill/>
              <a:ln w="25400">
                <a:solidFill>
                  <a:schemeClr val="lt1"/>
                </a:solidFill>
              </a:ln>
              <a:effectLst/>
            </c:spPr>
            <c:extLst>
              <c:ext xmlns:c16="http://schemas.microsoft.com/office/drawing/2014/chart" uri="{C3380CC4-5D6E-409C-BE32-E72D297353CC}">
                <c16:uniqueId val="{00000005-AA80-49CA-A04C-F23A01DAE4AC}"/>
              </c:ext>
            </c:extLst>
          </c:dPt>
          <c:val>
            <c:numRef>
              <c:f>alliance!$AJ$2:$AJ$4</c:f>
              <c:numCache>
                <c:formatCode>General</c:formatCode>
                <c:ptCount val="3"/>
                <c:pt idx="0">
                  <c:v>25</c:v>
                </c:pt>
                <c:pt idx="1">
                  <c:v>75</c:v>
                </c:pt>
                <c:pt idx="2">
                  <c:v>50</c:v>
                </c:pt>
              </c:numCache>
            </c:numRef>
          </c:val>
          <c:extLst>
            <c:ext xmlns:c16="http://schemas.microsoft.com/office/drawing/2014/chart" uri="{C3380CC4-5D6E-409C-BE32-E72D297353CC}">
              <c16:uniqueId val="{00000008-AA80-49CA-A04C-F23A01DAE4AC}"/>
            </c:ext>
          </c:extLst>
        </c:ser>
        <c:dLbls>
          <c:showLegendKey val="0"/>
          <c:showVal val="0"/>
          <c:showCatName val="0"/>
          <c:showSerName val="0"/>
          <c:showPercent val="0"/>
          <c:showBubbleSize val="0"/>
          <c:showLeaderLines val="1"/>
        </c:dLbls>
        <c:firstSliceAng val="240"/>
        <c:holeSize val="75"/>
      </c:doughnutChart>
      <c:pieChart>
        <c:varyColors val="1"/>
        <c:ser>
          <c:idx val="1"/>
          <c:order val="1"/>
          <c:tx>
            <c:v>%</c:v>
          </c:tx>
          <c:spPr>
            <a:noFill/>
            <a:ln>
              <a:noFill/>
            </a:ln>
          </c:spPr>
          <c:dPt>
            <c:idx val="0"/>
            <c:bubble3D val="0"/>
            <c:spPr>
              <a:noFill/>
              <a:ln w="19050">
                <a:noFill/>
              </a:ln>
              <a:effectLst/>
            </c:spPr>
            <c:extLst>
              <c:ext xmlns:c16="http://schemas.microsoft.com/office/drawing/2014/chart" uri="{C3380CC4-5D6E-409C-BE32-E72D297353CC}">
                <c16:uniqueId val="{0000000A-AA80-49CA-A04C-F23A01DAE4AC}"/>
              </c:ext>
            </c:extLst>
          </c:dPt>
          <c:dPt>
            <c:idx val="1"/>
            <c:bubble3D val="0"/>
            <c:spPr>
              <a:solidFill>
                <a:schemeClr val="tx1"/>
              </a:solidFill>
              <a:ln w="19050">
                <a:noFill/>
              </a:ln>
              <a:effectLst/>
            </c:spPr>
            <c:extLst>
              <c:ext xmlns:c16="http://schemas.microsoft.com/office/drawing/2014/chart" uri="{C3380CC4-5D6E-409C-BE32-E72D297353CC}">
                <c16:uniqueId val="{0000000C-AA80-49CA-A04C-F23A01DAE4AC}"/>
              </c:ext>
            </c:extLst>
          </c:dPt>
          <c:dPt>
            <c:idx val="2"/>
            <c:bubble3D val="0"/>
            <c:spPr>
              <a:noFill/>
              <a:ln w="19050">
                <a:noFill/>
              </a:ln>
              <a:effectLst/>
            </c:spPr>
            <c:extLst>
              <c:ext xmlns:c16="http://schemas.microsoft.com/office/drawing/2014/chart" uri="{C3380CC4-5D6E-409C-BE32-E72D297353CC}">
                <c16:uniqueId val="{0000000E-AA80-49CA-A04C-F23A01DAE4AC}"/>
              </c:ext>
            </c:extLst>
          </c:dPt>
          <c:val>
            <c:numRef>
              <c:f>alliance!$AL$8:$AN$8</c:f>
              <c:numCache>
                <c:formatCode>0%</c:formatCode>
                <c:ptCount val="3"/>
                <c:pt idx="0">
                  <c:v>2.8571428571428567E-2</c:v>
                </c:pt>
                <c:pt idx="1">
                  <c:v>0.01</c:v>
                </c:pt>
                <c:pt idx="2" formatCode="0.00%">
                  <c:v>1.4614285714285715</c:v>
                </c:pt>
              </c:numCache>
            </c:numRef>
          </c:val>
          <c:extLst>
            <c:ext xmlns:c16="http://schemas.microsoft.com/office/drawing/2014/chart" uri="{C3380CC4-5D6E-409C-BE32-E72D297353CC}">
              <c16:uniqueId val="{0000000F-AA80-49CA-A04C-F23A01DAE4AC}"/>
            </c:ext>
          </c:extLst>
        </c:ser>
        <c:dLbls>
          <c:showLegendKey val="0"/>
          <c:showVal val="0"/>
          <c:showCatName val="0"/>
          <c:showSerName val="0"/>
          <c:showPercent val="0"/>
          <c:showBubbleSize val="0"/>
          <c:showLeaderLines val="1"/>
        </c:dLbls>
        <c:firstSliceAng val="24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sz="1200">
                <a:solidFill>
                  <a:schemeClr val="tx1"/>
                </a:solidFill>
              </a:rPr>
              <a:t>R</a:t>
            </a:r>
          </a:p>
        </c:rich>
      </c:tx>
      <c:layout>
        <c:manualLayout>
          <c:xMode val="edge"/>
          <c:yMode val="edge"/>
          <c:x val="0.69669949233428485"/>
          <c:y val="0.2329105451409392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doughnutChart>
        <c:varyColors val="1"/>
        <c:ser>
          <c:idx val="0"/>
          <c:order val="0"/>
          <c:tx>
            <c:v>wheel size</c:v>
          </c:tx>
          <c:spPr>
            <a:solidFill>
              <a:srgbClr val="FF0000"/>
            </a:solidFill>
            <a:ln w="25400"/>
          </c:spPr>
          <c:dPt>
            <c:idx val="0"/>
            <c:bubble3D val="0"/>
            <c:spPr>
              <a:solidFill>
                <a:srgbClr val="FF0000"/>
              </a:solidFill>
              <a:ln w="25400">
                <a:solidFill>
                  <a:schemeClr val="lt1"/>
                </a:solidFill>
              </a:ln>
              <a:effectLst/>
            </c:spPr>
            <c:extLst>
              <c:ext xmlns:c16="http://schemas.microsoft.com/office/drawing/2014/chart" uri="{C3380CC4-5D6E-409C-BE32-E72D297353CC}">
                <c16:uniqueId val="{00000001-74A0-47E3-8C71-86B594DE90F3}"/>
              </c:ext>
            </c:extLst>
          </c:dPt>
          <c:dPt>
            <c:idx val="1"/>
            <c:bubble3D val="0"/>
            <c:spPr>
              <a:solidFill>
                <a:srgbClr val="00B050"/>
              </a:solidFill>
              <a:ln w="25400">
                <a:solidFill>
                  <a:schemeClr val="lt1"/>
                </a:solidFill>
              </a:ln>
              <a:effectLst/>
            </c:spPr>
            <c:extLst>
              <c:ext xmlns:c16="http://schemas.microsoft.com/office/drawing/2014/chart" uri="{C3380CC4-5D6E-409C-BE32-E72D297353CC}">
                <c16:uniqueId val="{00000003-74A0-47E3-8C71-86B594DE90F3}"/>
              </c:ext>
            </c:extLst>
          </c:dPt>
          <c:dPt>
            <c:idx val="2"/>
            <c:bubble3D val="0"/>
            <c:spPr>
              <a:noFill/>
              <a:ln w="25400">
                <a:solidFill>
                  <a:schemeClr val="lt1"/>
                </a:solidFill>
              </a:ln>
              <a:effectLst/>
            </c:spPr>
            <c:extLst>
              <c:ext xmlns:c16="http://schemas.microsoft.com/office/drawing/2014/chart" uri="{C3380CC4-5D6E-409C-BE32-E72D297353CC}">
                <c16:uniqueId val="{00000005-74A0-47E3-8C71-86B594DE90F3}"/>
              </c:ext>
            </c:extLst>
          </c:dPt>
          <c:val>
            <c:numRef>
              <c:f>alliance!$AJ$2:$AJ$4</c:f>
              <c:numCache>
                <c:formatCode>General</c:formatCode>
                <c:ptCount val="3"/>
                <c:pt idx="0">
                  <c:v>25</c:v>
                </c:pt>
                <c:pt idx="1">
                  <c:v>75</c:v>
                </c:pt>
                <c:pt idx="2">
                  <c:v>50</c:v>
                </c:pt>
              </c:numCache>
            </c:numRef>
          </c:val>
          <c:extLst>
            <c:ext xmlns:c16="http://schemas.microsoft.com/office/drawing/2014/chart" uri="{C3380CC4-5D6E-409C-BE32-E72D297353CC}">
              <c16:uniqueId val="{00000008-74A0-47E3-8C71-86B594DE90F3}"/>
            </c:ext>
          </c:extLst>
        </c:ser>
        <c:dLbls>
          <c:showLegendKey val="0"/>
          <c:showVal val="0"/>
          <c:showCatName val="0"/>
          <c:showSerName val="0"/>
          <c:showPercent val="0"/>
          <c:showBubbleSize val="0"/>
          <c:showLeaderLines val="1"/>
        </c:dLbls>
        <c:firstSliceAng val="240"/>
        <c:holeSize val="75"/>
      </c:doughnutChart>
      <c:pieChart>
        <c:varyColors val="1"/>
        <c:ser>
          <c:idx val="1"/>
          <c:order val="1"/>
          <c:tx>
            <c:v>%</c:v>
          </c:tx>
          <c:dPt>
            <c:idx val="0"/>
            <c:bubble3D val="0"/>
            <c:spPr>
              <a:noFill/>
              <a:ln w="19050">
                <a:noFill/>
              </a:ln>
              <a:effectLst/>
            </c:spPr>
            <c:extLst>
              <c:ext xmlns:c16="http://schemas.microsoft.com/office/drawing/2014/chart" uri="{C3380CC4-5D6E-409C-BE32-E72D297353CC}">
                <c16:uniqueId val="{0000000A-74A0-47E3-8C71-86B594DE90F3}"/>
              </c:ext>
            </c:extLst>
          </c:dPt>
          <c:dPt>
            <c:idx val="1"/>
            <c:bubble3D val="0"/>
            <c:spPr>
              <a:solidFill>
                <a:schemeClr val="tx1"/>
              </a:solidFill>
              <a:ln w="19050">
                <a:noFill/>
              </a:ln>
              <a:effectLst/>
            </c:spPr>
            <c:extLst>
              <c:ext xmlns:c16="http://schemas.microsoft.com/office/drawing/2014/chart" uri="{C3380CC4-5D6E-409C-BE32-E72D297353CC}">
                <c16:uniqueId val="{0000000C-74A0-47E3-8C71-86B594DE90F3}"/>
              </c:ext>
            </c:extLst>
          </c:dPt>
          <c:dPt>
            <c:idx val="2"/>
            <c:bubble3D val="0"/>
            <c:spPr>
              <a:noFill/>
              <a:ln w="19050">
                <a:noFill/>
              </a:ln>
              <a:effectLst/>
            </c:spPr>
            <c:extLst>
              <c:ext xmlns:c16="http://schemas.microsoft.com/office/drawing/2014/chart" uri="{C3380CC4-5D6E-409C-BE32-E72D297353CC}">
                <c16:uniqueId val="{0000000E-74A0-47E3-8C71-86B594DE90F3}"/>
              </c:ext>
            </c:extLst>
          </c:dPt>
          <c:val>
            <c:numRef>
              <c:f>alliance!$AL$7:$AN$7</c:f>
              <c:numCache>
                <c:formatCode>0%</c:formatCode>
                <c:ptCount val="3"/>
                <c:pt idx="0">
                  <c:v>0.1</c:v>
                </c:pt>
                <c:pt idx="1">
                  <c:v>0.01</c:v>
                </c:pt>
                <c:pt idx="2" formatCode="0.00%">
                  <c:v>1.39</c:v>
                </c:pt>
              </c:numCache>
            </c:numRef>
          </c:val>
          <c:extLst>
            <c:ext xmlns:c16="http://schemas.microsoft.com/office/drawing/2014/chart" uri="{C3380CC4-5D6E-409C-BE32-E72D297353CC}">
              <c16:uniqueId val="{0000000F-74A0-47E3-8C71-86B594DE90F3}"/>
            </c:ext>
          </c:extLst>
        </c:ser>
        <c:dLbls>
          <c:showLegendKey val="0"/>
          <c:showVal val="0"/>
          <c:showCatName val="0"/>
          <c:showSerName val="0"/>
          <c:showPercent val="0"/>
          <c:showBubbleSize val="0"/>
          <c:showLeaderLines val="1"/>
        </c:dLbls>
        <c:firstSliceAng val="24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sz="1200">
                <a:solidFill>
                  <a:schemeClr val="tx1"/>
                </a:solidFill>
              </a:rPr>
              <a:t>R</a:t>
            </a:r>
          </a:p>
        </c:rich>
      </c:tx>
      <c:layout>
        <c:manualLayout>
          <c:xMode val="edge"/>
          <c:yMode val="edge"/>
          <c:x val="0.29878853754842438"/>
          <c:y val="0.8670178807269255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doughnutChart>
        <c:varyColors val="1"/>
        <c:ser>
          <c:idx val="0"/>
          <c:order val="0"/>
          <c:tx>
            <c:v>wheel size</c:v>
          </c:tx>
          <c:spPr>
            <a:solidFill>
              <a:srgbClr val="FF0000"/>
            </a:solidFill>
            <a:ln w="25400"/>
          </c:spPr>
          <c:dPt>
            <c:idx val="0"/>
            <c:bubble3D val="0"/>
            <c:spPr>
              <a:solidFill>
                <a:srgbClr val="FF0000"/>
              </a:solidFill>
              <a:ln w="25400">
                <a:solidFill>
                  <a:schemeClr val="lt1"/>
                </a:solidFill>
              </a:ln>
              <a:effectLst/>
            </c:spPr>
            <c:extLst>
              <c:ext xmlns:c16="http://schemas.microsoft.com/office/drawing/2014/chart" uri="{C3380CC4-5D6E-409C-BE32-E72D297353CC}">
                <c16:uniqueId val="{00000001-EB16-417F-B7E1-65C7B1B34A13}"/>
              </c:ext>
            </c:extLst>
          </c:dPt>
          <c:dPt>
            <c:idx val="1"/>
            <c:bubble3D val="0"/>
            <c:spPr>
              <a:solidFill>
                <a:srgbClr val="00B050"/>
              </a:solidFill>
              <a:ln w="25400">
                <a:solidFill>
                  <a:schemeClr val="lt1"/>
                </a:solidFill>
              </a:ln>
              <a:effectLst/>
            </c:spPr>
            <c:extLst>
              <c:ext xmlns:c16="http://schemas.microsoft.com/office/drawing/2014/chart" uri="{C3380CC4-5D6E-409C-BE32-E72D297353CC}">
                <c16:uniqueId val="{00000003-EB16-417F-B7E1-65C7B1B34A13}"/>
              </c:ext>
            </c:extLst>
          </c:dPt>
          <c:dPt>
            <c:idx val="2"/>
            <c:bubble3D val="0"/>
            <c:spPr>
              <a:noFill/>
              <a:ln w="25400">
                <a:solidFill>
                  <a:schemeClr val="lt1"/>
                </a:solidFill>
              </a:ln>
              <a:effectLst/>
            </c:spPr>
            <c:extLst>
              <c:ext xmlns:c16="http://schemas.microsoft.com/office/drawing/2014/chart" uri="{C3380CC4-5D6E-409C-BE32-E72D297353CC}">
                <c16:uniqueId val="{00000005-EB16-417F-B7E1-65C7B1B34A13}"/>
              </c:ext>
            </c:extLst>
          </c:dPt>
          <c:val>
            <c:numRef>
              <c:f>alliance!$AJ$2:$AJ$4</c:f>
              <c:numCache>
                <c:formatCode>General</c:formatCode>
                <c:ptCount val="3"/>
                <c:pt idx="0">
                  <c:v>25</c:v>
                </c:pt>
                <c:pt idx="1">
                  <c:v>75</c:v>
                </c:pt>
                <c:pt idx="2">
                  <c:v>50</c:v>
                </c:pt>
              </c:numCache>
            </c:numRef>
          </c:val>
          <c:extLst>
            <c:ext xmlns:c16="http://schemas.microsoft.com/office/drawing/2014/chart" uri="{C3380CC4-5D6E-409C-BE32-E72D297353CC}">
              <c16:uniqueId val="{00000008-EB16-417F-B7E1-65C7B1B34A13}"/>
            </c:ext>
          </c:extLst>
        </c:ser>
        <c:dLbls>
          <c:showLegendKey val="0"/>
          <c:showVal val="0"/>
          <c:showCatName val="0"/>
          <c:showSerName val="0"/>
          <c:showPercent val="0"/>
          <c:showBubbleSize val="0"/>
          <c:showLeaderLines val="1"/>
        </c:dLbls>
        <c:firstSliceAng val="240"/>
        <c:holeSize val="75"/>
      </c:doughnutChart>
      <c:pieChart>
        <c:varyColors val="1"/>
        <c:ser>
          <c:idx val="1"/>
          <c:order val="1"/>
          <c:tx>
            <c:v>%</c:v>
          </c:tx>
          <c:spPr>
            <a:noFill/>
            <a:ln>
              <a:noFill/>
            </a:ln>
          </c:spPr>
          <c:dPt>
            <c:idx val="0"/>
            <c:bubble3D val="0"/>
            <c:spPr>
              <a:noFill/>
              <a:ln w="19050">
                <a:noFill/>
              </a:ln>
              <a:effectLst/>
            </c:spPr>
            <c:extLst>
              <c:ext xmlns:c16="http://schemas.microsoft.com/office/drawing/2014/chart" uri="{C3380CC4-5D6E-409C-BE32-E72D297353CC}">
                <c16:uniqueId val="{0000000A-EB16-417F-B7E1-65C7B1B34A13}"/>
              </c:ext>
            </c:extLst>
          </c:dPt>
          <c:dPt>
            <c:idx val="1"/>
            <c:bubble3D val="0"/>
            <c:spPr>
              <a:solidFill>
                <a:schemeClr val="tx1"/>
              </a:solidFill>
              <a:ln w="19050">
                <a:noFill/>
              </a:ln>
              <a:effectLst/>
            </c:spPr>
            <c:extLst>
              <c:ext xmlns:c16="http://schemas.microsoft.com/office/drawing/2014/chart" uri="{C3380CC4-5D6E-409C-BE32-E72D297353CC}">
                <c16:uniqueId val="{0000000C-EB16-417F-B7E1-65C7B1B34A13}"/>
              </c:ext>
            </c:extLst>
          </c:dPt>
          <c:dPt>
            <c:idx val="2"/>
            <c:bubble3D val="0"/>
            <c:spPr>
              <a:noFill/>
              <a:ln w="19050">
                <a:noFill/>
              </a:ln>
              <a:effectLst/>
            </c:spPr>
            <c:extLst>
              <c:ext xmlns:c16="http://schemas.microsoft.com/office/drawing/2014/chart" uri="{C3380CC4-5D6E-409C-BE32-E72D297353CC}">
                <c16:uniqueId val="{0000000E-EB16-417F-B7E1-65C7B1B34A13}"/>
              </c:ext>
            </c:extLst>
          </c:dPt>
          <c:val>
            <c:numRef>
              <c:f>alliance!$AL$9:$AN$9</c:f>
              <c:numCache>
                <c:formatCode>0%</c:formatCode>
                <c:ptCount val="3"/>
                <c:pt idx="0">
                  <c:v>0.125</c:v>
                </c:pt>
                <c:pt idx="1">
                  <c:v>0.01</c:v>
                </c:pt>
                <c:pt idx="2" formatCode="0.00%">
                  <c:v>1.365</c:v>
                </c:pt>
              </c:numCache>
            </c:numRef>
          </c:val>
          <c:extLst>
            <c:ext xmlns:c16="http://schemas.microsoft.com/office/drawing/2014/chart" uri="{C3380CC4-5D6E-409C-BE32-E72D297353CC}">
              <c16:uniqueId val="{0000000F-EB16-417F-B7E1-65C7B1B34A13}"/>
            </c:ext>
          </c:extLst>
        </c:ser>
        <c:dLbls>
          <c:showLegendKey val="0"/>
          <c:showVal val="0"/>
          <c:showCatName val="0"/>
          <c:showSerName val="0"/>
          <c:showPercent val="0"/>
          <c:showBubbleSize val="0"/>
          <c:showLeaderLines val="1"/>
        </c:dLbls>
        <c:firstSliceAng val="24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sz="1200">
                <a:solidFill>
                  <a:schemeClr val="tx1"/>
                </a:solidFill>
              </a:rPr>
              <a:t>R</a:t>
            </a:r>
          </a:p>
        </c:rich>
      </c:tx>
      <c:layout>
        <c:manualLayout>
          <c:xMode val="edge"/>
          <c:yMode val="edge"/>
          <c:x val="0.69669949233428485"/>
          <c:y val="0.2329105451409392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doughnutChart>
        <c:varyColors val="1"/>
        <c:ser>
          <c:idx val="0"/>
          <c:order val="0"/>
          <c:tx>
            <c:v>wheel size</c:v>
          </c:tx>
          <c:spPr>
            <a:solidFill>
              <a:srgbClr val="FF0000"/>
            </a:solidFill>
            <a:ln w="25400"/>
          </c:spPr>
          <c:dPt>
            <c:idx val="0"/>
            <c:bubble3D val="0"/>
            <c:spPr>
              <a:solidFill>
                <a:srgbClr val="FF0000"/>
              </a:solidFill>
              <a:ln w="25400">
                <a:solidFill>
                  <a:schemeClr val="lt1"/>
                </a:solidFill>
              </a:ln>
              <a:effectLst/>
            </c:spPr>
            <c:extLst>
              <c:ext xmlns:c16="http://schemas.microsoft.com/office/drawing/2014/chart" uri="{C3380CC4-5D6E-409C-BE32-E72D297353CC}">
                <c16:uniqueId val="{00000001-94FD-4604-88C1-8687EDE79A97}"/>
              </c:ext>
            </c:extLst>
          </c:dPt>
          <c:dPt>
            <c:idx val="1"/>
            <c:bubble3D val="0"/>
            <c:spPr>
              <a:solidFill>
                <a:srgbClr val="00B050"/>
              </a:solidFill>
              <a:ln w="25400">
                <a:solidFill>
                  <a:schemeClr val="lt1"/>
                </a:solidFill>
              </a:ln>
              <a:effectLst/>
            </c:spPr>
            <c:extLst>
              <c:ext xmlns:c16="http://schemas.microsoft.com/office/drawing/2014/chart" uri="{C3380CC4-5D6E-409C-BE32-E72D297353CC}">
                <c16:uniqueId val="{00000003-94FD-4604-88C1-8687EDE79A97}"/>
              </c:ext>
            </c:extLst>
          </c:dPt>
          <c:dPt>
            <c:idx val="2"/>
            <c:bubble3D val="0"/>
            <c:spPr>
              <a:noFill/>
              <a:ln w="25400">
                <a:solidFill>
                  <a:schemeClr val="lt1"/>
                </a:solidFill>
              </a:ln>
              <a:effectLst/>
            </c:spPr>
            <c:extLst>
              <c:ext xmlns:c16="http://schemas.microsoft.com/office/drawing/2014/chart" uri="{C3380CC4-5D6E-409C-BE32-E72D297353CC}">
                <c16:uniqueId val="{00000005-94FD-4604-88C1-8687EDE79A97}"/>
              </c:ext>
            </c:extLst>
          </c:dPt>
          <c:val>
            <c:numRef>
              <c:f>alliance!$AJ$2:$AJ$4</c:f>
              <c:numCache>
                <c:formatCode>General</c:formatCode>
                <c:ptCount val="3"/>
                <c:pt idx="0">
                  <c:v>25</c:v>
                </c:pt>
                <c:pt idx="1">
                  <c:v>75</c:v>
                </c:pt>
                <c:pt idx="2">
                  <c:v>50</c:v>
                </c:pt>
              </c:numCache>
            </c:numRef>
          </c:val>
          <c:extLst>
            <c:ext xmlns:c16="http://schemas.microsoft.com/office/drawing/2014/chart" uri="{C3380CC4-5D6E-409C-BE32-E72D297353CC}">
              <c16:uniqueId val="{00000008-94FD-4604-88C1-8687EDE79A97}"/>
            </c:ext>
          </c:extLst>
        </c:ser>
        <c:dLbls>
          <c:showLegendKey val="0"/>
          <c:showVal val="0"/>
          <c:showCatName val="0"/>
          <c:showSerName val="0"/>
          <c:showPercent val="0"/>
          <c:showBubbleSize val="0"/>
          <c:showLeaderLines val="1"/>
        </c:dLbls>
        <c:firstSliceAng val="240"/>
        <c:holeSize val="75"/>
      </c:doughnutChart>
      <c:pieChart>
        <c:varyColors val="1"/>
        <c:ser>
          <c:idx val="1"/>
          <c:order val="1"/>
          <c:tx>
            <c:v>%</c:v>
          </c:tx>
          <c:spPr>
            <a:noFill/>
            <a:ln>
              <a:noFill/>
            </a:ln>
          </c:spPr>
          <c:explosion val="4"/>
          <c:dPt>
            <c:idx val="0"/>
            <c:bubble3D val="0"/>
            <c:spPr>
              <a:noFill/>
              <a:ln w="19050">
                <a:noFill/>
              </a:ln>
              <a:effectLst/>
            </c:spPr>
            <c:extLst>
              <c:ext xmlns:c16="http://schemas.microsoft.com/office/drawing/2014/chart" uri="{C3380CC4-5D6E-409C-BE32-E72D297353CC}">
                <c16:uniqueId val="{0000000A-94FD-4604-88C1-8687EDE79A97}"/>
              </c:ext>
            </c:extLst>
          </c:dPt>
          <c:dPt>
            <c:idx val="1"/>
            <c:bubble3D val="0"/>
            <c:spPr>
              <a:solidFill>
                <a:schemeClr val="tx1"/>
              </a:solidFill>
              <a:ln w="19050">
                <a:noFill/>
              </a:ln>
              <a:effectLst/>
            </c:spPr>
            <c:extLst>
              <c:ext xmlns:c16="http://schemas.microsoft.com/office/drawing/2014/chart" uri="{C3380CC4-5D6E-409C-BE32-E72D297353CC}">
                <c16:uniqueId val="{0000000C-94FD-4604-88C1-8687EDE79A97}"/>
              </c:ext>
            </c:extLst>
          </c:dPt>
          <c:dPt>
            <c:idx val="2"/>
            <c:bubble3D val="0"/>
            <c:spPr>
              <a:noFill/>
              <a:ln w="19050">
                <a:noFill/>
              </a:ln>
              <a:effectLst/>
            </c:spPr>
            <c:extLst>
              <c:ext xmlns:c16="http://schemas.microsoft.com/office/drawing/2014/chart" uri="{C3380CC4-5D6E-409C-BE32-E72D297353CC}">
                <c16:uniqueId val="{0000000E-94FD-4604-88C1-8687EDE79A97}"/>
              </c:ext>
            </c:extLst>
          </c:dPt>
          <c:val>
            <c:numRef>
              <c:f>alliance!$AL$11:$AN$11</c:f>
              <c:numCache>
                <c:formatCode>0%</c:formatCode>
                <c:ptCount val="3"/>
                <c:pt idx="0">
                  <c:v>0.4285714285714286</c:v>
                </c:pt>
                <c:pt idx="1">
                  <c:v>0.01</c:v>
                </c:pt>
                <c:pt idx="2" formatCode="0.00%">
                  <c:v>1.0614285714285714</c:v>
                </c:pt>
              </c:numCache>
            </c:numRef>
          </c:val>
          <c:extLst>
            <c:ext xmlns:c16="http://schemas.microsoft.com/office/drawing/2014/chart" uri="{C3380CC4-5D6E-409C-BE32-E72D297353CC}">
              <c16:uniqueId val="{0000000F-94FD-4604-88C1-8687EDE79A97}"/>
            </c:ext>
          </c:extLst>
        </c:ser>
        <c:dLbls>
          <c:showLegendKey val="0"/>
          <c:showVal val="0"/>
          <c:showCatName val="0"/>
          <c:showSerName val="0"/>
          <c:showPercent val="0"/>
          <c:showBubbleSize val="0"/>
          <c:showLeaderLines val="1"/>
        </c:dLbls>
        <c:firstSliceAng val="24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sz="1200">
                <a:solidFill>
                  <a:schemeClr val="tx1"/>
                </a:solidFill>
              </a:rPr>
              <a:t>R</a:t>
            </a:r>
          </a:p>
        </c:rich>
      </c:tx>
      <c:layout>
        <c:manualLayout>
          <c:xMode val="edge"/>
          <c:yMode val="edge"/>
          <c:x val="0.69669949233428485"/>
          <c:y val="0.2329105451409392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doughnutChart>
        <c:varyColors val="1"/>
        <c:ser>
          <c:idx val="0"/>
          <c:order val="0"/>
          <c:tx>
            <c:v>wheel size</c:v>
          </c:tx>
          <c:spPr>
            <a:solidFill>
              <a:srgbClr val="FF0000"/>
            </a:solidFill>
            <a:ln w="25400"/>
          </c:spPr>
          <c:dPt>
            <c:idx val="0"/>
            <c:bubble3D val="0"/>
            <c:spPr>
              <a:solidFill>
                <a:srgbClr val="FF0000"/>
              </a:solidFill>
              <a:ln w="25400">
                <a:solidFill>
                  <a:schemeClr val="lt1"/>
                </a:solidFill>
              </a:ln>
              <a:effectLst/>
            </c:spPr>
            <c:extLst>
              <c:ext xmlns:c16="http://schemas.microsoft.com/office/drawing/2014/chart" uri="{C3380CC4-5D6E-409C-BE32-E72D297353CC}">
                <c16:uniqueId val="{00000001-1E67-4662-BF4F-DB088A3AA3A1}"/>
              </c:ext>
            </c:extLst>
          </c:dPt>
          <c:dPt>
            <c:idx val="1"/>
            <c:bubble3D val="0"/>
            <c:spPr>
              <a:solidFill>
                <a:srgbClr val="00B050"/>
              </a:solidFill>
              <a:ln w="25400">
                <a:solidFill>
                  <a:schemeClr val="lt1"/>
                </a:solidFill>
              </a:ln>
              <a:effectLst/>
            </c:spPr>
            <c:extLst>
              <c:ext xmlns:c16="http://schemas.microsoft.com/office/drawing/2014/chart" uri="{C3380CC4-5D6E-409C-BE32-E72D297353CC}">
                <c16:uniqueId val="{00000003-1E67-4662-BF4F-DB088A3AA3A1}"/>
              </c:ext>
            </c:extLst>
          </c:dPt>
          <c:dPt>
            <c:idx val="2"/>
            <c:bubble3D val="0"/>
            <c:spPr>
              <a:noFill/>
              <a:ln w="25400">
                <a:solidFill>
                  <a:schemeClr val="lt1"/>
                </a:solidFill>
              </a:ln>
              <a:effectLst/>
            </c:spPr>
            <c:extLst>
              <c:ext xmlns:c16="http://schemas.microsoft.com/office/drawing/2014/chart" uri="{C3380CC4-5D6E-409C-BE32-E72D297353CC}">
                <c16:uniqueId val="{00000005-1E67-4662-BF4F-DB088A3AA3A1}"/>
              </c:ext>
            </c:extLst>
          </c:dPt>
          <c:val>
            <c:numRef>
              <c:f>alliance!$AJ$2:$AJ$4</c:f>
              <c:numCache>
                <c:formatCode>General</c:formatCode>
                <c:ptCount val="3"/>
                <c:pt idx="0">
                  <c:v>25</c:v>
                </c:pt>
                <c:pt idx="1">
                  <c:v>75</c:v>
                </c:pt>
                <c:pt idx="2">
                  <c:v>50</c:v>
                </c:pt>
              </c:numCache>
            </c:numRef>
          </c:val>
          <c:extLst>
            <c:ext xmlns:c16="http://schemas.microsoft.com/office/drawing/2014/chart" uri="{C3380CC4-5D6E-409C-BE32-E72D297353CC}">
              <c16:uniqueId val="{00000008-1E67-4662-BF4F-DB088A3AA3A1}"/>
            </c:ext>
          </c:extLst>
        </c:ser>
        <c:dLbls>
          <c:showLegendKey val="0"/>
          <c:showVal val="0"/>
          <c:showCatName val="0"/>
          <c:showSerName val="0"/>
          <c:showPercent val="0"/>
          <c:showBubbleSize val="0"/>
          <c:showLeaderLines val="1"/>
        </c:dLbls>
        <c:firstSliceAng val="240"/>
        <c:holeSize val="75"/>
      </c:doughnutChart>
      <c:pieChart>
        <c:varyColors val="1"/>
        <c:ser>
          <c:idx val="1"/>
          <c:order val="1"/>
          <c:tx>
            <c:v>%</c:v>
          </c:tx>
          <c:spPr>
            <a:noFill/>
            <a:ln>
              <a:noFill/>
            </a:ln>
          </c:spPr>
          <c:dPt>
            <c:idx val="0"/>
            <c:bubble3D val="0"/>
            <c:spPr>
              <a:noFill/>
              <a:ln w="19050">
                <a:noFill/>
              </a:ln>
              <a:effectLst/>
            </c:spPr>
            <c:extLst>
              <c:ext xmlns:c16="http://schemas.microsoft.com/office/drawing/2014/chart" uri="{C3380CC4-5D6E-409C-BE32-E72D297353CC}">
                <c16:uniqueId val="{0000000A-1E67-4662-BF4F-DB088A3AA3A1}"/>
              </c:ext>
            </c:extLst>
          </c:dPt>
          <c:dPt>
            <c:idx val="1"/>
            <c:bubble3D val="0"/>
            <c:spPr>
              <a:solidFill>
                <a:schemeClr val="tx1"/>
              </a:solidFill>
              <a:ln w="19050">
                <a:noFill/>
              </a:ln>
              <a:effectLst/>
            </c:spPr>
            <c:extLst>
              <c:ext xmlns:c16="http://schemas.microsoft.com/office/drawing/2014/chart" uri="{C3380CC4-5D6E-409C-BE32-E72D297353CC}">
                <c16:uniqueId val="{0000000C-1E67-4662-BF4F-DB088A3AA3A1}"/>
              </c:ext>
            </c:extLst>
          </c:dPt>
          <c:dPt>
            <c:idx val="2"/>
            <c:bubble3D val="0"/>
            <c:spPr>
              <a:noFill/>
              <a:ln w="19050">
                <a:noFill/>
              </a:ln>
              <a:effectLst/>
            </c:spPr>
            <c:extLst>
              <c:ext xmlns:c16="http://schemas.microsoft.com/office/drawing/2014/chart" uri="{C3380CC4-5D6E-409C-BE32-E72D297353CC}">
                <c16:uniqueId val="{0000000E-1E67-4662-BF4F-DB088A3AA3A1}"/>
              </c:ext>
            </c:extLst>
          </c:dPt>
          <c:val>
            <c:numRef>
              <c:f>alliance!$AL$12:$AN$12</c:f>
              <c:numCache>
                <c:formatCode>0%</c:formatCode>
                <c:ptCount val="3"/>
                <c:pt idx="0">
                  <c:v>0.14285714285714288</c:v>
                </c:pt>
                <c:pt idx="1">
                  <c:v>0.01</c:v>
                </c:pt>
                <c:pt idx="2" formatCode="0.00%">
                  <c:v>1.3471428571428572</c:v>
                </c:pt>
              </c:numCache>
            </c:numRef>
          </c:val>
          <c:extLst>
            <c:ext xmlns:c16="http://schemas.microsoft.com/office/drawing/2014/chart" uri="{C3380CC4-5D6E-409C-BE32-E72D297353CC}">
              <c16:uniqueId val="{0000000F-1E67-4662-BF4F-DB088A3AA3A1}"/>
            </c:ext>
          </c:extLst>
        </c:ser>
        <c:dLbls>
          <c:showLegendKey val="0"/>
          <c:showVal val="0"/>
          <c:showCatName val="0"/>
          <c:showSerName val="0"/>
          <c:showPercent val="0"/>
          <c:showBubbleSize val="0"/>
          <c:showLeaderLines val="1"/>
        </c:dLbls>
        <c:firstSliceAng val="24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sz="1200">
                <a:solidFill>
                  <a:schemeClr val="tx1"/>
                </a:solidFill>
              </a:rPr>
              <a:t>R</a:t>
            </a:r>
          </a:p>
        </c:rich>
      </c:tx>
      <c:layout>
        <c:manualLayout>
          <c:xMode val="edge"/>
          <c:yMode val="edge"/>
          <c:x val="0.29878853754842438"/>
          <c:y val="0.1810189345131995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doughnutChart>
        <c:varyColors val="1"/>
        <c:ser>
          <c:idx val="0"/>
          <c:order val="0"/>
          <c:tx>
            <c:v>wheel size</c:v>
          </c:tx>
          <c:spPr>
            <a:solidFill>
              <a:srgbClr val="FF0000"/>
            </a:solidFill>
            <a:ln w="25400"/>
          </c:spPr>
          <c:dPt>
            <c:idx val="0"/>
            <c:bubble3D val="0"/>
            <c:spPr>
              <a:solidFill>
                <a:srgbClr val="FF0000"/>
              </a:solidFill>
              <a:ln w="25400">
                <a:solidFill>
                  <a:schemeClr val="lt1"/>
                </a:solidFill>
              </a:ln>
              <a:effectLst/>
            </c:spPr>
            <c:extLst>
              <c:ext xmlns:c16="http://schemas.microsoft.com/office/drawing/2014/chart" uri="{C3380CC4-5D6E-409C-BE32-E72D297353CC}">
                <c16:uniqueId val="{00000001-8F66-41C5-8541-B00372D2C85D}"/>
              </c:ext>
            </c:extLst>
          </c:dPt>
          <c:dPt>
            <c:idx val="1"/>
            <c:bubble3D val="0"/>
            <c:spPr>
              <a:solidFill>
                <a:srgbClr val="00B050"/>
              </a:solidFill>
              <a:ln w="25400">
                <a:solidFill>
                  <a:schemeClr val="lt1"/>
                </a:solidFill>
              </a:ln>
              <a:effectLst/>
            </c:spPr>
            <c:extLst>
              <c:ext xmlns:c16="http://schemas.microsoft.com/office/drawing/2014/chart" uri="{C3380CC4-5D6E-409C-BE32-E72D297353CC}">
                <c16:uniqueId val="{00000003-8F66-41C5-8541-B00372D2C85D}"/>
              </c:ext>
            </c:extLst>
          </c:dPt>
          <c:dPt>
            <c:idx val="2"/>
            <c:bubble3D val="0"/>
            <c:spPr>
              <a:noFill/>
              <a:ln w="25400">
                <a:solidFill>
                  <a:schemeClr val="lt1"/>
                </a:solidFill>
              </a:ln>
              <a:effectLst/>
            </c:spPr>
            <c:extLst>
              <c:ext xmlns:c16="http://schemas.microsoft.com/office/drawing/2014/chart" uri="{C3380CC4-5D6E-409C-BE32-E72D297353CC}">
                <c16:uniqueId val="{00000005-8F66-41C5-8541-B00372D2C85D}"/>
              </c:ext>
            </c:extLst>
          </c:dPt>
          <c:val>
            <c:numRef>
              <c:f>alliance!$AJ$2:$AJ$4</c:f>
              <c:numCache>
                <c:formatCode>General</c:formatCode>
                <c:ptCount val="3"/>
                <c:pt idx="0">
                  <c:v>25</c:v>
                </c:pt>
                <c:pt idx="1">
                  <c:v>75</c:v>
                </c:pt>
                <c:pt idx="2">
                  <c:v>50</c:v>
                </c:pt>
              </c:numCache>
            </c:numRef>
          </c:val>
          <c:extLst>
            <c:ext xmlns:c16="http://schemas.microsoft.com/office/drawing/2014/chart" uri="{C3380CC4-5D6E-409C-BE32-E72D297353CC}">
              <c16:uniqueId val="{00000008-8F66-41C5-8541-B00372D2C85D}"/>
            </c:ext>
          </c:extLst>
        </c:ser>
        <c:dLbls>
          <c:showLegendKey val="0"/>
          <c:showVal val="0"/>
          <c:showCatName val="0"/>
          <c:showSerName val="0"/>
          <c:showPercent val="0"/>
          <c:showBubbleSize val="0"/>
          <c:showLeaderLines val="1"/>
        </c:dLbls>
        <c:firstSliceAng val="240"/>
        <c:holeSize val="75"/>
      </c:doughnutChart>
      <c:pieChart>
        <c:varyColors val="1"/>
        <c:ser>
          <c:idx val="1"/>
          <c:order val="1"/>
          <c:tx>
            <c:v>%</c:v>
          </c:tx>
          <c:spPr>
            <a:noFill/>
            <a:ln>
              <a:noFill/>
            </a:ln>
          </c:spPr>
          <c:dPt>
            <c:idx val="0"/>
            <c:bubble3D val="0"/>
            <c:spPr>
              <a:noFill/>
              <a:ln w="19050">
                <a:noFill/>
              </a:ln>
              <a:effectLst/>
            </c:spPr>
            <c:extLst>
              <c:ext xmlns:c16="http://schemas.microsoft.com/office/drawing/2014/chart" uri="{C3380CC4-5D6E-409C-BE32-E72D297353CC}">
                <c16:uniqueId val="{0000000A-8F66-41C5-8541-B00372D2C85D}"/>
              </c:ext>
            </c:extLst>
          </c:dPt>
          <c:dPt>
            <c:idx val="1"/>
            <c:bubble3D val="0"/>
            <c:spPr>
              <a:solidFill>
                <a:schemeClr val="tx1"/>
              </a:solidFill>
              <a:ln w="19050">
                <a:noFill/>
              </a:ln>
              <a:effectLst/>
            </c:spPr>
            <c:extLst>
              <c:ext xmlns:c16="http://schemas.microsoft.com/office/drawing/2014/chart" uri="{C3380CC4-5D6E-409C-BE32-E72D297353CC}">
                <c16:uniqueId val="{0000000C-8F66-41C5-8541-B00372D2C85D}"/>
              </c:ext>
            </c:extLst>
          </c:dPt>
          <c:dPt>
            <c:idx val="2"/>
            <c:bubble3D val="0"/>
            <c:spPr>
              <a:noFill/>
              <a:ln w="19050">
                <a:noFill/>
              </a:ln>
              <a:effectLst/>
            </c:spPr>
            <c:extLst>
              <c:ext xmlns:c16="http://schemas.microsoft.com/office/drawing/2014/chart" uri="{C3380CC4-5D6E-409C-BE32-E72D297353CC}">
                <c16:uniqueId val="{0000000E-8F66-41C5-8541-B00372D2C85D}"/>
              </c:ext>
            </c:extLst>
          </c:dPt>
          <c:val>
            <c:numRef>
              <c:f>alliance!$AL$13:$AN$13</c:f>
              <c:numCache>
                <c:formatCode>0%</c:formatCode>
                <c:ptCount val="3"/>
                <c:pt idx="0">
                  <c:v>0.375</c:v>
                </c:pt>
                <c:pt idx="1">
                  <c:v>0.01</c:v>
                </c:pt>
                <c:pt idx="2" formatCode="0.00%">
                  <c:v>1.115</c:v>
                </c:pt>
              </c:numCache>
            </c:numRef>
          </c:val>
          <c:extLst>
            <c:ext xmlns:c16="http://schemas.microsoft.com/office/drawing/2014/chart" uri="{C3380CC4-5D6E-409C-BE32-E72D297353CC}">
              <c16:uniqueId val="{0000000F-8F66-41C5-8541-B00372D2C85D}"/>
            </c:ext>
          </c:extLst>
        </c:ser>
        <c:dLbls>
          <c:showLegendKey val="0"/>
          <c:showVal val="0"/>
          <c:showCatName val="0"/>
          <c:showSerName val="0"/>
          <c:showPercent val="0"/>
          <c:showBubbleSize val="0"/>
          <c:showLeaderLines val="1"/>
        </c:dLbls>
        <c:firstSliceAng val="24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sz="1200">
                <a:solidFill>
                  <a:schemeClr val="tx1"/>
                </a:solidFill>
              </a:rPr>
              <a:t>R</a:t>
            </a:r>
          </a:p>
        </c:rich>
      </c:tx>
      <c:layout>
        <c:manualLayout>
          <c:xMode val="edge"/>
          <c:yMode val="edge"/>
          <c:x val="0.72820525160791605"/>
          <c:y val="7.81933929758491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doughnutChart>
        <c:varyColors val="1"/>
        <c:ser>
          <c:idx val="0"/>
          <c:order val="0"/>
          <c:tx>
            <c:v>wheel size</c:v>
          </c:tx>
          <c:spPr>
            <a:solidFill>
              <a:srgbClr val="FF0000"/>
            </a:solidFill>
            <a:ln w="25400"/>
          </c:spPr>
          <c:dPt>
            <c:idx val="0"/>
            <c:bubble3D val="0"/>
            <c:spPr>
              <a:solidFill>
                <a:srgbClr val="FF0000"/>
              </a:solidFill>
              <a:ln w="25400">
                <a:solidFill>
                  <a:schemeClr val="lt1"/>
                </a:solidFill>
              </a:ln>
              <a:effectLst/>
            </c:spPr>
            <c:extLst>
              <c:ext xmlns:c16="http://schemas.microsoft.com/office/drawing/2014/chart" uri="{C3380CC4-5D6E-409C-BE32-E72D297353CC}">
                <c16:uniqueId val="{00000001-44B7-4660-A048-1FF3505E202C}"/>
              </c:ext>
            </c:extLst>
          </c:dPt>
          <c:dPt>
            <c:idx val="1"/>
            <c:bubble3D val="0"/>
            <c:spPr>
              <a:solidFill>
                <a:srgbClr val="00B050"/>
              </a:solidFill>
              <a:ln w="25400">
                <a:solidFill>
                  <a:schemeClr val="lt1"/>
                </a:solidFill>
              </a:ln>
              <a:effectLst/>
            </c:spPr>
            <c:extLst>
              <c:ext xmlns:c16="http://schemas.microsoft.com/office/drawing/2014/chart" uri="{C3380CC4-5D6E-409C-BE32-E72D297353CC}">
                <c16:uniqueId val="{00000003-44B7-4660-A048-1FF3505E202C}"/>
              </c:ext>
            </c:extLst>
          </c:dPt>
          <c:dPt>
            <c:idx val="2"/>
            <c:bubble3D val="0"/>
            <c:spPr>
              <a:noFill/>
              <a:ln w="25400">
                <a:solidFill>
                  <a:schemeClr val="lt1"/>
                </a:solidFill>
              </a:ln>
              <a:effectLst/>
            </c:spPr>
            <c:extLst>
              <c:ext xmlns:c16="http://schemas.microsoft.com/office/drawing/2014/chart" uri="{C3380CC4-5D6E-409C-BE32-E72D297353CC}">
                <c16:uniqueId val="{00000005-44B7-4660-A048-1FF3505E202C}"/>
              </c:ext>
            </c:extLst>
          </c:dPt>
          <c:val>
            <c:numRef>
              <c:f>alliance!$AJ$2:$AJ$4</c:f>
              <c:numCache>
                <c:formatCode>General</c:formatCode>
                <c:ptCount val="3"/>
                <c:pt idx="0">
                  <c:v>25</c:v>
                </c:pt>
                <c:pt idx="1">
                  <c:v>75</c:v>
                </c:pt>
                <c:pt idx="2">
                  <c:v>50</c:v>
                </c:pt>
              </c:numCache>
            </c:numRef>
          </c:val>
          <c:extLst>
            <c:ext xmlns:c16="http://schemas.microsoft.com/office/drawing/2014/chart" uri="{C3380CC4-5D6E-409C-BE32-E72D297353CC}">
              <c16:uniqueId val="{00000008-44B7-4660-A048-1FF3505E202C}"/>
            </c:ext>
          </c:extLst>
        </c:ser>
        <c:dLbls>
          <c:showLegendKey val="0"/>
          <c:showVal val="0"/>
          <c:showCatName val="0"/>
          <c:showSerName val="0"/>
          <c:showPercent val="0"/>
          <c:showBubbleSize val="0"/>
          <c:showLeaderLines val="1"/>
        </c:dLbls>
        <c:firstSliceAng val="240"/>
        <c:holeSize val="75"/>
      </c:doughnutChart>
      <c:pieChart>
        <c:varyColors val="1"/>
        <c:ser>
          <c:idx val="1"/>
          <c:order val="1"/>
          <c:tx>
            <c:v>%</c:v>
          </c:tx>
          <c:spPr>
            <a:noFill/>
          </c:spPr>
          <c:explosion val="4"/>
          <c:dPt>
            <c:idx val="0"/>
            <c:bubble3D val="0"/>
            <c:spPr>
              <a:noFill/>
              <a:ln w="19050">
                <a:noFill/>
              </a:ln>
              <a:effectLst/>
            </c:spPr>
            <c:extLst>
              <c:ext xmlns:c16="http://schemas.microsoft.com/office/drawing/2014/chart" uri="{C3380CC4-5D6E-409C-BE32-E72D297353CC}">
                <c16:uniqueId val="{0000000A-44B7-4660-A048-1FF3505E202C}"/>
              </c:ext>
            </c:extLst>
          </c:dPt>
          <c:dPt>
            <c:idx val="1"/>
            <c:bubble3D val="0"/>
            <c:spPr>
              <a:solidFill>
                <a:schemeClr val="tx1"/>
              </a:solidFill>
              <a:ln w="19050">
                <a:noFill/>
              </a:ln>
              <a:effectLst/>
            </c:spPr>
            <c:extLst>
              <c:ext xmlns:c16="http://schemas.microsoft.com/office/drawing/2014/chart" uri="{C3380CC4-5D6E-409C-BE32-E72D297353CC}">
                <c16:uniqueId val="{0000000C-44B7-4660-A048-1FF3505E202C}"/>
              </c:ext>
            </c:extLst>
          </c:dPt>
          <c:dPt>
            <c:idx val="2"/>
            <c:bubble3D val="0"/>
            <c:spPr>
              <a:noFill/>
              <a:ln w="19050">
                <a:noFill/>
              </a:ln>
              <a:effectLst/>
            </c:spPr>
            <c:extLst>
              <c:ext xmlns:c16="http://schemas.microsoft.com/office/drawing/2014/chart" uri="{C3380CC4-5D6E-409C-BE32-E72D297353CC}">
                <c16:uniqueId val="{0000000E-44B7-4660-A048-1FF3505E202C}"/>
              </c:ext>
            </c:extLst>
          </c:dPt>
          <c:val>
            <c:numRef>
              <c:f>alliance!$AL$16:$AN$16</c:f>
              <c:numCache>
                <c:formatCode>0%</c:formatCode>
                <c:ptCount val="3"/>
                <c:pt idx="0">
                  <c:v>0.58415841584158412</c:v>
                </c:pt>
                <c:pt idx="1">
                  <c:v>0.01</c:v>
                </c:pt>
                <c:pt idx="2" formatCode="0.00%">
                  <c:v>0.90584158415841587</c:v>
                </c:pt>
              </c:numCache>
            </c:numRef>
          </c:val>
          <c:extLst>
            <c:ext xmlns:c16="http://schemas.microsoft.com/office/drawing/2014/chart" uri="{C3380CC4-5D6E-409C-BE32-E72D297353CC}">
              <c16:uniqueId val="{0000000F-44B7-4660-A048-1FF3505E202C}"/>
            </c:ext>
          </c:extLst>
        </c:ser>
        <c:dLbls>
          <c:showLegendKey val="0"/>
          <c:showVal val="0"/>
          <c:showCatName val="0"/>
          <c:showSerName val="0"/>
          <c:showPercent val="0"/>
          <c:showBubbleSize val="0"/>
          <c:showLeaderLines val="1"/>
        </c:dLbls>
        <c:firstSliceAng val="24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sz="1200">
                <a:solidFill>
                  <a:schemeClr val="tx1"/>
                </a:solidFill>
              </a:rPr>
              <a:t>R</a:t>
            </a:r>
          </a:p>
        </c:rich>
      </c:tx>
      <c:layout>
        <c:manualLayout>
          <c:xMode val="edge"/>
          <c:yMode val="edge"/>
          <c:x val="0.69669949233428485"/>
          <c:y val="0.2329105451409392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doughnutChart>
        <c:varyColors val="1"/>
        <c:ser>
          <c:idx val="0"/>
          <c:order val="0"/>
          <c:tx>
            <c:v>wheel size</c:v>
          </c:tx>
          <c:spPr>
            <a:solidFill>
              <a:srgbClr val="FF0000"/>
            </a:solidFill>
            <a:ln w="25400"/>
          </c:spPr>
          <c:dPt>
            <c:idx val="0"/>
            <c:bubble3D val="0"/>
            <c:spPr>
              <a:solidFill>
                <a:srgbClr val="FF0000"/>
              </a:solidFill>
              <a:ln w="25400">
                <a:solidFill>
                  <a:schemeClr val="lt1"/>
                </a:solidFill>
              </a:ln>
              <a:effectLst/>
            </c:spPr>
            <c:extLst>
              <c:ext xmlns:c16="http://schemas.microsoft.com/office/drawing/2014/chart" uri="{C3380CC4-5D6E-409C-BE32-E72D297353CC}">
                <c16:uniqueId val="{00000001-84B8-4CC1-BE90-442308A7CBB0}"/>
              </c:ext>
            </c:extLst>
          </c:dPt>
          <c:dPt>
            <c:idx val="1"/>
            <c:bubble3D val="0"/>
            <c:spPr>
              <a:solidFill>
                <a:srgbClr val="00B050"/>
              </a:solidFill>
              <a:ln w="25400">
                <a:solidFill>
                  <a:schemeClr val="lt1"/>
                </a:solidFill>
              </a:ln>
              <a:effectLst/>
            </c:spPr>
            <c:extLst>
              <c:ext xmlns:c16="http://schemas.microsoft.com/office/drawing/2014/chart" uri="{C3380CC4-5D6E-409C-BE32-E72D297353CC}">
                <c16:uniqueId val="{00000003-84B8-4CC1-BE90-442308A7CBB0}"/>
              </c:ext>
            </c:extLst>
          </c:dPt>
          <c:dPt>
            <c:idx val="2"/>
            <c:bubble3D val="0"/>
            <c:spPr>
              <a:noFill/>
              <a:ln w="25400">
                <a:solidFill>
                  <a:schemeClr val="lt1"/>
                </a:solidFill>
              </a:ln>
              <a:effectLst/>
            </c:spPr>
            <c:extLst>
              <c:ext xmlns:c16="http://schemas.microsoft.com/office/drawing/2014/chart" uri="{C3380CC4-5D6E-409C-BE32-E72D297353CC}">
                <c16:uniqueId val="{00000005-84B8-4CC1-BE90-442308A7CBB0}"/>
              </c:ext>
            </c:extLst>
          </c:dPt>
          <c:val>
            <c:numRef>
              <c:f>alliance!$AJ$2:$AJ$4</c:f>
              <c:numCache>
                <c:formatCode>General</c:formatCode>
                <c:ptCount val="3"/>
                <c:pt idx="0">
                  <c:v>25</c:v>
                </c:pt>
                <c:pt idx="1">
                  <c:v>75</c:v>
                </c:pt>
                <c:pt idx="2">
                  <c:v>50</c:v>
                </c:pt>
              </c:numCache>
            </c:numRef>
          </c:val>
          <c:extLst>
            <c:ext xmlns:c16="http://schemas.microsoft.com/office/drawing/2014/chart" uri="{C3380CC4-5D6E-409C-BE32-E72D297353CC}">
              <c16:uniqueId val="{00000008-84B8-4CC1-BE90-442308A7CBB0}"/>
            </c:ext>
          </c:extLst>
        </c:ser>
        <c:dLbls>
          <c:showLegendKey val="0"/>
          <c:showVal val="0"/>
          <c:showCatName val="0"/>
          <c:showSerName val="0"/>
          <c:showPercent val="0"/>
          <c:showBubbleSize val="0"/>
          <c:showLeaderLines val="1"/>
        </c:dLbls>
        <c:firstSliceAng val="240"/>
        <c:holeSize val="75"/>
      </c:doughnutChart>
      <c:pieChart>
        <c:varyColors val="1"/>
        <c:ser>
          <c:idx val="1"/>
          <c:order val="1"/>
          <c:tx>
            <c:v>%</c:v>
          </c:tx>
          <c:spPr>
            <a:noFill/>
            <a:ln>
              <a:noFill/>
            </a:ln>
          </c:spPr>
          <c:dPt>
            <c:idx val="0"/>
            <c:bubble3D val="0"/>
            <c:spPr>
              <a:noFill/>
              <a:ln w="19050">
                <a:noFill/>
              </a:ln>
              <a:effectLst/>
            </c:spPr>
            <c:extLst>
              <c:ext xmlns:c16="http://schemas.microsoft.com/office/drawing/2014/chart" uri="{C3380CC4-5D6E-409C-BE32-E72D297353CC}">
                <c16:uniqueId val="{0000000A-84B8-4CC1-BE90-442308A7CBB0}"/>
              </c:ext>
            </c:extLst>
          </c:dPt>
          <c:dPt>
            <c:idx val="1"/>
            <c:bubble3D val="0"/>
            <c:spPr>
              <a:solidFill>
                <a:schemeClr val="tx1"/>
              </a:solidFill>
              <a:ln w="19050">
                <a:noFill/>
              </a:ln>
              <a:effectLst/>
            </c:spPr>
            <c:extLst>
              <c:ext xmlns:c16="http://schemas.microsoft.com/office/drawing/2014/chart" uri="{C3380CC4-5D6E-409C-BE32-E72D297353CC}">
                <c16:uniqueId val="{0000000C-84B8-4CC1-BE90-442308A7CBB0}"/>
              </c:ext>
            </c:extLst>
          </c:dPt>
          <c:dPt>
            <c:idx val="2"/>
            <c:bubble3D val="0"/>
            <c:explosion val="7"/>
            <c:spPr>
              <a:noFill/>
              <a:ln w="19050">
                <a:noFill/>
              </a:ln>
              <a:effectLst/>
            </c:spPr>
            <c:extLst>
              <c:ext xmlns:c16="http://schemas.microsoft.com/office/drawing/2014/chart" uri="{C3380CC4-5D6E-409C-BE32-E72D297353CC}">
                <c16:uniqueId val="{0000000E-84B8-4CC1-BE90-442308A7CBB0}"/>
              </c:ext>
            </c:extLst>
          </c:dPt>
          <c:val>
            <c:numRef>
              <c:f>alliance!$AL$17:$AN$17</c:f>
              <c:numCache>
                <c:formatCode>0%</c:formatCode>
                <c:ptCount val="3"/>
                <c:pt idx="0">
                  <c:v>0.51485148514851486</c:v>
                </c:pt>
                <c:pt idx="1">
                  <c:v>0.01</c:v>
                </c:pt>
                <c:pt idx="2" formatCode="0.00%">
                  <c:v>0.97514851485148513</c:v>
                </c:pt>
              </c:numCache>
            </c:numRef>
          </c:val>
          <c:extLst>
            <c:ext xmlns:c16="http://schemas.microsoft.com/office/drawing/2014/chart" uri="{C3380CC4-5D6E-409C-BE32-E72D297353CC}">
              <c16:uniqueId val="{0000000F-84B8-4CC1-BE90-442308A7CBB0}"/>
            </c:ext>
          </c:extLst>
        </c:ser>
        <c:dLbls>
          <c:showLegendKey val="0"/>
          <c:showVal val="0"/>
          <c:showCatName val="0"/>
          <c:showSerName val="0"/>
          <c:showPercent val="0"/>
          <c:showBubbleSize val="0"/>
          <c:showLeaderLines val="1"/>
        </c:dLbls>
        <c:firstSliceAng val="24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sz="1200">
                <a:solidFill>
                  <a:schemeClr val="tx1"/>
                </a:solidFill>
              </a:rPr>
              <a:t>R</a:t>
            </a:r>
          </a:p>
        </c:rich>
      </c:tx>
      <c:layout>
        <c:manualLayout>
          <c:xMode val="edge"/>
          <c:yMode val="edge"/>
          <c:x val="0.30826085724244612"/>
          <c:y val="0.1397882123529122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doughnutChart>
        <c:varyColors val="1"/>
        <c:ser>
          <c:idx val="0"/>
          <c:order val="0"/>
          <c:tx>
            <c:v>wheel size</c:v>
          </c:tx>
          <c:spPr>
            <a:solidFill>
              <a:srgbClr val="FF0000"/>
            </a:solidFill>
            <a:ln w="25400"/>
          </c:spPr>
          <c:dPt>
            <c:idx val="0"/>
            <c:bubble3D val="0"/>
            <c:spPr>
              <a:solidFill>
                <a:srgbClr val="FF0000"/>
              </a:solidFill>
              <a:ln w="25400">
                <a:solidFill>
                  <a:schemeClr val="lt1"/>
                </a:solidFill>
              </a:ln>
              <a:effectLst/>
            </c:spPr>
            <c:extLst>
              <c:ext xmlns:c16="http://schemas.microsoft.com/office/drawing/2014/chart" uri="{C3380CC4-5D6E-409C-BE32-E72D297353CC}">
                <c16:uniqueId val="{00000001-6944-4758-BB99-EFB4C825C9EF}"/>
              </c:ext>
            </c:extLst>
          </c:dPt>
          <c:dPt>
            <c:idx val="1"/>
            <c:bubble3D val="0"/>
            <c:spPr>
              <a:solidFill>
                <a:srgbClr val="00B050"/>
              </a:solidFill>
              <a:ln w="25400">
                <a:solidFill>
                  <a:schemeClr val="lt1"/>
                </a:solidFill>
              </a:ln>
              <a:effectLst/>
            </c:spPr>
            <c:extLst>
              <c:ext xmlns:c16="http://schemas.microsoft.com/office/drawing/2014/chart" uri="{C3380CC4-5D6E-409C-BE32-E72D297353CC}">
                <c16:uniqueId val="{00000003-6944-4758-BB99-EFB4C825C9EF}"/>
              </c:ext>
            </c:extLst>
          </c:dPt>
          <c:dPt>
            <c:idx val="2"/>
            <c:bubble3D val="0"/>
            <c:spPr>
              <a:noFill/>
              <a:ln w="25400">
                <a:solidFill>
                  <a:schemeClr val="lt1"/>
                </a:solidFill>
              </a:ln>
              <a:effectLst/>
            </c:spPr>
            <c:extLst>
              <c:ext xmlns:c16="http://schemas.microsoft.com/office/drawing/2014/chart" uri="{C3380CC4-5D6E-409C-BE32-E72D297353CC}">
                <c16:uniqueId val="{00000005-6944-4758-BB99-EFB4C825C9EF}"/>
              </c:ext>
            </c:extLst>
          </c:dPt>
          <c:val>
            <c:numRef>
              <c:f>alliance!$AJ$2:$AJ$4</c:f>
              <c:numCache>
                <c:formatCode>General</c:formatCode>
                <c:ptCount val="3"/>
                <c:pt idx="0">
                  <c:v>25</c:v>
                </c:pt>
                <c:pt idx="1">
                  <c:v>75</c:v>
                </c:pt>
                <c:pt idx="2">
                  <c:v>50</c:v>
                </c:pt>
              </c:numCache>
            </c:numRef>
          </c:val>
          <c:extLst>
            <c:ext xmlns:c16="http://schemas.microsoft.com/office/drawing/2014/chart" uri="{C3380CC4-5D6E-409C-BE32-E72D297353CC}">
              <c16:uniqueId val="{00000008-6944-4758-BB99-EFB4C825C9EF}"/>
            </c:ext>
          </c:extLst>
        </c:ser>
        <c:dLbls>
          <c:showLegendKey val="0"/>
          <c:showVal val="0"/>
          <c:showCatName val="0"/>
          <c:showSerName val="0"/>
          <c:showPercent val="0"/>
          <c:showBubbleSize val="0"/>
          <c:showLeaderLines val="1"/>
        </c:dLbls>
        <c:firstSliceAng val="240"/>
        <c:holeSize val="75"/>
      </c:doughnutChart>
      <c:pieChart>
        <c:varyColors val="1"/>
        <c:ser>
          <c:idx val="1"/>
          <c:order val="1"/>
          <c:tx>
            <c:v>%</c:v>
          </c:tx>
          <c:spPr>
            <a:noFill/>
            <a:ln>
              <a:noFill/>
            </a:ln>
          </c:spPr>
          <c:dPt>
            <c:idx val="0"/>
            <c:bubble3D val="0"/>
            <c:spPr>
              <a:noFill/>
              <a:ln w="19050">
                <a:noFill/>
              </a:ln>
              <a:effectLst/>
            </c:spPr>
            <c:extLst>
              <c:ext xmlns:c16="http://schemas.microsoft.com/office/drawing/2014/chart" uri="{C3380CC4-5D6E-409C-BE32-E72D297353CC}">
                <c16:uniqueId val="{0000000A-6944-4758-BB99-EFB4C825C9EF}"/>
              </c:ext>
            </c:extLst>
          </c:dPt>
          <c:dPt>
            <c:idx val="1"/>
            <c:bubble3D val="0"/>
            <c:spPr>
              <a:solidFill>
                <a:schemeClr val="tx1"/>
              </a:solidFill>
              <a:ln w="19050">
                <a:noFill/>
              </a:ln>
              <a:effectLst/>
            </c:spPr>
            <c:extLst>
              <c:ext xmlns:c16="http://schemas.microsoft.com/office/drawing/2014/chart" uri="{C3380CC4-5D6E-409C-BE32-E72D297353CC}">
                <c16:uniqueId val="{0000000C-6944-4758-BB99-EFB4C825C9EF}"/>
              </c:ext>
            </c:extLst>
          </c:dPt>
          <c:dPt>
            <c:idx val="2"/>
            <c:bubble3D val="0"/>
            <c:spPr>
              <a:noFill/>
              <a:ln w="19050">
                <a:noFill/>
              </a:ln>
              <a:effectLst/>
            </c:spPr>
            <c:extLst>
              <c:ext xmlns:c16="http://schemas.microsoft.com/office/drawing/2014/chart" uri="{C3380CC4-5D6E-409C-BE32-E72D297353CC}">
                <c16:uniqueId val="{0000000E-6944-4758-BB99-EFB4C825C9EF}"/>
              </c:ext>
            </c:extLst>
          </c:dPt>
          <c:val>
            <c:numRef>
              <c:f>alliance!$AL$18:$AN$18</c:f>
              <c:numCache>
                <c:formatCode>0%</c:formatCode>
                <c:ptCount val="3"/>
                <c:pt idx="0">
                  <c:v>0.49504950495049505</c:v>
                </c:pt>
                <c:pt idx="1">
                  <c:v>0.01</c:v>
                </c:pt>
                <c:pt idx="2" formatCode="0.00%">
                  <c:v>0.99495049504950495</c:v>
                </c:pt>
              </c:numCache>
            </c:numRef>
          </c:val>
          <c:extLst>
            <c:ext xmlns:c16="http://schemas.microsoft.com/office/drawing/2014/chart" uri="{C3380CC4-5D6E-409C-BE32-E72D297353CC}">
              <c16:uniqueId val="{0000000F-6944-4758-BB99-EFB4C825C9EF}"/>
            </c:ext>
          </c:extLst>
        </c:ser>
        <c:dLbls>
          <c:showLegendKey val="0"/>
          <c:showVal val="0"/>
          <c:showCatName val="0"/>
          <c:showSerName val="0"/>
          <c:showPercent val="0"/>
          <c:showBubbleSize val="0"/>
          <c:showLeaderLines val="1"/>
        </c:dLbls>
        <c:firstSliceAng val="24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Max/Avg</a:t>
            </a:r>
            <a:r>
              <a:rPr lang="en-US" baseline="0"/>
              <a:t> Balls Scored</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9.1061261691146048E-2"/>
          <c:y val="0.17968562993696638"/>
          <c:w val="0.88713986807392387"/>
          <c:h val="0.49784215688282052"/>
        </c:manualLayout>
      </c:layout>
      <c:barChart>
        <c:barDir val="col"/>
        <c:grouping val="clustered"/>
        <c:varyColors val="0"/>
        <c:ser>
          <c:idx val="0"/>
          <c:order val="0"/>
          <c:tx>
            <c:strRef>
              <c:f>alliance!$AG$28</c:f>
              <c:strCache>
                <c:ptCount val="1"/>
                <c:pt idx="0">
                  <c:v>Avg Balls Scored</c:v>
                </c:pt>
              </c:strCache>
            </c:strRef>
          </c:tx>
          <c:spPr>
            <a:solidFill>
              <a:schemeClr val="tx1"/>
            </a:solidFill>
            <a:ln>
              <a:solidFill>
                <a:schemeClr val="bg1"/>
              </a:solidFill>
            </a:ln>
            <a:effectLst>
              <a:outerShdw blurRad="57150" dist="19050" dir="5400000" algn="ctr" rotWithShape="0">
                <a:srgbClr val="000000">
                  <a:alpha val="63000"/>
                </a:srgbClr>
              </a:outerShdw>
            </a:effectLst>
          </c:spPr>
          <c:invertIfNegative val="0"/>
          <c:cat>
            <c:strRef>
              <c:f>alliance!$AH$27:$AO$27</c:f>
              <c:strCache>
                <c:ptCount val="8"/>
                <c:pt idx="0">
                  <c:v>316</c:v>
                </c:pt>
                <c:pt idx="1">
                  <c:v>1350</c:v>
                </c:pt>
                <c:pt idx="2">
                  <c:v>2262</c:v>
                </c:pt>
                <c:pt idx="3">
                  <c:v>Team Total</c:v>
                </c:pt>
                <c:pt idx="4">
                  <c:v>7153</c:v>
                </c:pt>
                <c:pt idx="5">
                  <c:v>7760</c:v>
                </c:pt>
                <c:pt idx="6">
                  <c:v>4987</c:v>
                </c:pt>
                <c:pt idx="7">
                  <c:v>Team Total</c:v>
                </c:pt>
              </c:strCache>
            </c:strRef>
          </c:cat>
          <c:val>
            <c:numRef>
              <c:f>alliance!$AH$28:$AO$28</c:f>
              <c:numCache>
                <c:formatCode>0.0</c:formatCode>
                <c:ptCount val="8"/>
                <c:pt idx="0">
                  <c:v>4</c:v>
                </c:pt>
                <c:pt idx="1">
                  <c:v>0.42857142857142855</c:v>
                </c:pt>
                <c:pt idx="2">
                  <c:v>0.375</c:v>
                </c:pt>
                <c:pt idx="3">
                  <c:v>4.8035714285714288</c:v>
                </c:pt>
                <c:pt idx="4">
                  <c:v>0.16666666666666666</c:v>
                </c:pt>
                <c:pt idx="5">
                  <c:v>2.5</c:v>
                </c:pt>
                <c:pt idx="6">
                  <c:v>0.5</c:v>
                </c:pt>
                <c:pt idx="7">
                  <c:v>3.1666666666666665</c:v>
                </c:pt>
              </c:numCache>
            </c:numRef>
          </c:val>
          <c:extLst>
            <c:ext xmlns:c16="http://schemas.microsoft.com/office/drawing/2014/chart" uri="{C3380CC4-5D6E-409C-BE32-E72D297353CC}">
              <c16:uniqueId val="{00000000-92E5-4F01-9D59-26985C2B85D9}"/>
            </c:ext>
          </c:extLst>
        </c:ser>
        <c:ser>
          <c:idx val="1"/>
          <c:order val="1"/>
          <c:tx>
            <c:strRef>
              <c:f>alliance!$AG$29</c:f>
              <c:strCache>
                <c:ptCount val="1"/>
                <c:pt idx="0">
                  <c:v>Max Balls Scored</c:v>
                </c:pt>
              </c:strCache>
            </c:strRef>
          </c:tx>
          <c:spPr>
            <a:solidFill>
              <a:srgbClr val="FFFF00"/>
            </a:solidFill>
            <a:ln>
              <a:solidFill>
                <a:schemeClr val="tx1"/>
              </a:solidFill>
            </a:ln>
            <a:effectLst>
              <a:outerShdw blurRad="57150" dist="19050" dir="5400000" algn="ctr" rotWithShape="0">
                <a:srgbClr val="000000">
                  <a:alpha val="63000"/>
                </a:srgbClr>
              </a:outerShdw>
            </a:effectLst>
          </c:spPr>
          <c:invertIfNegative val="0"/>
          <c:cat>
            <c:strRef>
              <c:f>alliance!$AH$27:$AO$27</c:f>
              <c:strCache>
                <c:ptCount val="8"/>
                <c:pt idx="0">
                  <c:v>316</c:v>
                </c:pt>
                <c:pt idx="1">
                  <c:v>1350</c:v>
                </c:pt>
                <c:pt idx="2">
                  <c:v>2262</c:v>
                </c:pt>
                <c:pt idx="3">
                  <c:v>Team Total</c:v>
                </c:pt>
                <c:pt idx="4">
                  <c:v>7153</c:v>
                </c:pt>
                <c:pt idx="5">
                  <c:v>7760</c:v>
                </c:pt>
                <c:pt idx="6">
                  <c:v>4987</c:v>
                </c:pt>
                <c:pt idx="7">
                  <c:v>Team Total</c:v>
                </c:pt>
              </c:strCache>
            </c:strRef>
          </c:cat>
          <c:val>
            <c:numRef>
              <c:f>alliance!$AH$29:$AO$29</c:f>
              <c:numCache>
                <c:formatCode>0.0</c:formatCode>
                <c:ptCount val="8"/>
                <c:pt idx="0">
                  <c:v>9</c:v>
                </c:pt>
                <c:pt idx="1">
                  <c:v>3</c:v>
                </c:pt>
                <c:pt idx="2">
                  <c:v>2</c:v>
                </c:pt>
                <c:pt idx="3">
                  <c:v>14</c:v>
                </c:pt>
                <c:pt idx="4">
                  <c:v>1</c:v>
                </c:pt>
                <c:pt idx="5">
                  <c:v>7</c:v>
                </c:pt>
                <c:pt idx="6">
                  <c:v>2</c:v>
                </c:pt>
                <c:pt idx="7">
                  <c:v>10</c:v>
                </c:pt>
              </c:numCache>
            </c:numRef>
          </c:val>
          <c:extLst>
            <c:ext xmlns:c16="http://schemas.microsoft.com/office/drawing/2014/chart" uri="{C3380CC4-5D6E-409C-BE32-E72D297353CC}">
              <c16:uniqueId val="{00000001-92E5-4F01-9D59-26985C2B85D9}"/>
            </c:ext>
          </c:extLst>
        </c:ser>
        <c:dLbls>
          <c:showLegendKey val="0"/>
          <c:showVal val="0"/>
          <c:showCatName val="0"/>
          <c:showSerName val="0"/>
          <c:showPercent val="0"/>
          <c:showBubbleSize val="0"/>
        </c:dLbls>
        <c:gapWidth val="100"/>
        <c:overlap val="-24"/>
        <c:axId val="117048855"/>
        <c:axId val="117053119"/>
      </c:barChart>
      <c:catAx>
        <c:axId val="11704885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n-US"/>
          </a:p>
        </c:txPr>
        <c:crossAx val="117053119"/>
        <c:crosses val="autoZero"/>
        <c:auto val="1"/>
        <c:lblAlgn val="ctr"/>
        <c:lblOffset val="100"/>
        <c:noMultiLvlLbl val="0"/>
      </c:catAx>
      <c:valAx>
        <c:axId val="117053119"/>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en-US"/>
          </a:p>
        </c:txPr>
        <c:crossAx val="11704885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rgbClr val="FFFF00"/>
      </a:solidFill>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Average</a:t>
            </a:r>
            <a:r>
              <a:rPr lang="en-US" baseline="0"/>
              <a:t> Alliance Score</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alliance!$AG$32</c:f>
              <c:strCache>
                <c:ptCount val="1"/>
                <c:pt idx="0">
                  <c:v>Our Alliance</c:v>
                </c:pt>
              </c:strCache>
            </c:strRef>
          </c:tx>
          <c:spPr>
            <a:solidFill>
              <a:srgbClr val="000000"/>
            </a:solidFill>
            <a:ln>
              <a:solidFill>
                <a:schemeClr val="bg1"/>
              </a:solidFill>
            </a:ln>
            <a:effectLst>
              <a:outerShdw blurRad="57150" dist="19050" dir="5400000" algn="ctr" rotWithShape="0">
                <a:srgbClr val="000000">
                  <a:alpha val="63000"/>
                </a:srgbClr>
              </a:outerShdw>
            </a:effectLst>
          </c:spPr>
          <c:invertIfNegative val="0"/>
          <c:cat>
            <c:strRef>
              <c:f>alliance!$AH$31:$AK$31</c:f>
              <c:strCache>
                <c:ptCount val="4"/>
                <c:pt idx="0">
                  <c:v>Auton</c:v>
                </c:pt>
                <c:pt idx="1">
                  <c:v>Teleop</c:v>
                </c:pt>
                <c:pt idx="2">
                  <c:v>Endgame</c:v>
                </c:pt>
                <c:pt idx="3">
                  <c:v>Total</c:v>
                </c:pt>
              </c:strCache>
            </c:strRef>
          </c:cat>
          <c:val>
            <c:numRef>
              <c:f>alliance!$AH$32:$AK$32</c:f>
              <c:numCache>
                <c:formatCode>General</c:formatCode>
                <c:ptCount val="4"/>
                <c:pt idx="0" formatCode="0.0">
                  <c:v>4.5238095238095237</c:v>
                </c:pt>
                <c:pt idx="1">
                  <c:v>3.589285714285714</c:v>
                </c:pt>
                <c:pt idx="2">
                  <c:v>11.696428571428571</c:v>
                </c:pt>
                <c:pt idx="3" formatCode="0.0">
                  <c:v>19.80952380952381</c:v>
                </c:pt>
              </c:numCache>
            </c:numRef>
          </c:val>
          <c:extLst>
            <c:ext xmlns:c16="http://schemas.microsoft.com/office/drawing/2014/chart" uri="{C3380CC4-5D6E-409C-BE32-E72D297353CC}">
              <c16:uniqueId val="{00000000-0D78-4AEB-BD5B-70556EAFCF85}"/>
            </c:ext>
          </c:extLst>
        </c:ser>
        <c:ser>
          <c:idx val="1"/>
          <c:order val="1"/>
          <c:tx>
            <c:strRef>
              <c:f>alliance!$AG$33</c:f>
              <c:strCache>
                <c:ptCount val="1"/>
                <c:pt idx="0">
                  <c:v>Enemy Alliance</c:v>
                </c:pt>
              </c:strCache>
            </c:strRef>
          </c:tx>
          <c:spPr>
            <a:solidFill>
              <a:srgbClr val="FFFF00"/>
            </a:solidFill>
            <a:ln>
              <a:solidFill>
                <a:schemeClr val="tx1"/>
              </a:solidFill>
            </a:ln>
            <a:effectLst>
              <a:outerShdw blurRad="57150" dist="19050" dir="5400000" algn="ctr" rotWithShape="0">
                <a:srgbClr val="000000">
                  <a:alpha val="63000"/>
                </a:srgbClr>
              </a:outerShdw>
            </a:effectLst>
          </c:spPr>
          <c:invertIfNegative val="0"/>
          <c:cat>
            <c:strRef>
              <c:f>alliance!$AH$31:$AK$31</c:f>
              <c:strCache>
                <c:ptCount val="4"/>
                <c:pt idx="0">
                  <c:v>Auton</c:v>
                </c:pt>
                <c:pt idx="1">
                  <c:v>Teleop</c:v>
                </c:pt>
                <c:pt idx="2">
                  <c:v>Endgame</c:v>
                </c:pt>
                <c:pt idx="3">
                  <c:v>Total</c:v>
                </c:pt>
              </c:strCache>
            </c:strRef>
          </c:cat>
          <c:val>
            <c:numRef>
              <c:f>alliance!$AH$33:$AK$33</c:f>
              <c:numCache>
                <c:formatCode>General</c:formatCode>
                <c:ptCount val="4"/>
                <c:pt idx="0">
                  <c:v>2.4444444444444446</c:v>
                </c:pt>
                <c:pt idx="1">
                  <c:v>1.3333333333333333</c:v>
                </c:pt>
                <c:pt idx="2">
                  <c:v>1.3888888888888891</c:v>
                </c:pt>
                <c:pt idx="3" formatCode="0.0">
                  <c:v>5.166666666666667</c:v>
                </c:pt>
              </c:numCache>
            </c:numRef>
          </c:val>
          <c:extLst>
            <c:ext xmlns:c16="http://schemas.microsoft.com/office/drawing/2014/chart" uri="{C3380CC4-5D6E-409C-BE32-E72D297353CC}">
              <c16:uniqueId val="{00000001-0D78-4AEB-BD5B-70556EAFCF85}"/>
            </c:ext>
          </c:extLst>
        </c:ser>
        <c:dLbls>
          <c:showLegendKey val="0"/>
          <c:showVal val="0"/>
          <c:showCatName val="0"/>
          <c:showSerName val="0"/>
          <c:showPercent val="0"/>
          <c:showBubbleSize val="0"/>
        </c:dLbls>
        <c:gapWidth val="100"/>
        <c:overlap val="-24"/>
        <c:axId val="117048855"/>
        <c:axId val="117053119"/>
      </c:barChart>
      <c:catAx>
        <c:axId val="11704885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en-US"/>
          </a:p>
        </c:txPr>
        <c:crossAx val="117053119"/>
        <c:crosses val="autoZero"/>
        <c:auto val="1"/>
        <c:lblAlgn val="ctr"/>
        <c:lblOffset val="100"/>
        <c:noMultiLvlLbl val="0"/>
      </c:catAx>
      <c:valAx>
        <c:axId val="117053119"/>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en-US"/>
          </a:p>
        </c:txPr>
        <c:crossAx val="11704885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rgbClr val="FFFF00"/>
      </a:solidFill>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baseline="0"/>
              <a:t>Max Alliance Score</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alliance!$AG$36</c:f>
              <c:strCache>
                <c:ptCount val="1"/>
                <c:pt idx="0">
                  <c:v>Our Alliance</c:v>
                </c:pt>
              </c:strCache>
            </c:strRef>
          </c:tx>
          <c:spPr>
            <a:solidFill>
              <a:schemeClr val="tx1"/>
            </a:solidFill>
            <a:ln>
              <a:solidFill>
                <a:schemeClr val="bg1"/>
              </a:solidFill>
            </a:ln>
            <a:effectLst>
              <a:outerShdw blurRad="57150" dist="19050" dir="5400000" algn="ctr" rotWithShape="0">
                <a:srgbClr val="000000">
                  <a:alpha val="63000"/>
                </a:srgbClr>
              </a:outerShdw>
            </a:effectLst>
          </c:spPr>
          <c:invertIfNegative val="0"/>
          <c:cat>
            <c:strRef>
              <c:f>alliance!$AH$35:$AK$35</c:f>
              <c:strCache>
                <c:ptCount val="4"/>
                <c:pt idx="0">
                  <c:v>Auton</c:v>
                </c:pt>
                <c:pt idx="1">
                  <c:v>Teleop</c:v>
                </c:pt>
                <c:pt idx="2">
                  <c:v>Endgame</c:v>
                </c:pt>
                <c:pt idx="3">
                  <c:v>Total</c:v>
                </c:pt>
              </c:strCache>
            </c:strRef>
          </c:cat>
          <c:val>
            <c:numRef>
              <c:f>alliance!$AH$36:$AK$36</c:f>
              <c:numCache>
                <c:formatCode>General</c:formatCode>
                <c:ptCount val="4"/>
                <c:pt idx="0" formatCode="0.0">
                  <c:v>30</c:v>
                </c:pt>
                <c:pt idx="1">
                  <c:v>26</c:v>
                </c:pt>
                <c:pt idx="2">
                  <c:v>120</c:v>
                </c:pt>
                <c:pt idx="3" formatCode="0.0">
                  <c:v>176</c:v>
                </c:pt>
              </c:numCache>
            </c:numRef>
          </c:val>
          <c:extLst>
            <c:ext xmlns:c16="http://schemas.microsoft.com/office/drawing/2014/chart" uri="{C3380CC4-5D6E-409C-BE32-E72D297353CC}">
              <c16:uniqueId val="{00000000-88E8-4B58-9141-159DFA8CB1B3}"/>
            </c:ext>
          </c:extLst>
        </c:ser>
        <c:ser>
          <c:idx val="1"/>
          <c:order val="1"/>
          <c:tx>
            <c:strRef>
              <c:f>alliance!$AG$37</c:f>
              <c:strCache>
                <c:ptCount val="1"/>
                <c:pt idx="0">
                  <c:v>Enemy Alliance</c:v>
                </c:pt>
              </c:strCache>
            </c:strRef>
          </c:tx>
          <c:spPr>
            <a:solidFill>
              <a:srgbClr val="FFFF00"/>
            </a:solidFill>
            <a:ln>
              <a:solidFill>
                <a:schemeClr val="tx1"/>
              </a:solidFill>
            </a:ln>
            <a:effectLst>
              <a:outerShdw blurRad="57150" dist="19050" dir="5400000" algn="ctr" rotWithShape="0">
                <a:srgbClr val="000000">
                  <a:alpha val="63000"/>
                </a:srgbClr>
              </a:outerShdw>
            </a:effectLst>
          </c:spPr>
          <c:invertIfNegative val="0"/>
          <c:cat>
            <c:strRef>
              <c:f>alliance!$AH$35:$AK$35</c:f>
              <c:strCache>
                <c:ptCount val="4"/>
                <c:pt idx="0">
                  <c:v>Auton</c:v>
                </c:pt>
                <c:pt idx="1">
                  <c:v>Teleop</c:v>
                </c:pt>
                <c:pt idx="2">
                  <c:v>Endgame</c:v>
                </c:pt>
                <c:pt idx="3">
                  <c:v>Total</c:v>
                </c:pt>
              </c:strCache>
            </c:strRef>
          </c:cat>
          <c:val>
            <c:numRef>
              <c:f>alliance!$AH$37:$AK$37</c:f>
              <c:numCache>
                <c:formatCode>General</c:formatCode>
                <c:ptCount val="4"/>
                <c:pt idx="0">
                  <c:v>20</c:v>
                </c:pt>
                <c:pt idx="1">
                  <c:v>13</c:v>
                </c:pt>
                <c:pt idx="2">
                  <c:v>25</c:v>
                </c:pt>
                <c:pt idx="3" formatCode="0.0">
                  <c:v>58</c:v>
                </c:pt>
              </c:numCache>
            </c:numRef>
          </c:val>
          <c:extLst>
            <c:ext xmlns:c16="http://schemas.microsoft.com/office/drawing/2014/chart" uri="{C3380CC4-5D6E-409C-BE32-E72D297353CC}">
              <c16:uniqueId val="{00000001-88E8-4B58-9141-159DFA8CB1B3}"/>
            </c:ext>
          </c:extLst>
        </c:ser>
        <c:dLbls>
          <c:showLegendKey val="0"/>
          <c:showVal val="0"/>
          <c:showCatName val="0"/>
          <c:showSerName val="0"/>
          <c:showPercent val="0"/>
          <c:showBubbleSize val="0"/>
        </c:dLbls>
        <c:gapWidth val="100"/>
        <c:overlap val="-24"/>
        <c:axId val="117048855"/>
        <c:axId val="117053119"/>
      </c:barChart>
      <c:catAx>
        <c:axId val="11704885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en-US"/>
          </a:p>
        </c:txPr>
        <c:crossAx val="117053119"/>
        <c:crosses val="autoZero"/>
        <c:auto val="1"/>
        <c:lblAlgn val="ctr"/>
        <c:lblOffset val="100"/>
        <c:noMultiLvlLbl val="0"/>
      </c:catAx>
      <c:valAx>
        <c:axId val="117053119"/>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en-US"/>
          </a:p>
        </c:txPr>
        <c:crossAx val="11704885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rgbClr val="FFFF00"/>
      </a:solidFill>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baseline="0"/>
              <a:t>Max Alliance Score</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1"/>
          <c:order val="0"/>
          <c:tx>
            <c:strRef>
              <c:f>alliance!$AQ$2</c:f>
              <c:strCache>
                <c:ptCount val="1"/>
                <c:pt idx="0">
                  <c:v>Claps</c:v>
                </c:pt>
              </c:strCache>
            </c:strRef>
          </c:tx>
          <c:spPr>
            <a:solidFill>
              <a:schemeClr val="tx1"/>
            </a:solidFill>
            <a:ln>
              <a:solidFill>
                <a:schemeClr val="bg1"/>
              </a:solidFill>
            </a:ln>
            <a:effectLst>
              <a:outerShdw blurRad="57150" dist="19050" dir="5400000" algn="ctr" rotWithShape="0">
                <a:srgbClr val="000000">
                  <a:alpha val="63000"/>
                </a:srgbClr>
              </a:outerShdw>
            </a:effectLst>
          </c:spPr>
          <c:invertIfNegative val="0"/>
          <c:cat>
            <c:strRef>
              <c:f>alliance!$AR$1:$AU$1</c:f>
              <c:strCache>
                <c:ptCount val="4"/>
                <c:pt idx="0">
                  <c:v>Pmoney</c:v>
                </c:pt>
                <c:pt idx="1">
                  <c:v>Sethy poo</c:v>
                </c:pt>
                <c:pt idx="2">
                  <c:v>little Mac</c:v>
                </c:pt>
                <c:pt idx="3">
                  <c:v>Brad</c:v>
                </c:pt>
              </c:strCache>
            </c:strRef>
          </c:cat>
          <c:val>
            <c:numRef>
              <c:f>alliance!$AR$2:$AU$2</c:f>
              <c:numCache>
                <c:formatCode>General</c:formatCode>
                <c:ptCount val="4"/>
                <c:pt idx="0">
                  <c:v>844</c:v>
                </c:pt>
                <c:pt idx="1">
                  <c:v>-973</c:v>
                </c:pt>
                <c:pt idx="2">
                  <c:v>1364</c:v>
                </c:pt>
                <c:pt idx="3">
                  <c:v>0</c:v>
                </c:pt>
              </c:numCache>
            </c:numRef>
          </c:val>
          <c:extLst>
            <c:ext xmlns:c16="http://schemas.microsoft.com/office/drawing/2014/chart" uri="{C3380CC4-5D6E-409C-BE32-E72D297353CC}">
              <c16:uniqueId val="{00000001-EF53-4D6F-9F5C-8EB5D11F199F}"/>
            </c:ext>
          </c:extLst>
        </c:ser>
        <c:dLbls>
          <c:showLegendKey val="0"/>
          <c:showVal val="0"/>
          <c:showCatName val="0"/>
          <c:showSerName val="0"/>
          <c:showPercent val="0"/>
          <c:showBubbleSize val="0"/>
        </c:dLbls>
        <c:gapWidth val="100"/>
        <c:overlap val="-24"/>
        <c:axId val="117048855"/>
        <c:axId val="117053119"/>
      </c:barChart>
      <c:catAx>
        <c:axId val="11704885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en-US"/>
          </a:p>
        </c:txPr>
        <c:crossAx val="117053119"/>
        <c:crosses val="autoZero"/>
        <c:auto val="1"/>
        <c:lblAlgn val="ctr"/>
        <c:lblOffset val="100"/>
        <c:noMultiLvlLbl val="0"/>
      </c:catAx>
      <c:valAx>
        <c:axId val="117053119"/>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en-US"/>
          </a:p>
        </c:txPr>
        <c:crossAx val="11704885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rgbClr val="FFFF00"/>
      </a:solid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Drop" dropStyle="combo" dx="20" fmlaLink="$A$7" fmlaRange="'team listing'!$B$2:$B$63" noThreeD="1" sel="1" val="0"/>
</file>

<file path=xl/ctrlProps/ctrlProp2.xml><?xml version="1.0" encoding="utf-8"?>
<formControlPr xmlns="http://schemas.microsoft.com/office/spreadsheetml/2009/9/main" objectType="Drop" dropStyle="combo" dx="20" fmlaLink="$A$2" fmlaRange="'team listing'!$B$2:$B$63" noThreeD="1" sel="1" val="0"/>
</file>

<file path=xl/ctrlProps/ctrlProp3.xml><?xml version="1.0" encoding="utf-8"?>
<formControlPr xmlns="http://schemas.microsoft.com/office/spreadsheetml/2009/9/main" objectType="Drop" dropStyle="combo" dx="20" fmlaLink="$A$3" fmlaRange="'team listing'!$B$2:$B$63" noThreeD="1" sel="4" val="3"/>
</file>

<file path=xl/ctrlProps/ctrlProp4.xml><?xml version="1.0" encoding="utf-8"?>
<formControlPr xmlns="http://schemas.microsoft.com/office/spreadsheetml/2009/9/main" objectType="Drop" dropStyle="combo" dx="20" fmlaLink="$A$4" fmlaRange="'team listing'!$B$2:$B$63" noThreeD="1" sel="1" val="0"/>
</file>

<file path=xl/ctrlProps/ctrlProp5.xml><?xml version="1.0" encoding="utf-8"?>
<formControlPr xmlns="http://schemas.microsoft.com/office/spreadsheetml/2009/9/main" objectType="Drop" dropStyle="combo" dx="20" fmlaLink="$A$5" fmlaRange="'team listing'!$B$2:$B$63" noThreeD="1" sel="8" val="0"/>
</file>

<file path=xl/ctrlProps/ctrlProp6.xml><?xml version="1.0" encoding="utf-8"?>
<formControlPr xmlns="http://schemas.microsoft.com/office/spreadsheetml/2009/9/main" objectType="Drop" dropStyle="combo" dx="20" fmlaLink="$A6" fmlaRange="'team listing'!$B$2:$B$63" noThreeD="1" sel="11" val="7"/>
</file>

<file path=xl/ctrlProps/ctrlProp7.xml><?xml version="1.0" encoding="utf-8"?>
<formControlPr xmlns="http://schemas.microsoft.com/office/spreadsheetml/2009/9/main" objectType="Drop" dropStyle="combo" dx="20" fmlaLink="$A$1" fmlaRange="'team listing'!$B$2:$B$63" noThreeD="1" sel="8" val="3"/>
</file>

<file path=xl/ctrlProps/ctrlProp8.xml><?xml version="1.0" encoding="utf-8"?>
<formControlPr xmlns="http://schemas.microsoft.com/office/spreadsheetml/2009/9/main" objectType="Drop" dropStyle="combo" dx="20" fmlaLink="$A$2" fmlaRange="'team listing'!$B$2:$B$63" noThreeD="1" sel="13" val="8"/>
</file>

<file path=xl/ctrlProps/ctrlProp9.xml><?xml version="1.0" encoding="utf-8"?>
<formControlPr xmlns="http://schemas.microsoft.com/office/spreadsheetml/2009/9/main" objectType="Drop" dropStyle="combo" dx="20" fmlaLink="$A$3" fmlaRange="'team listing'!$B$2:$B$63" noThreeD="1" sel="21" val="20"/>
</file>

<file path=xl/ctrlProps/ctrlProp10.xml><?xml version="1.0" encoding="utf-8"?>
<formControlPr xmlns="http://schemas.microsoft.com/office/spreadsheetml/2009/9/main" objectType="Drop" dropStyle="combo" dx="20" fmlaLink="$A$4" fmlaRange="'team listing'!$B$2:$B$63" noThreeD="1" sel="37" val="30"/>
</file>

<file path=xl/ctrlProps/ctrlProp11.xml><?xml version="1.0" encoding="utf-8"?>
<formControlPr xmlns="http://schemas.microsoft.com/office/spreadsheetml/2009/9/main" objectType="Drop" dropStyle="combo" dx="20" fmlaLink="$A$5" fmlaRange="'team listing'!$B$2:$B$63" noThreeD="1" sel="39" val="34"/>
</file>

<file path=xl/ctrlProps/ctrlProp12.xml><?xml version="1.0" encoding="utf-8"?>
<formControlPr xmlns="http://schemas.microsoft.com/office/spreadsheetml/2009/9/main" objectType="Drop" dropStyle="combo" dx="20" fmlaLink="$A$6" fmlaRange="'team listing'!$B$2:$B$63" noThreeD="1" sel="29" val="27"/>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Drop" dropLines="6" dropStyle="combo" dx="20" fmlaLink="$A$8" fmlaRange="'team listing'!$E$2:$E$7" noThreeD="1" sel="2" val="0"/>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chart" Target="../charts/chart23.xml"/><Relationship Id="rId18" Type="http://schemas.openxmlformats.org/officeDocument/2006/relationships/image" Target="../media/image4.svg"/><Relationship Id="rId3" Type="http://schemas.openxmlformats.org/officeDocument/2006/relationships/chart" Target="../charts/chart13.xml"/><Relationship Id="rId21" Type="http://schemas.openxmlformats.org/officeDocument/2006/relationships/image" Target="../media/image7.jpeg"/><Relationship Id="rId7" Type="http://schemas.openxmlformats.org/officeDocument/2006/relationships/chart" Target="../charts/chart17.xml"/><Relationship Id="rId12" Type="http://schemas.openxmlformats.org/officeDocument/2006/relationships/chart" Target="../charts/chart22.xml"/><Relationship Id="rId17" Type="http://schemas.openxmlformats.org/officeDocument/2006/relationships/image" Target="../media/image3.png"/><Relationship Id="rId2" Type="http://schemas.openxmlformats.org/officeDocument/2006/relationships/chart" Target="../charts/chart12.xml"/><Relationship Id="rId16" Type="http://schemas.openxmlformats.org/officeDocument/2006/relationships/image" Target="../media/image2.png"/><Relationship Id="rId20" Type="http://schemas.openxmlformats.org/officeDocument/2006/relationships/image" Target="../media/image6.svg"/><Relationship Id="rId1" Type="http://schemas.openxmlformats.org/officeDocument/2006/relationships/chart" Target="../charts/chart11.xml"/><Relationship Id="rId6" Type="http://schemas.openxmlformats.org/officeDocument/2006/relationships/chart" Target="../charts/chart16.xml"/><Relationship Id="rId11" Type="http://schemas.openxmlformats.org/officeDocument/2006/relationships/chart" Target="../charts/chart21.xml"/><Relationship Id="rId5" Type="http://schemas.openxmlformats.org/officeDocument/2006/relationships/chart" Target="../charts/chart15.xml"/><Relationship Id="rId15" Type="http://schemas.openxmlformats.org/officeDocument/2006/relationships/chart" Target="../charts/chart25.xml"/><Relationship Id="rId10" Type="http://schemas.openxmlformats.org/officeDocument/2006/relationships/chart" Target="../charts/chart20.xml"/><Relationship Id="rId19" Type="http://schemas.openxmlformats.org/officeDocument/2006/relationships/image" Target="../media/image5.png"/><Relationship Id="rId4" Type="http://schemas.openxmlformats.org/officeDocument/2006/relationships/chart" Target="../charts/chart14.xml"/><Relationship Id="rId9" Type="http://schemas.openxmlformats.org/officeDocument/2006/relationships/chart" Target="../charts/chart19.xml"/><Relationship Id="rId14" Type="http://schemas.openxmlformats.org/officeDocument/2006/relationships/chart" Target="../charts/chart24.xml"/><Relationship Id="rId22" Type="http://schemas.openxmlformats.org/officeDocument/2006/relationships/chart" Target="../charts/chart26.xml"/></Relationships>
</file>

<file path=xl/drawings/_rels/drawing18.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ustomXml" Target="../ink/ink1.xml"/><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6</xdr:col>
      <xdr:colOff>257175</xdr:colOff>
      <xdr:row>8</xdr:row>
      <xdr:rowOff>180975</xdr:rowOff>
    </xdr:from>
    <xdr:to>
      <xdr:col>7</xdr:col>
      <xdr:colOff>1181100</xdr:colOff>
      <xdr:row>13</xdr:row>
      <xdr:rowOff>104775</xdr:rowOff>
    </xdr:to>
    <xdr:sp macro="[0]!copy7" textlink="">
      <xdr:nvSpPr>
        <xdr:cNvPr id="2" name="Rectangle: Rounded Corners 1">
          <a:extLst>
            <a:ext uri="{FF2B5EF4-FFF2-40B4-BE49-F238E27FC236}">
              <a16:creationId xmlns:a16="http://schemas.microsoft.com/office/drawing/2014/main" id="{00000000-0008-0000-0000-000002000000}"/>
            </a:ext>
          </a:extLst>
        </xdr:cNvPr>
        <xdr:cNvSpPr/>
      </xdr:nvSpPr>
      <xdr:spPr>
        <a:xfrm>
          <a:off x="6276975" y="2257425"/>
          <a:ext cx="2990850" cy="8763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Input</a:t>
          </a:r>
        </a:p>
      </xdr:txBody>
    </xdr:sp>
    <xdr:clientData/>
  </xdr:twoCellAnchor>
  <xdr:twoCellAnchor editAs="absolute">
    <xdr:from>
      <xdr:col>6</xdr:col>
      <xdr:colOff>219075</xdr:colOff>
      <xdr:row>13</xdr:row>
      <xdr:rowOff>47625</xdr:rowOff>
    </xdr:from>
    <xdr:to>
      <xdr:col>8</xdr:col>
      <xdr:colOff>9525</xdr:colOff>
      <xdr:row>18</xdr:row>
      <xdr:rowOff>9525</xdr:rowOff>
    </xdr:to>
    <xdr:sp macro="[0]!Clear_Score" textlink="">
      <xdr:nvSpPr>
        <xdr:cNvPr id="3" name="Rectangle: Rounded Corners 2">
          <a:extLst>
            <a:ext uri="{FF2B5EF4-FFF2-40B4-BE49-F238E27FC236}">
              <a16:creationId xmlns:a16="http://schemas.microsoft.com/office/drawing/2014/main" id="{00000000-0008-0000-0000-000003000000}"/>
            </a:ext>
          </a:extLst>
        </xdr:cNvPr>
        <xdr:cNvSpPr/>
      </xdr:nvSpPr>
      <xdr:spPr>
        <a:xfrm>
          <a:off x="3705225" y="3133725"/>
          <a:ext cx="914400" cy="9144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Clear</a:t>
          </a:r>
          <a:r>
            <a:rPr lang="en-US" sz="1100" baseline="0"/>
            <a:t> Score</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523875</xdr:colOff>
      <xdr:row>34</xdr:row>
      <xdr:rowOff>85725</xdr:rowOff>
    </xdr:from>
    <xdr:to>
      <xdr:col>14</xdr:col>
      <xdr:colOff>247651</xdr:colOff>
      <xdr:row>37</xdr:row>
      <xdr:rowOff>114300</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7229475" y="6562725"/>
          <a:ext cx="1552576" cy="600075"/>
          <a:chOff x="9163049" y="6543674"/>
          <a:chExt cx="1552576" cy="600075"/>
        </a:xfrm>
      </xdr:grpSpPr>
      <xdr:sp macro="" textlink="">
        <xdr:nvSpPr>
          <xdr:cNvPr id="3" name="Rectangle 2" hidden="1">
            <a:extLst>
              <a:ext uri="{FF2B5EF4-FFF2-40B4-BE49-F238E27FC236}">
                <a16:creationId xmlns:a16="http://schemas.microsoft.com/office/drawing/2014/main" id="{00000000-0008-0000-0100-000003000000}"/>
              </a:ext>
            </a:extLst>
          </xdr:cNvPr>
          <xdr:cNvSpPr/>
        </xdr:nvSpPr>
        <xdr:spPr>
          <a:xfrm>
            <a:off x="9534525" y="6791325"/>
            <a:ext cx="1181100" cy="83819"/>
          </a:xfrm>
          <a:prstGeom prst="rect">
            <a:avLst/>
          </a:prstGeom>
          <a:solidFill>
            <a:schemeClr val="tx1"/>
          </a:solidFill>
          <a:ln w="190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Oval 3" hidden="1">
            <a:extLst>
              <a:ext uri="{FF2B5EF4-FFF2-40B4-BE49-F238E27FC236}">
                <a16:creationId xmlns:a16="http://schemas.microsoft.com/office/drawing/2014/main" id="{00000000-0008-0000-0100-000004000000}"/>
              </a:ext>
            </a:extLst>
          </xdr:cNvPr>
          <xdr:cNvSpPr/>
        </xdr:nvSpPr>
        <xdr:spPr>
          <a:xfrm>
            <a:off x="9163049" y="6543674"/>
            <a:ext cx="600075" cy="600075"/>
          </a:xfrm>
          <a:prstGeom prst="ellipse">
            <a:avLst/>
          </a:prstGeom>
          <a:solidFill>
            <a:schemeClr val="tx1"/>
          </a:solidFill>
          <a:ln w="190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14</xdr:col>
      <xdr:colOff>142876</xdr:colOff>
      <xdr:row>35</xdr:row>
      <xdr:rowOff>76201</xdr:rowOff>
    </xdr:from>
    <xdr:to>
      <xdr:col>16</xdr:col>
      <xdr:colOff>276226</xdr:colOff>
      <xdr:row>36</xdr:row>
      <xdr:rowOff>133351</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8677276" y="6743701"/>
          <a:ext cx="1352550" cy="247650"/>
          <a:chOff x="9363075" y="6715125"/>
          <a:chExt cx="1352550" cy="247650"/>
        </a:xfrm>
      </xdr:grpSpPr>
      <xdr:sp macro="" textlink="">
        <xdr:nvSpPr>
          <xdr:cNvPr id="6" name="Rectangle 5" hidden="1">
            <a:extLst>
              <a:ext uri="{FF2B5EF4-FFF2-40B4-BE49-F238E27FC236}">
                <a16:creationId xmlns:a16="http://schemas.microsoft.com/office/drawing/2014/main" id="{00000000-0008-0000-0100-000006000000}"/>
              </a:ext>
            </a:extLst>
          </xdr:cNvPr>
          <xdr:cNvSpPr/>
        </xdr:nvSpPr>
        <xdr:spPr>
          <a:xfrm>
            <a:off x="9534525" y="6791325"/>
            <a:ext cx="1181100" cy="83819"/>
          </a:xfrm>
          <a:prstGeom prst="rect">
            <a:avLst/>
          </a:prstGeom>
          <a:solidFill>
            <a:schemeClr val="tx1"/>
          </a:solidFill>
          <a:ln w="190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Oval 6" hidden="1">
            <a:extLst>
              <a:ext uri="{FF2B5EF4-FFF2-40B4-BE49-F238E27FC236}">
                <a16:creationId xmlns:a16="http://schemas.microsoft.com/office/drawing/2014/main" id="{00000000-0008-0000-0100-000007000000}"/>
              </a:ext>
            </a:extLst>
          </xdr:cNvPr>
          <xdr:cNvSpPr/>
        </xdr:nvSpPr>
        <xdr:spPr>
          <a:xfrm>
            <a:off x="9363075" y="6715125"/>
            <a:ext cx="247650" cy="247650"/>
          </a:xfrm>
          <a:prstGeom prst="ellipse">
            <a:avLst/>
          </a:prstGeom>
          <a:solidFill>
            <a:schemeClr val="tx1"/>
          </a:solidFill>
          <a:ln w="190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15</xdr:col>
      <xdr:colOff>200026</xdr:colOff>
      <xdr:row>35</xdr:row>
      <xdr:rowOff>76201</xdr:rowOff>
    </xdr:from>
    <xdr:to>
      <xdr:col>17</xdr:col>
      <xdr:colOff>333376</xdr:colOff>
      <xdr:row>36</xdr:row>
      <xdr:rowOff>133351</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9344026" y="6743701"/>
          <a:ext cx="1352550" cy="247650"/>
          <a:chOff x="9363075" y="6715125"/>
          <a:chExt cx="1352550" cy="247650"/>
        </a:xfrm>
      </xdr:grpSpPr>
      <xdr:sp macro="" textlink="">
        <xdr:nvSpPr>
          <xdr:cNvPr id="9" name="Rectangle 8" hidden="1">
            <a:extLst>
              <a:ext uri="{FF2B5EF4-FFF2-40B4-BE49-F238E27FC236}">
                <a16:creationId xmlns:a16="http://schemas.microsoft.com/office/drawing/2014/main" id="{00000000-0008-0000-0100-000009000000}"/>
              </a:ext>
            </a:extLst>
          </xdr:cNvPr>
          <xdr:cNvSpPr/>
        </xdr:nvSpPr>
        <xdr:spPr>
          <a:xfrm>
            <a:off x="9534525" y="6791325"/>
            <a:ext cx="1181100" cy="83819"/>
          </a:xfrm>
          <a:prstGeom prst="rect">
            <a:avLst/>
          </a:prstGeom>
          <a:solidFill>
            <a:schemeClr val="tx1"/>
          </a:solidFill>
          <a:ln w="190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Oval 9" hidden="1">
            <a:extLst>
              <a:ext uri="{FF2B5EF4-FFF2-40B4-BE49-F238E27FC236}">
                <a16:creationId xmlns:a16="http://schemas.microsoft.com/office/drawing/2014/main" id="{00000000-0008-0000-0100-00000A000000}"/>
              </a:ext>
            </a:extLst>
          </xdr:cNvPr>
          <xdr:cNvSpPr/>
        </xdr:nvSpPr>
        <xdr:spPr>
          <a:xfrm>
            <a:off x="9363075" y="6715125"/>
            <a:ext cx="247650" cy="247650"/>
          </a:xfrm>
          <a:prstGeom prst="ellipse">
            <a:avLst/>
          </a:prstGeom>
          <a:solidFill>
            <a:schemeClr val="tx1"/>
          </a:solidFill>
          <a:ln w="190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16</xdr:col>
      <xdr:colOff>333376</xdr:colOff>
      <xdr:row>35</xdr:row>
      <xdr:rowOff>76201</xdr:rowOff>
    </xdr:from>
    <xdr:to>
      <xdr:col>18</xdr:col>
      <xdr:colOff>581025</xdr:colOff>
      <xdr:row>36</xdr:row>
      <xdr:rowOff>133351</xdr:rowOff>
    </xdr:to>
    <xdr:grpSp>
      <xdr:nvGrpSpPr>
        <xdr:cNvPr id="11" name="Group 10">
          <a:extLst>
            <a:ext uri="{FF2B5EF4-FFF2-40B4-BE49-F238E27FC236}">
              <a16:creationId xmlns:a16="http://schemas.microsoft.com/office/drawing/2014/main" id="{00000000-0008-0000-0100-00000B000000}"/>
            </a:ext>
          </a:extLst>
        </xdr:cNvPr>
        <xdr:cNvGrpSpPr/>
      </xdr:nvGrpSpPr>
      <xdr:grpSpPr>
        <a:xfrm>
          <a:off x="10086976" y="6743701"/>
          <a:ext cx="1466849" cy="247650"/>
          <a:chOff x="10106025" y="6715125"/>
          <a:chExt cx="1371600" cy="247650"/>
        </a:xfrm>
      </xdr:grpSpPr>
      <xdr:sp macro="" textlink="">
        <xdr:nvSpPr>
          <xdr:cNvPr id="12" name="Rectangle 11" hidden="1">
            <a:extLst>
              <a:ext uri="{FF2B5EF4-FFF2-40B4-BE49-F238E27FC236}">
                <a16:creationId xmlns:a16="http://schemas.microsoft.com/office/drawing/2014/main" id="{00000000-0008-0000-0100-00000C000000}"/>
              </a:ext>
            </a:extLst>
          </xdr:cNvPr>
          <xdr:cNvSpPr/>
        </xdr:nvSpPr>
        <xdr:spPr>
          <a:xfrm>
            <a:off x="10296525" y="6791325"/>
            <a:ext cx="1181100" cy="83819"/>
          </a:xfrm>
          <a:prstGeom prst="rect">
            <a:avLst/>
          </a:prstGeom>
          <a:solidFill>
            <a:schemeClr val="tx1"/>
          </a:solidFill>
          <a:ln w="190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Oval 12" hidden="1">
            <a:extLst>
              <a:ext uri="{FF2B5EF4-FFF2-40B4-BE49-F238E27FC236}">
                <a16:creationId xmlns:a16="http://schemas.microsoft.com/office/drawing/2014/main" id="{00000000-0008-0000-0100-00000D000000}"/>
              </a:ext>
            </a:extLst>
          </xdr:cNvPr>
          <xdr:cNvSpPr/>
        </xdr:nvSpPr>
        <xdr:spPr>
          <a:xfrm>
            <a:off x="10106025" y="6715125"/>
            <a:ext cx="247650" cy="247650"/>
          </a:xfrm>
          <a:prstGeom prst="ellipse">
            <a:avLst/>
          </a:prstGeom>
          <a:solidFill>
            <a:schemeClr val="tx1"/>
          </a:solidFill>
          <a:ln w="190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19</xdr:col>
      <xdr:colOff>152400</xdr:colOff>
      <xdr:row>31</xdr:row>
      <xdr:rowOff>114301</xdr:rowOff>
    </xdr:from>
    <xdr:to>
      <xdr:col>22</xdr:col>
      <xdr:colOff>323850</xdr:colOff>
      <xdr:row>39</xdr:row>
      <xdr:rowOff>38101</xdr:rowOff>
    </xdr:to>
    <xdr:graphicFrame macro="">
      <xdr:nvGraphicFramePr>
        <xdr:cNvPr id="18" name="Chart 17">
          <a:extLst>
            <a:ext uri="{FF2B5EF4-FFF2-40B4-BE49-F238E27FC236}">
              <a16:creationId xmlns:a16="http://schemas.microsoft.com/office/drawing/2014/main" id="{00000000-0008-0000-01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561975</xdr:colOff>
      <xdr:row>4</xdr:row>
      <xdr:rowOff>114300</xdr:rowOff>
    </xdr:from>
    <xdr:to>
      <xdr:col>17</xdr:col>
      <xdr:colOff>9525</xdr:colOff>
      <xdr:row>7</xdr:row>
      <xdr:rowOff>142875</xdr:rowOff>
    </xdr:to>
    <xdr:grpSp>
      <xdr:nvGrpSpPr>
        <xdr:cNvPr id="15" name="Group 14">
          <a:extLst>
            <a:ext uri="{FF2B5EF4-FFF2-40B4-BE49-F238E27FC236}">
              <a16:creationId xmlns:a16="http://schemas.microsoft.com/office/drawing/2014/main" id="{00000000-0008-0000-0100-00000F000000}"/>
            </a:ext>
          </a:extLst>
        </xdr:cNvPr>
        <xdr:cNvGrpSpPr/>
      </xdr:nvGrpSpPr>
      <xdr:grpSpPr>
        <a:xfrm rot="10800000">
          <a:off x="6048375" y="876300"/>
          <a:ext cx="4324350" cy="600075"/>
          <a:chOff x="6877050" y="1466850"/>
          <a:chExt cx="4324350" cy="600075"/>
        </a:xfrm>
      </xdr:grpSpPr>
      <xdr:grpSp>
        <xdr:nvGrpSpPr>
          <xdr:cNvPr id="16" name="Group 15">
            <a:extLst>
              <a:ext uri="{FF2B5EF4-FFF2-40B4-BE49-F238E27FC236}">
                <a16:creationId xmlns:a16="http://schemas.microsoft.com/office/drawing/2014/main" id="{00000000-0008-0000-0100-000010000000}"/>
              </a:ext>
            </a:extLst>
          </xdr:cNvPr>
          <xdr:cNvGrpSpPr/>
        </xdr:nvGrpSpPr>
        <xdr:grpSpPr>
          <a:xfrm>
            <a:off x="6877050" y="1466850"/>
            <a:ext cx="1552576" cy="600075"/>
            <a:chOff x="9163049" y="6543674"/>
            <a:chExt cx="1552576" cy="600075"/>
          </a:xfrm>
        </xdr:grpSpPr>
        <xdr:sp macro="" textlink="">
          <xdr:nvSpPr>
            <xdr:cNvPr id="17" name="Rectangle 16" hidden="1">
              <a:extLst>
                <a:ext uri="{FF2B5EF4-FFF2-40B4-BE49-F238E27FC236}">
                  <a16:creationId xmlns:a16="http://schemas.microsoft.com/office/drawing/2014/main" id="{00000000-0008-0000-0100-000011000000}"/>
                </a:ext>
              </a:extLst>
            </xdr:cNvPr>
            <xdr:cNvSpPr/>
          </xdr:nvSpPr>
          <xdr:spPr>
            <a:xfrm>
              <a:off x="9534525" y="6791325"/>
              <a:ext cx="1181100" cy="83819"/>
            </a:xfrm>
            <a:prstGeom prst="rect">
              <a:avLst/>
            </a:prstGeom>
            <a:solidFill>
              <a:schemeClr val="tx1"/>
            </a:solidFill>
            <a:ln w="190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Oval 18" hidden="1">
              <a:extLst>
                <a:ext uri="{FF2B5EF4-FFF2-40B4-BE49-F238E27FC236}">
                  <a16:creationId xmlns:a16="http://schemas.microsoft.com/office/drawing/2014/main" id="{00000000-0008-0000-0100-000013000000}"/>
                </a:ext>
              </a:extLst>
            </xdr:cNvPr>
            <xdr:cNvSpPr/>
          </xdr:nvSpPr>
          <xdr:spPr>
            <a:xfrm>
              <a:off x="9163049" y="6543674"/>
              <a:ext cx="600075" cy="600075"/>
            </a:xfrm>
            <a:prstGeom prst="ellipse">
              <a:avLst/>
            </a:prstGeom>
            <a:solidFill>
              <a:schemeClr val="tx1"/>
            </a:solidFill>
            <a:ln w="190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0" name="Group 19">
            <a:extLst>
              <a:ext uri="{FF2B5EF4-FFF2-40B4-BE49-F238E27FC236}">
                <a16:creationId xmlns:a16="http://schemas.microsoft.com/office/drawing/2014/main" id="{00000000-0008-0000-0100-000014000000}"/>
              </a:ext>
            </a:extLst>
          </xdr:cNvPr>
          <xdr:cNvGrpSpPr/>
        </xdr:nvGrpSpPr>
        <xdr:grpSpPr>
          <a:xfrm>
            <a:off x="8324851" y="1647826"/>
            <a:ext cx="1352550" cy="247650"/>
            <a:chOff x="9363075" y="6715125"/>
            <a:chExt cx="1352550" cy="247650"/>
          </a:xfrm>
        </xdr:grpSpPr>
        <xdr:sp macro="" textlink="">
          <xdr:nvSpPr>
            <xdr:cNvPr id="21" name="Rectangle 20" hidden="1">
              <a:extLst>
                <a:ext uri="{FF2B5EF4-FFF2-40B4-BE49-F238E27FC236}">
                  <a16:creationId xmlns:a16="http://schemas.microsoft.com/office/drawing/2014/main" id="{00000000-0008-0000-0100-000015000000}"/>
                </a:ext>
              </a:extLst>
            </xdr:cNvPr>
            <xdr:cNvSpPr/>
          </xdr:nvSpPr>
          <xdr:spPr>
            <a:xfrm>
              <a:off x="9534525" y="6791325"/>
              <a:ext cx="1181100" cy="83819"/>
            </a:xfrm>
            <a:prstGeom prst="rect">
              <a:avLst/>
            </a:prstGeom>
            <a:solidFill>
              <a:schemeClr val="tx1"/>
            </a:solidFill>
            <a:ln w="190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Oval 21" hidden="1">
              <a:extLst>
                <a:ext uri="{FF2B5EF4-FFF2-40B4-BE49-F238E27FC236}">
                  <a16:creationId xmlns:a16="http://schemas.microsoft.com/office/drawing/2014/main" id="{00000000-0008-0000-0100-000016000000}"/>
                </a:ext>
              </a:extLst>
            </xdr:cNvPr>
            <xdr:cNvSpPr/>
          </xdr:nvSpPr>
          <xdr:spPr>
            <a:xfrm>
              <a:off x="9363075" y="6715125"/>
              <a:ext cx="247650" cy="247650"/>
            </a:xfrm>
            <a:prstGeom prst="ellipse">
              <a:avLst/>
            </a:prstGeom>
            <a:solidFill>
              <a:schemeClr val="tx1"/>
            </a:solidFill>
            <a:ln w="190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3" name="Group 22">
            <a:extLst>
              <a:ext uri="{FF2B5EF4-FFF2-40B4-BE49-F238E27FC236}">
                <a16:creationId xmlns:a16="http://schemas.microsoft.com/office/drawing/2014/main" id="{00000000-0008-0000-0100-000017000000}"/>
              </a:ext>
            </a:extLst>
          </xdr:cNvPr>
          <xdr:cNvGrpSpPr/>
        </xdr:nvGrpSpPr>
        <xdr:grpSpPr>
          <a:xfrm>
            <a:off x="8991601" y="1647826"/>
            <a:ext cx="1352550" cy="247650"/>
            <a:chOff x="9363075" y="6715125"/>
            <a:chExt cx="1352550" cy="247650"/>
          </a:xfrm>
        </xdr:grpSpPr>
        <xdr:sp macro="" textlink="">
          <xdr:nvSpPr>
            <xdr:cNvPr id="24" name="Rectangle 23" hidden="1">
              <a:extLst>
                <a:ext uri="{FF2B5EF4-FFF2-40B4-BE49-F238E27FC236}">
                  <a16:creationId xmlns:a16="http://schemas.microsoft.com/office/drawing/2014/main" id="{00000000-0008-0000-0100-000018000000}"/>
                </a:ext>
              </a:extLst>
            </xdr:cNvPr>
            <xdr:cNvSpPr/>
          </xdr:nvSpPr>
          <xdr:spPr>
            <a:xfrm>
              <a:off x="9534525" y="6791325"/>
              <a:ext cx="1181100" cy="83819"/>
            </a:xfrm>
            <a:prstGeom prst="rect">
              <a:avLst/>
            </a:prstGeom>
            <a:solidFill>
              <a:schemeClr val="tx1"/>
            </a:solidFill>
            <a:ln w="190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 name="Oval 24" hidden="1">
              <a:extLst>
                <a:ext uri="{FF2B5EF4-FFF2-40B4-BE49-F238E27FC236}">
                  <a16:creationId xmlns:a16="http://schemas.microsoft.com/office/drawing/2014/main" id="{00000000-0008-0000-0100-000019000000}"/>
                </a:ext>
              </a:extLst>
            </xdr:cNvPr>
            <xdr:cNvSpPr/>
          </xdr:nvSpPr>
          <xdr:spPr>
            <a:xfrm>
              <a:off x="9363075" y="6715125"/>
              <a:ext cx="247650" cy="247650"/>
            </a:xfrm>
            <a:prstGeom prst="ellipse">
              <a:avLst/>
            </a:prstGeom>
            <a:solidFill>
              <a:schemeClr val="tx1"/>
            </a:solidFill>
            <a:ln w="190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100-00001A000000}"/>
              </a:ext>
            </a:extLst>
          </xdr:cNvPr>
          <xdr:cNvGrpSpPr/>
        </xdr:nvGrpSpPr>
        <xdr:grpSpPr>
          <a:xfrm>
            <a:off x="9734551" y="1647826"/>
            <a:ext cx="1466849" cy="247650"/>
            <a:chOff x="10106025" y="6715125"/>
            <a:chExt cx="1371600" cy="247650"/>
          </a:xfrm>
        </xdr:grpSpPr>
        <xdr:sp macro="" textlink="">
          <xdr:nvSpPr>
            <xdr:cNvPr id="27" name="Rectangle 26" hidden="1">
              <a:extLst>
                <a:ext uri="{FF2B5EF4-FFF2-40B4-BE49-F238E27FC236}">
                  <a16:creationId xmlns:a16="http://schemas.microsoft.com/office/drawing/2014/main" id="{00000000-0008-0000-0100-00001B000000}"/>
                </a:ext>
              </a:extLst>
            </xdr:cNvPr>
            <xdr:cNvSpPr/>
          </xdr:nvSpPr>
          <xdr:spPr>
            <a:xfrm>
              <a:off x="10296525" y="6791325"/>
              <a:ext cx="1181100" cy="83819"/>
            </a:xfrm>
            <a:prstGeom prst="rect">
              <a:avLst/>
            </a:prstGeom>
            <a:solidFill>
              <a:schemeClr val="tx1"/>
            </a:solidFill>
            <a:ln w="190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Oval 27" hidden="1">
              <a:extLst>
                <a:ext uri="{FF2B5EF4-FFF2-40B4-BE49-F238E27FC236}">
                  <a16:creationId xmlns:a16="http://schemas.microsoft.com/office/drawing/2014/main" id="{00000000-0008-0000-0100-00001C000000}"/>
                </a:ext>
              </a:extLst>
            </xdr:cNvPr>
            <xdr:cNvSpPr/>
          </xdr:nvSpPr>
          <xdr:spPr>
            <a:xfrm>
              <a:off x="10106025" y="6715125"/>
              <a:ext cx="247650" cy="247650"/>
            </a:xfrm>
            <a:prstGeom prst="ellipse">
              <a:avLst/>
            </a:prstGeom>
            <a:solidFill>
              <a:schemeClr val="tx1"/>
            </a:solidFill>
            <a:ln w="190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twoCellAnchor>
    <xdr:from>
      <xdr:col>6</xdr:col>
      <xdr:colOff>495300</xdr:colOff>
      <xdr:row>2</xdr:row>
      <xdr:rowOff>114300</xdr:rowOff>
    </xdr:from>
    <xdr:to>
      <xdr:col>10</xdr:col>
      <xdr:colOff>66675</xdr:colOff>
      <xdr:row>10</xdr:row>
      <xdr:rowOff>38100</xdr:rowOff>
    </xdr:to>
    <xdr:graphicFrame macro="">
      <xdr:nvGraphicFramePr>
        <xdr:cNvPr id="29" name="Chart 28">
          <a:extLst>
            <a:ext uri="{FF2B5EF4-FFF2-40B4-BE49-F238E27FC236}">
              <a16:creationId xmlns:a16="http://schemas.microsoft.com/office/drawing/2014/main" id="{00000000-0008-0000-0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476251</xdr:colOff>
      <xdr:row>7</xdr:row>
      <xdr:rowOff>85725</xdr:rowOff>
    </xdr:from>
    <xdr:to>
      <xdr:col>21</xdr:col>
      <xdr:colOff>104775</xdr:colOff>
      <xdr:row>15</xdr:row>
      <xdr:rowOff>9525</xdr:rowOff>
    </xdr:to>
    <xdr:graphicFrame macro="">
      <xdr:nvGraphicFramePr>
        <xdr:cNvPr id="31" name="Chart 30">
          <a:extLst>
            <a:ext uri="{FF2B5EF4-FFF2-40B4-BE49-F238E27FC236}">
              <a16:creationId xmlns:a16="http://schemas.microsoft.com/office/drawing/2014/main" id="{00000000-0008-0000-0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466725</xdr:colOff>
      <xdr:row>15</xdr:row>
      <xdr:rowOff>0</xdr:rowOff>
    </xdr:from>
    <xdr:to>
      <xdr:col>21</xdr:col>
      <xdr:colOff>95249</xdr:colOff>
      <xdr:row>22</xdr:row>
      <xdr:rowOff>114300</xdr:rowOff>
    </xdr:to>
    <xdr:graphicFrame macro="">
      <xdr:nvGraphicFramePr>
        <xdr:cNvPr id="32" name="Chart 31">
          <a:extLst>
            <a:ext uri="{FF2B5EF4-FFF2-40B4-BE49-F238E27FC236}">
              <a16:creationId xmlns:a16="http://schemas.microsoft.com/office/drawing/2014/main" id="{00000000-0008-0000-0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476250</xdr:colOff>
      <xdr:row>22</xdr:row>
      <xdr:rowOff>9525</xdr:rowOff>
    </xdr:from>
    <xdr:to>
      <xdr:col>21</xdr:col>
      <xdr:colOff>104774</xdr:colOff>
      <xdr:row>29</xdr:row>
      <xdr:rowOff>123825</xdr:rowOff>
    </xdr:to>
    <xdr:graphicFrame macro="">
      <xdr:nvGraphicFramePr>
        <xdr:cNvPr id="33" name="Chart 32">
          <a:extLst>
            <a:ext uri="{FF2B5EF4-FFF2-40B4-BE49-F238E27FC236}">
              <a16:creationId xmlns:a16="http://schemas.microsoft.com/office/drawing/2014/main" id="{00000000-0008-0000-0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238124</xdr:colOff>
      <xdr:row>23</xdr:row>
      <xdr:rowOff>133350</xdr:rowOff>
    </xdr:from>
    <xdr:to>
      <xdr:col>24</xdr:col>
      <xdr:colOff>257173</xdr:colOff>
      <xdr:row>32</xdr:row>
      <xdr:rowOff>0</xdr:rowOff>
    </xdr:to>
    <xdr:graphicFrame macro="">
      <xdr:nvGraphicFramePr>
        <xdr:cNvPr id="34" name="Chart 33">
          <a:extLst>
            <a:ext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381000</xdr:colOff>
      <xdr:row>10</xdr:row>
      <xdr:rowOff>161925</xdr:rowOff>
    </xdr:from>
    <xdr:to>
      <xdr:col>10</xdr:col>
      <xdr:colOff>561975</xdr:colOff>
      <xdr:row>18</xdr:row>
      <xdr:rowOff>85725</xdr:rowOff>
    </xdr:to>
    <xdr:graphicFrame macro="">
      <xdr:nvGraphicFramePr>
        <xdr:cNvPr id="35" name="Chart 34">
          <a:extLst>
            <a:ext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381000</xdr:colOff>
      <xdr:row>19</xdr:row>
      <xdr:rowOff>0</xdr:rowOff>
    </xdr:from>
    <xdr:to>
      <xdr:col>10</xdr:col>
      <xdr:colOff>561975</xdr:colOff>
      <xdr:row>26</xdr:row>
      <xdr:rowOff>114300</xdr:rowOff>
    </xdr:to>
    <xdr:graphicFrame macro="">
      <xdr:nvGraphicFramePr>
        <xdr:cNvPr id="38" name="Chart 37">
          <a:extLst>
            <a:ext uri="{FF2B5EF4-FFF2-40B4-BE49-F238E27FC236}">
              <a16:creationId xmlns:a16="http://schemas.microsoft.com/office/drawing/2014/main" id="{00000000-0008-0000-0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390525</xdr:colOff>
      <xdr:row>27</xdr:row>
      <xdr:rowOff>28575</xdr:rowOff>
    </xdr:from>
    <xdr:to>
      <xdr:col>10</xdr:col>
      <xdr:colOff>571500</xdr:colOff>
      <xdr:row>34</xdr:row>
      <xdr:rowOff>142875</xdr:rowOff>
    </xdr:to>
    <xdr:graphicFrame macro="">
      <xdr:nvGraphicFramePr>
        <xdr:cNvPr id="39" name="Chart 38">
          <a:extLst>
            <a:ext uri="{FF2B5EF4-FFF2-40B4-BE49-F238E27FC236}">
              <a16:creationId xmlns:a16="http://schemas.microsoft.com/office/drawing/2014/main" id="{00000000-0008-0000-0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285750</xdr:colOff>
      <xdr:row>9</xdr:row>
      <xdr:rowOff>19050</xdr:rowOff>
    </xdr:from>
    <xdr:to>
      <xdr:col>7</xdr:col>
      <xdr:colOff>304799</xdr:colOff>
      <xdr:row>17</xdr:row>
      <xdr:rowOff>76200</xdr:rowOff>
    </xdr:to>
    <xdr:graphicFrame macro="">
      <xdr:nvGraphicFramePr>
        <xdr:cNvPr id="40" name="Chart 39">
          <a:extLst>
            <a:ext uri="{FF2B5EF4-FFF2-40B4-BE49-F238E27FC236}">
              <a16:creationId xmlns:a16="http://schemas.microsoft.com/office/drawing/2014/main" id="{00000000-0008-0000-0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4</xdr:row>
          <xdr:rowOff>0</xdr:rowOff>
        </xdr:from>
        <xdr:to>
          <xdr:col>13</xdr:col>
          <xdr:colOff>771525</xdr:colOff>
          <xdr:row>4</xdr:row>
          <xdr:rowOff>381000</xdr:rowOff>
        </xdr:to>
        <xdr:sp macro="" textlink="">
          <xdr:nvSpPr>
            <xdr:cNvPr id="8193" name="Drop Dow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1</xdr:row>
          <xdr:rowOff>419100</xdr:rowOff>
        </xdr:from>
        <xdr:to>
          <xdr:col>9</xdr:col>
          <xdr:colOff>800100</xdr:colOff>
          <xdr:row>2</xdr:row>
          <xdr:rowOff>371475</xdr:rowOff>
        </xdr:to>
        <xdr:sp macro="" textlink="">
          <xdr:nvSpPr>
            <xdr:cNvPr id="8194" name="Drop Dow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xdr:row>
          <xdr:rowOff>28575</xdr:rowOff>
        </xdr:from>
        <xdr:to>
          <xdr:col>9</xdr:col>
          <xdr:colOff>790575</xdr:colOff>
          <xdr:row>3</xdr:row>
          <xdr:rowOff>409575</xdr:rowOff>
        </xdr:to>
        <xdr:sp macro="" textlink="">
          <xdr:nvSpPr>
            <xdr:cNvPr id="8195" name="Drop Down 3" hidden="1">
              <a:extLst>
                <a:ext uri="{63B3BB69-23CF-44E3-9099-C40C66FF867C}">
                  <a14:compatExt spid="_x0000_s8195"/>
                </a:ext>
                <a:ext uri="{FF2B5EF4-FFF2-40B4-BE49-F238E27FC236}">
                  <a16:creationId xmlns:a16="http://schemas.microsoft.com/office/drawing/2014/main" id="{00000000-0008-0000-02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xdr:row>
          <xdr:rowOff>19050</xdr:rowOff>
        </xdr:from>
        <xdr:to>
          <xdr:col>9</xdr:col>
          <xdr:colOff>790575</xdr:colOff>
          <xdr:row>4</xdr:row>
          <xdr:rowOff>400050</xdr:rowOff>
        </xdr:to>
        <xdr:sp macro="" textlink="">
          <xdr:nvSpPr>
            <xdr:cNvPr id="8196" name="Drop Down 4" hidden="1">
              <a:extLst>
                <a:ext uri="{63B3BB69-23CF-44E3-9099-C40C66FF867C}">
                  <a14:compatExt spid="_x0000_s8196"/>
                </a:ext>
                <a:ext uri="{FF2B5EF4-FFF2-40B4-BE49-F238E27FC236}">
                  <a16:creationId xmlns:a16="http://schemas.microsoft.com/office/drawing/2014/main" id="{00000000-0008-0000-02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xdr:row>
          <xdr:rowOff>619125</xdr:rowOff>
        </xdr:from>
        <xdr:to>
          <xdr:col>13</xdr:col>
          <xdr:colOff>771525</xdr:colOff>
          <xdr:row>2</xdr:row>
          <xdr:rowOff>381000</xdr:rowOff>
        </xdr:to>
        <xdr:sp macro="" textlink="">
          <xdr:nvSpPr>
            <xdr:cNvPr id="8197" name="Drop Dow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xdr:row>
          <xdr:rowOff>0</xdr:rowOff>
        </xdr:from>
        <xdr:to>
          <xdr:col>13</xdr:col>
          <xdr:colOff>771525</xdr:colOff>
          <xdr:row>3</xdr:row>
          <xdr:rowOff>381000</xdr:rowOff>
        </xdr:to>
        <xdr:sp macro="" textlink="">
          <xdr:nvSpPr>
            <xdr:cNvPr id="8198" name="Drop Down 6" hidden="1">
              <a:extLst>
                <a:ext uri="{63B3BB69-23CF-44E3-9099-C40C66FF867C}">
                  <a14:compatExt spid="_x0000_s8198"/>
                </a:ext>
                <a:ext uri="{FF2B5EF4-FFF2-40B4-BE49-F238E27FC236}">
                  <a16:creationId xmlns:a16="http://schemas.microsoft.com/office/drawing/2014/main" id="{00000000-0008-0000-02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19050</xdr:colOff>
      <xdr:row>0</xdr:row>
      <xdr:rowOff>9526</xdr:rowOff>
    </xdr:from>
    <xdr:to>
      <xdr:col>16</xdr:col>
      <xdr:colOff>0</xdr:colOff>
      <xdr:row>1</xdr:row>
      <xdr:rowOff>19051</xdr:rowOff>
    </xdr:to>
    <xdr:sp macro="" textlink="">
      <xdr:nvSpPr>
        <xdr:cNvPr id="3" name="Rectangle: Rounded Corners 2">
          <a:extLst>
            <a:ext uri="{FF2B5EF4-FFF2-40B4-BE49-F238E27FC236}">
              <a16:creationId xmlns:a16="http://schemas.microsoft.com/office/drawing/2014/main" id="{00000000-0008-0000-0200-000003000000}"/>
            </a:ext>
          </a:extLst>
        </xdr:cNvPr>
        <xdr:cNvSpPr/>
      </xdr:nvSpPr>
      <xdr:spPr>
        <a:xfrm>
          <a:off x="6143625" y="9526"/>
          <a:ext cx="5476875" cy="438150"/>
        </a:xfrm>
        <a:prstGeom prst="roundRect">
          <a:avLst/>
        </a:prstGeom>
        <a:solidFill>
          <a:schemeClr val="bg2">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Teams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148333</xdr:colOff>
      <xdr:row>0</xdr:row>
      <xdr:rowOff>428090</xdr:rowOff>
    </xdr:from>
    <xdr:to>
      <xdr:col>20</xdr:col>
      <xdr:colOff>406686</xdr:colOff>
      <xdr:row>32</xdr:row>
      <xdr:rowOff>300243</xdr:rowOff>
    </xdr:to>
    <xdr:sp macro="" textlink="">
      <xdr:nvSpPr>
        <xdr:cNvPr id="18" name="Rectangle 17">
          <a:extLst>
            <a:ext uri="{FF2B5EF4-FFF2-40B4-BE49-F238E27FC236}">
              <a16:creationId xmlns:a16="http://schemas.microsoft.com/office/drawing/2014/main" id="{00000000-0008-0000-0300-000012000000}"/>
            </a:ext>
          </a:extLst>
        </xdr:cNvPr>
        <xdr:cNvSpPr/>
      </xdr:nvSpPr>
      <xdr:spPr>
        <a:xfrm>
          <a:off x="7468088" y="428090"/>
          <a:ext cx="5818055" cy="8279001"/>
        </a:xfrm>
        <a:prstGeom prst="rect">
          <a:avLst/>
        </a:prstGeom>
        <a:gradFill flip="none" rotWithShape="1">
          <a:gsLst>
            <a:gs pos="1000">
              <a:schemeClr val="tx1"/>
            </a:gs>
            <a:gs pos="39000">
              <a:schemeClr val="tx1"/>
            </a:gs>
            <a:gs pos="100000">
              <a:schemeClr val="bg2">
                <a:lumMod val="25000"/>
              </a:schemeClr>
            </a:gs>
            <a:gs pos="13000">
              <a:schemeClr val="tx1"/>
            </a:gs>
          </a:gsLst>
          <a:path path="shape">
            <a:fillToRect l="50000" t="50000" r="50000" b="50000"/>
          </a:path>
          <a:tileRect/>
        </a:gra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28575</xdr:colOff>
          <xdr:row>0</xdr:row>
          <xdr:rowOff>47625</xdr:rowOff>
        </xdr:from>
        <xdr:to>
          <xdr:col>3</xdr:col>
          <xdr:colOff>800100</xdr:colOff>
          <xdr:row>0</xdr:row>
          <xdr:rowOff>438150</xdr:rowOff>
        </xdr:to>
        <xdr:sp macro="" textlink="">
          <xdr:nvSpPr>
            <xdr:cNvPr id="3073" name="Drop Dow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0</xdr:row>
          <xdr:rowOff>47625</xdr:rowOff>
        </xdr:from>
        <xdr:to>
          <xdr:col>4</xdr:col>
          <xdr:colOff>800100</xdr:colOff>
          <xdr:row>0</xdr:row>
          <xdr:rowOff>428625</xdr:rowOff>
        </xdr:to>
        <xdr:sp macro="" textlink="">
          <xdr:nvSpPr>
            <xdr:cNvPr id="3074" name="Drop Dow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0</xdr:row>
          <xdr:rowOff>47625</xdr:rowOff>
        </xdr:from>
        <xdr:to>
          <xdr:col>5</xdr:col>
          <xdr:colOff>800100</xdr:colOff>
          <xdr:row>0</xdr:row>
          <xdr:rowOff>428625</xdr:rowOff>
        </xdr:to>
        <xdr:sp macro="" textlink="">
          <xdr:nvSpPr>
            <xdr:cNvPr id="3075" name="Drop Down 3"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0</xdr:row>
          <xdr:rowOff>47625</xdr:rowOff>
        </xdr:from>
        <xdr:to>
          <xdr:col>7</xdr:col>
          <xdr:colOff>800100</xdr:colOff>
          <xdr:row>0</xdr:row>
          <xdr:rowOff>428625</xdr:rowOff>
        </xdr:to>
        <xdr:sp macro="" textlink="">
          <xdr:nvSpPr>
            <xdr:cNvPr id="3076" name="Drop Down 4"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0</xdr:row>
          <xdr:rowOff>47625</xdr:rowOff>
        </xdr:from>
        <xdr:to>
          <xdr:col>8</xdr:col>
          <xdr:colOff>800100</xdr:colOff>
          <xdr:row>0</xdr:row>
          <xdr:rowOff>428625</xdr:rowOff>
        </xdr:to>
        <xdr:sp macro="" textlink="">
          <xdr:nvSpPr>
            <xdr:cNvPr id="3077" name="Drop Down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0</xdr:row>
          <xdr:rowOff>47625</xdr:rowOff>
        </xdr:from>
        <xdr:to>
          <xdr:col>9</xdr:col>
          <xdr:colOff>800100</xdr:colOff>
          <xdr:row>0</xdr:row>
          <xdr:rowOff>428625</xdr:rowOff>
        </xdr:to>
        <xdr:sp macro="" textlink="">
          <xdr:nvSpPr>
            <xdr:cNvPr id="3078" name="Drop Down 6"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8</xdr:col>
      <xdr:colOff>793270</xdr:colOff>
      <xdr:row>0</xdr:row>
      <xdr:rowOff>132180</xdr:rowOff>
    </xdr:from>
    <xdr:to>
      <xdr:col>15</xdr:col>
      <xdr:colOff>554067</xdr:colOff>
      <xdr:row>7</xdr:row>
      <xdr:rowOff>177635</xdr:rowOff>
    </xdr:to>
    <xdr:grpSp>
      <xdr:nvGrpSpPr>
        <xdr:cNvPr id="40" name="Group 39">
          <a:extLst>
            <a:ext uri="{FF2B5EF4-FFF2-40B4-BE49-F238E27FC236}">
              <a16:creationId xmlns:a16="http://schemas.microsoft.com/office/drawing/2014/main" id="{00000000-0008-0000-0300-000028000000}"/>
            </a:ext>
          </a:extLst>
        </xdr:cNvPr>
        <xdr:cNvGrpSpPr>
          <a:grpSpLocks/>
        </xdr:cNvGrpSpPr>
      </xdr:nvGrpSpPr>
      <xdr:grpSpPr>
        <a:xfrm>
          <a:off x="6434187" y="132180"/>
          <a:ext cx="3962380" cy="2479622"/>
          <a:chOff x="15346680" y="297180"/>
          <a:chExt cx="4267199" cy="2601219"/>
        </a:xfrm>
      </xdr:grpSpPr>
      <xdr:grpSp>
        <xdr:nvGrpSpPr>
          <xdr:cNvPr id="41" name="Group 40">
            <a:extLst>
              <a:ext uri="{FF2B5EF4-FFF2-40B4-BE49-F238E27FC236}">
                <a16:creationId xmlns:a16="http://schemas.microsoft.com/office/drawing/2014/main" id="{00000000-0008-0000-0300-000029000000}"/>
              </a:ext>
            </a:extLst>
          </xdr:cNvPr>
          <xdr:cNvGrpSpPr/>
        </xdr:nvGrpSpPr>
        <xdr:grpSpPr>
          <a:xfrm>
            <a:off x="15346680" y="297180"/>
            <a:ext cx="4267199" cy="2601219"/>
            <a:chOff x="13217238" y="4184074"/>
            <a:chExt cx="5570220" cy="3302923"/>
          </a:xfrm>
        </xdr:grpSpPr>
        <xdr:sp macro="" textlink="">
          <xdr:nvSpPr>
            <xdr:cNvPr id="43" name="Oval 42">
              <a:extLst>
                <a:ext uri="{FF2B5EF4-FFF2-40B4-BE49-F238E27FC236}">
                  <a16:creationId xmlns:a16="http://schemas.microsoft.com/office/drawing/2014/main" id="{00000000-0008-0000-0300-00002B000000}"/>
                </a:ext>
              </a:extLst>
            </xdr:cNvPr>
            <xdr:cNvSpPr/>
          </xdr:nvSpPr>
          <xdr:spPr>
            <a:xfrm>
              <a:off x="14771716" y="4891348"/>
              <a:ext cx="2529840" cy="2394759"/>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44" name="Chart 43">
              <a:extLst>
                <a:ext uri="{FF2B5EF4-FFF2-40B4-BE49-F238E27FC236}">
                  <a16:creationId xmlns:a16="http://schemas.microsoft.com/office/drawing/2014/main" id="{00000000-0008-0000-0300-00002C000000}"/>
                </a:ext>
              </a:extLst>
            </xdr:cNvPr>
            <xdr:cNvGraphicFramePr>
              <a:graphicFrameLocks noChangeAspect="1"/>
            </xdr:cNvGraphicFramePr>
          </xdr:nvGraphicFramePr>
          <xdr:xfrm>
            <a:off x="13217238" y="4184074"/>
            <a:ext cx="5570220" cy="3302923"/>
          </xdr:xfrm>
          <a:graphic>
            <a:graphicData uri="http://schemas.openxmlformats.org/drawingml/2006/chart">
              <c:chart xmlns:c="http://schemas.openxmlformats.org/drawingml/2006/chart" xmlns:r="http://schemas.openxmlformats.org/officeDocument/2006/relationships" r:id="rId1"/>
            </a:graphicData>
          </a:graphic>
        </xdr:graphicFrame>
      </xdr:grpSp>
      <xdr:sp macro="" textlink="$B$1">
        <xdr:nvSpPr>
          <xdr:cNvPr id="42" name="TextBox 41">
            <a:extLst>
              <a:ext uri="{FF2B5EF4-FFF2-40B4-BE49-F238E27FC236}">
                <a16:creationId xmlns:a16="http://schemas.microsoft.com/office/drawing/2014/main" id="{00000000-0008-0000-0300-00002A000000}"/>
              </a:ext>
            </a:extLst>
          </xdr:cNvPr>
          <xdr:cNvSpPr txBox="1"/>
        </xdr:nvSpPr>
        <xdr:spPr>
          <a:xfrm>
            <a:off x="16954500" y="1360840"/>
            <a:ext cx="1051560"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793D48F-2B1F-4D98-A2CC-FAAFAB130EF7}" type="TxLink">
              <a:rPr lang="en-US" sz="1600" b="0" i="0" u="none" strike="noStrike">
                <a:solidFill>
                  <a:schemeClr val="bg1"/>
                </a:solidFill>
                <a:latin typeface="Calibri"/>
                <a:cs typeface="Calibri"/>
              </a:rPr>
              <a:pPr algn="ctr"/>
              <a:t>316</a:t>
            </a:fld>
            <a:endParaRPr lang="en-US" sz="1600">
              <a:solidFill>
                <a:schemeClr val="bg1"/>
              </a:solidFill>
            </a:endParaRPr>
          </a:p>
        </xdr:txBody>
      </xdr:sp>
    </xdr:grpSp>
    <xdr:clientData/>
  </xdr:twoCellAnchor>
  <xdr:twoCellAnchor>
    <xdr:from>
      <xdr:col>11</xdr:col>
      <xdr:colOff>41411</xdr:colOff>
      <xdr:row>0</xdr:row>
      <xdr:rowOff>41413</xdr:rowOff>
    </xdr:from>
    <xdr:to>
      <xdr:col>20</xdr:col>
      <xdr:colOff>363876</xdr:colOff>
      <xdr:row>0</xdr:row>
      <xdr:rowOff>455542</xdr:rowOff>
    </xdr:to>
    <xdr:sp macro="" textlink="">
      <xdr:nvSpPr>
        <xdr:cNvPr id="45" name="Rectangle 44">
          <a:extLst>
            <a:ext uri="{FF2B5EF4-FFF2-40B4-BE49-F238E27FC236}">
              <a16:creationId xmlns:a16="http://schemas.microsoft.com/office/drawing/2014/main" id="{00000000-0008-0000-0300-00002D000000}"/>
            </a:ext>
          </a:extLst>
        </xdr:cNvPr>
        <xdr:cNvSpPr/>
      </xdr:nvSpPr>
      <xdr:spPr>
        <a:xfrm>
          <a:off x="7768433" y="41413"/>
          <a:ext cx="5716398" cy="414129"/>
        </a:xfrm>
        <a:prstGeom prst="rect">
          <a:avLst/>
        </a:prstGeom>
        <a:solidFill>
          <a:schemeClr val="bg2">
            <a:lumMod val="75000"/>
            <a:alpha val="92000"/>
          </a:schemeClr>
        </a:solidFill>
        <a:ln>
          <a:noFill/>
        </a:ln>
        <a:scene3d>
          <a:camera prst="orthographicFront"/>
          <a:lightRig rig="threePt" dir="t"/>
        </a:scene3d>
        <a:sp3d>
          <a:bevelT w="50800"/>
        </a:sp3d>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3200" b="0" cap="none" spc="0">
              <a:ln w="0"/>
              <a:solidFill>
                <a:schemeClr val="tx1"/>
              </a:solidFill>
              <a:effectLst>
                <a:outerShdw blurRad="38100" dist="19050" dir="2700000" algn="tl" rotWithShape="0">
                  <a:schemeClr val="dk1">
                    <a:alpha val="40000"/>
                  </a:schemeClr>
                </a:outerShdw>
              </a:effectLst>
            </a:rPr>
            <a:t>Alliance Performance</a:t>
          </a:r>
        </a:p>
      </xdr:txBody>
    </xdr:sp>
    <xdr:clientData/>
  </xdr:twoCellAnchor>
  <xdr:twoCellAnchor editAs="absolute">
    <xdr:from>
      <xdr:col>12</xdr:col>
      <xdr:colOff>276639</xdr:colOff>
      <xdr:row>0</xdr:row>
      <xdr:rowOff>102362</xdr:rowOff>
    </xdr:from>
    <xdr:to>
      <xdr:col>19</xdr:col>
      <xdr:colOff>27293</xdr:colOff>
      <xdr:row>7</xdr:row>
      <xdr:rowOff>139378</xdr:rowOff>
    </xdr:to>
    <xdr:grpSp>
      <xdr:nvGrpSpPr>
        <xdr:cNvPr id="46" name="Group 45">
          <a:extLst>
            <a:ext uri="{FF2B5EF4-FFF2-40B4-BE49-F238E27FC236}">
              <a16:creationId xmlns:a16="http://schemas.microsoft.com/office/drawing/2014/main" id="{00000000-0008-0000-0300-00002E000000}"/>
            </a:ext>
          </a:extLst>
        </xdr:cNvPr>
        <xdr:cNvGrpSpPr>
          <a:grpSpLocks/>
        </xdr:cNvGrpSpPr>
      </xdr:nvGrpSpPr>
      <xdr:grpSpPr>
        <a:xfrm>
          <a:off x="8341139" y="102362"/>
          <a:ext cx="3899321" cy="2471183"/>
          <a:chOff x="15346680" y="297180"/>
          <a:chExt cx="4267199" cy="2601219"/>
        </a:xfrm>
      </xdr:grpSpPr>
      <xdr:grpSp>
        <xdr:nvGrpSpPr>
          <xdr:cNvPr id="47" name="Group 46">
            <a:extLst>
              <a:ext uri="{FF2B5EF4-FFF2-40B4-BE49-F238E27FC236}">
                <a16:creationId xmlns:a16="http://schemas.microsoft.com/office/drawing/2014/main" id="{00000000-0008-0000-0300-00002F000000}"/>
              </a:ext>
            </a:extLst>
          </xdr:cNvPr>
          <xdr:cNvGrpSpPr/>
        </xdr:nvGrpSpPr>
        <xdr:grpSpPr>
          <a:xfrm>
            <a:off x="15346680" y="297180"/>
            <a:ext cx="4267199" cy="2601219"/>
            <a:chOff x="13217238" y="4184074"/>
            <a:chExt cx="5570220" cy="3302923"/>
          </a:xfrm>
        </xdr:grpSpPr>
        <xdr:sp macro="" textlink="">
          <xdr:nvSpPr>
            <xdr:cNvPr id="49" name="Oval 48">
              <a:extLst>
                <a:ext uri="{FF2B5EF4-FFF2-40B4-BE49-F238E27FC236}">
                  <a16:creationId xmlns:a16="http://schemas.microsoft.com/office/drawing/2014/main" id="{00000000-0008-0000-0300-000031000000}"/>
                </a:ext>
              </a:extLst>
            </xdr:cNvPr>
            <xdr:cNvSpPr/>
          </xdr:nvSpPr>
          <xdr:spPr>
            <a:xfrm>
              <a:off x="14771716" y="4891348"/>
              <a:ext cx="2529840" cy="2394759"/>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50" name="Chart 49">
              <a:extLst>
                <a:ext uri="{FF2B5EF4-FFF2-40B4-BE49-F238E27FC236}">
                  <a16:creationId xmlns:a16="http://schemas.microsoft.com/office/drawing/2014/main" id="{00000000-0008-0000-0300-000032000000}"/>
                </a:ext>
              </a:extLst>
            </xdr:cNvPr>
            <xdr:cNvGraphicFramePr>
              <a:graphicFrameLocks noChangeAspect="1"/>
            </xdr:cNvGraphicFramePr>
          </xdr:nvGraphicFramePr>
          <xdr:xfrm>
            <a:off x="13217238" y="4184074"/>
            <a:ext cx="5570220" cy="3302923"/>
          </xdr:xfrm>
          <a:graphic>
            <a:graphicData uri="http://schemas.openxmlformats.org/drawingml/2006/chart">
              <c:chart xmlns:c="http://schemas.openxmlformats.org/drawingml/2006/chart" xmlns:r="http://schemas.openxmlformats.org/officeDocument/2006/relationships" r:id="rId2"/>
            </a:graphicData>
          </a:graphic>
        </xdr:graphicFrame>
      </xdr:grpSp>
      <xdr:sp macro="" textlink="$B$2">
        <xdr:nvSpPr>
          <xdr:cNvPr id="48" name="TextBox 47">
            <a:extLst>
              <a:ext uri="{FF2B5EF4-FFF2-40B4-BE49-F238E27FC236}">
                <a16:creationId xmlns:a16="http://schemas.microsoft.com/office/drawing/2014/main" id="{00000000-0008-0000-0300-000030000000}"/>
              </a:ext>
            </a:extLst>
          </xdr:cNvPr>
          <xdr:cNvSpPr txBox="1"/>
        </xdr:nvSpPr>
        <xdr:spPr>
          <a:xfrm>
            <a:off x="16954500" y="1360840"/>
            <a:ext cx="1051560"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85A0C6A-62A9-46A5-AE47-68973C17C91D}" type="TxLink">
              <a:rPr lang="en-US" sz="1400" b="0" i="0" u="none" strike="noStrike">
                <a:solidFill>
                  <a:schemeClr val="bg1"/>
                </a:solidFill>
                <a:latin typeface="Calibri"/>
                <a:cs typeface="Calibri"/>
              </a:rPr>
              <a:pPr algn="ctr"/>
              <a:t>1350</a:t>
            </a:fld>
            <a:endParaRPr lang="en-US" sz="1400">
              <a:solidFill>
                <a:schemeClr val="bg1"/>
              </a:solidFill>
            </a:endParaRPr>
          </a:p>
        </xdr:txBody>
      </xdr:sp>
    </xdr:grpSp>
    <xdr:clientData/>
  </xdr:twoCellAnchor>
  <xdr:twoCellAnchor editAs="absolute">
    <xdr:from>
      <xdr:col>15</xdr:col>
      <xdr:colOff>364435</xdr:colOff>
      <xdr:row>0</xdr:row>
      <xdr:rowOff>115616</xdr:rowOff>
    </xdr:from>
    <xdr:to>
      <xdr:col>23</xdr:col>
      <xdr:colOff>264920</xdr:colOff>
      <xdr:row>7</xdr:row>
      <xdr:rowOff>161071</xdr:rowOff>
    </xdr:to>
    <xdr:grpSp>
      <xdr:nvGrpSpPr>
        <xdr:cNvPr id="51" name="Group 50">
          <a:extLst>
            <a:ext uri="{FF2B5EF4-FFF2-40B4-BE49-F238E27FC236}">
              <a16:creationId xmlns:a16="http://schemas.microsoft.com/office/drawing/2014/main" id="{00000000-0008-0000-0300-000033000000}"/>
            </a:ext>
          </a:extLst>
        </xdr:cNvPr>
        <xdr:cNvGrpSpPr>
          <a:grpSpLocks/>
        </xdr:cNvGrpSpPr>
      </xdr:nvGrpSpPr>
      <xdr:grpSpPr>
        <a:xfrm>
          <a:off x="10206935" y="115616"/>
          <a:ext cx="3964485" cy="2479622"/>
          <a:chOff x="15346680" y="297180"/>
          <a:chExt cx="4267199" cy="2601219"/>
        </a:xfrm>
      </xdr:grpSpPr>
      <xdr:grpSp>
        <xdr:nvGrpSpPr>
          <xdr:cNvPr id="52" name="Group 51">
            <a:extLst>
              <a:ext uri="{FF2B5EF4-FFF2-40B4-BE49-F238E27FC236}">
                <a16:creationId xmlns:a16="http://schemas.microsoft.com/office/drawing/2014/main" id="{00000000-0008-0000-0300-000034000000}"/>
              </a:ext>
            </a:extLst>
          </xdr:cNvPr>
          <xdr:cNvGrpSpPr/>
        </xdr:nvGrpSpPr>
        <xdr:grpSpPr>
          <a:xfrm>
            <a:off x="15346680" y="297180"/>
            <a:ext cx="4267199" cy="2601219"/>
            <a:chOff x="13217238" y="4184074"/>
            <a:chExt cx="5570220" cy="3302923"/>
          </a:xfrm>
        </xdr:grpSpPr>
        <xdr:sp macro="" textlink="">
          <xdr:nvSpPr>
            <xdr:cNvPr id="54" name="Oval 53">
              <a:extLst>
                <a:ext uri="{FF2B5EF4-FFF2-40B4-BE49-F238E27FC236}">
                  <a16:creationId xmlns:a16="http://schemas.microsoft.com/office/drawing/2014/main" id="{00000000-0008-0000-0300-000036000000}"/>
                </a:ext>
              </a:extLst>
            </xdr:cNvPr>
            <xdr:cNvSpPr/>
          </xdr:nvSpPr>
          <xdr:spPr>
            <a:xfrm>
              <a:off x="14771716" y="4891348"/>
              <a:ext cx="2529840" cy="2394759"/>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55" name="Chart 54">
              <a:extLst>
                <a:ext uri="{FF2B5EF4-FFF2-40B4-BE49-F238E27FC236}">
                  <a16:creationId xmlns:a16="http://schemas.microsoft.com/office/drawing/2014/main" id="{00000000-0008-0000-0300-000037000000}"/>
                </a:ext>
              </a:extLst>
            </xdr:cNvPr>
            <xdr:cNvGraphicFramePr>
              <a:graphicFrameLocks noChangeAspect="1"/>
            </xdr:cNvGraphicFramePr>
          </xdr:nvGraphicFramePr>
          <xdr:xfrm>
            <a:off x="13217238" y="4184074"/>
            <a:ext cx="5570220" cy="3302923"/>
          </xdr:xfrm>
          <a:graphic>
            <a:graphicData uri="http://schemas.openxmlformats.org/drawingml/2006/chart">
              <c:chart xmlns:c="http://schemas.openxmlformats.org/drawingml/2006/chart" xmlns:r="http://schemas.openxmlformats.org/officeDocument/2006/relationships" r:id="rId3"/>
            </a:graphicData>
          </a:graphic>
        </xdr:graphicFrame>
      </xdr:grpSp>
      <xdr:sp macro="" textlink="$B$3">
        <xdr:nvSpPr>
          <xdr:cNvPr id="53" name="TextBox 52">
            <a:extLst>
              <a:ext uri="{FF2B5EF4-FFF2-40B4-BE49-F238E27FC236}">
                <a16:creationId xmlns:a16="http://schemas.microsoft.com/office/drawing/2014/main" id="{00000000-0008-0000-0300-000035000000}"/>
              </a:ext>
            </a:extLst>
          </xdr:cNvPr>
          <xdr:cNvSpPr txBox="1"/>
        </xdr:nvSpPr>
        <xdr:spPr>
          <a:xfrm>
            <a:off x="16954500" y="1360840"/>
            <a:ext cx="1051560"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D7E66D2-57E7-438B-812C-4433BEF53478}" type="TxLink">
              <a:rPr lang="en-US" sz="1400" b="0" i="0" u="none" strike="noStrike">
                <a:solidFill>
                  <a:schemeClr val="bg1"/>
                </a:solidFill>
                <a:latin typeface="Calibri"/>
                <a:cs typeface="Calibri"/>
              </a:rPr>
              <a:pPr algn="ctr"/>
              <a:t>2262</a:t>
            </a:fld>
            <a:endParaRPr lang="en-US" sz="1400">
              <a:solidFill>
                <a:schemeClr val="bg1"/>
              </a:solidFill>
            </a:endParaRPr>
          </a:p>
        </xdr:txBody>
      </xdr:sp>
    </xdr:grpSp>
    <xdr:clientData/>
  </xdr:twoCellAnchor>
  <xdr:twoCellAnchor editAs="absolute">
    <xdr:from>
      <xdr:col>12</xdr:col>
      <xdr:colOff>298174</xdr:colOff>
      <xdr:row>6</xdr:row>
      <xdr:rowOff>127859</xdr:rowOff>
    </xdr:from>
    <xdr:to>
      <xdr:col>19</xdr:col>
      <xdr:colOff>48828</xdr:colOff>
      <xdr:row>13</xdr:row>
      <xdr:rowOff>202473</xdr:rowOff>
    </xdr:to>
    <xdr:grpSp>
      <xdr:nvGrpSpPr>
        <xdr:cNvPr id="61" name="Group 60">
          <a:extLst>
            <a:ext uri="{FF2B5EF4-FFF2-40B4-BE49-F238E27FC236}">
              <a16:creationId xmlns:a16="http://schemas.microsoft.com/office/drawing/2014/main" id="{00000000-0008-0000-0300-00003D000000}"/>
            </a:ext>
          </a:extLst>
        </xdr:cNvPr>
        <xdr:cNvGrpSpPr>
          <a:grpSpLocks/>
        </xdr:cNvGrpSpPr>
      </xdr:nvGrpSpPr>
      <xdr:grpSpPr>
        <a:xfrm>
          <a:off x="8362674" y="2128109"/>
          <a:ext cx="3899321" cy="2434697"/>
          <a:chOff x="15346680" y="297180"/>
          <a:chExt cx="4267199" cy="2601219"/>
        </a:xfrm>
      </xdr:grpSpPr>
      <xdr:grpSp>
        <xdr:nvGrpSpPr>
          <xdr:cNvPr id="62" name="Group 61">
            <a:extLst>
              <a:ext uri="{FF2B5EF4-FFF2-40B4-BE49-F238E27FC236}">
                <a16:creationId xmlns:a16="http://schemas.microsoft.com/office/drawing/2014/main" id="{00000000-0008-0000-0300-00003E000000}"/>
              </a:ext>
            </a:extLst>
          </xdr:cNvPr>
          <xdr:cNvGrpSpPr/>
        </xdr:nvGrpSpPr>
        <xdr:grpSpPr>
          <a:xfrm>
            <a:off x="15346680" y="297180"/>
            <a:ext cx="4267199" cy="2601219"/>
            <a:chOff x="13217238" y="4184074"/>
            <a:chExt cx="5570220" cy="3302923"/>
          </a:xfrm>
        </xdr:grpSpPr>
        <xdr:sp macro="" textlink="">
          <xdr:nvSpPr>
            <xdr:cNvPr id="64" name="Oval 63">
              <a:extLst>
                <a:ext uri="{FF2B5EF4-FFF2-40B4-BE49-F238E27FC236}">
                  <a16:creationId xmlns:a16="http://schemas.microsoft.com/office/drawing/2014/main" id="{00000000-0008-0000-0300-000040000000}"/>
                </a:ext>
              </a:extLst>
            </xdr:cNvPr>
            <xdr:cNvSpPr/>
          </xdr:nvSpPr>
          <xdr:spPr>
            <a:xfrm>
              <a:off x="14771716" y="4891348"/>
              <a:ext cx="2529840" cy="2394759"/>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65" name="Chart 64">
              <a:extLst>
                <a:ext uri="{FF2B5EF4-FFF2-40B4-BE49-F238E27FC236}">
                  <a16:creationId xmlns:a16="http://schemas.microsoft.com/office/drawing/2014/main" id="{00000000-0008-0000-0300-000041000000}"/>
                </a:ext>
              </a:extLst>
            </xdr:cNvPr>
            <xdr:cNvGraphicFramePr>
              <a:graphicFrameLocks noChangeAspect="1"/>
            </xdr:cNvGraphicFramePr>
          </xdr:nvGraphicFramePr>
          <xdr:xfrm>
            <a:off x="13217238" y="4184074"/>
            <a:ext cx="5570220" cy="3302923"/>
          </xdr:xfrm>
          <a:graphic>
            <a:graphicData uri="http://schemas.openxmlformats.org/drawingml/2006/chart">
              <c:chart xmlns:c="http://schemas.openxmlformats.org/drawingml/2006/chart" xmlns:r="http://schemas.openxmlformats.org/officeDocument/2006/relationships" r:id="rId4"/>
            </a:graphicData>
          </a:graphic>
        </xdr:graphicFrame>
      </xdr:grpSp>
      <xdr:sp macro="" textlink="$B$2">
        <xdr:nvSpPr>
          <xdr:cNvPr id="63" name="TextBox 62">
            <a:extLst>
              <a:ext uri="{FF2B5EF4-FFF2-40B4-BE49-F238E27FC236}">
                <a16:creationId xmlns:a16="http://schemas.microsoft.com/office/drawing/2014/main" id="{00000000-0008-0000-0300-00003F000000}"/>
              </a:ext>
            </a:extLst>
          </xdr:cNvPr>
          <xdr:cNvSpPr txBox="1"/>
        </xdr:nvSpPr>
        <xdr:spPr>
          <a:xfrm>
            <a:off x="16954500" y="1360840"/>
            <a:ext cx="1051560"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85A0C6A-62A9-46A5-AE47-68973C17C91D}" type="TxLink">
              <a:rPr lang="en-US" sz="1600" b="0" i="0" u="none" strike="noStrike">
                <a:solidFill>
                  <a:schemeClr val="bg1"/>
                </a:solidFill>
                <a:latin typeface="Calibri"/>
                <a:cs typeface="Calibri"/>
              </a:rPr>
              <a:pPr algn="ctr"/>
              <a:t>1350</a:t>
            </a:fld>
            <a:endParaRPr lang="en-US" sz="1600">
              <a:solidFill>
                <a:schemeClr val="bg1"/>
              </a:solidFill>
            </a:endParaRPr>
          </a:p>
        </xdr:txBody>
      </xdr:sp>
    </xdr:grpSp>
    <xdr:clientData/>
  </xdr:twoCellAnchor>
  <xdr:twoCellAnchor editAs="absolute">
    <xdr:from>
      <xdr:col>8</xdr:col>
      <xdr:colOff>804866</xdr:colOff>
      <xdr:row>6</xdr:row>
      <xdr:rowOff>122889</xdr:rowOff>
    </xdr:from>
    <xdr:to>
      <xdr:col>15</xdr:col>
      <xdr:colOff>565663</xdr:colOff>
      <xdr:row>13</xdr:row>
      <xdr:rowOff>197503</xdr:rowOff>
    </xdr:to>
    <xdr:grpSp>
      <xdr:nvGrpSpPr>
        <xdr:cNvPr id="66" name="Group 65">
          <a:extLst>
            <a:ext uri="{FF2B5EF4-FFF2-40B4-BE49-F238E27FC236}">
              <a16:creationId xmlns:a16="http://schemas.microsoft.com/office/drawing/2014/main" id="{00000000-0008-0000-0300-000042000000}"/>
            </a:ext>
          </a:extLst>
        </xdr:cNvPr>
        <xdr:cNvGrpSpPr>
          <a:grpSpLocks/>
        </xdr:cNvGrpSpPr>
      </xdr:nvGrpSpPr>
      <xdr:grpSpPr>
        <a:xfrm>
          <a:off x="6445783" y="2123139"/>
          <a:ext cx="3962380" cy="2434697"/>
          <a:chOff x="15346680" y="297180"/>
          <a:chExt cx="4267199" cy="2601219"/>
        </a:xfrm>
      </xdr:grpSpPr>
      <xdr:grpSp>
        <xdr:nvGrpSpPr>
          <xdr:cNvPr id="67" name="Group 66">
            <a:extLst>
              <a:ext uri="{FF2B5EF4-FFF2-40B4-BE49-F238E27FC236}">
                <a16:creationId xmlns:a16="http://schemas.microsoft.com/office/drawing/2014/main" id="{00000000-0008-0000-0300-000043000000}"/>
              </a:ext>
            </a:extLst>
          </xdr:cNvPr>
          <xdr:cNvGrpSpPr/>
        </xdr:nvGrpSpPr>
        <xdr:grpSpPr>
          <a:xfrm>
            <a:off x="15346680" y="297180"/>
            <a:ext cx="4267199" cy="2601219"/>
            <a:chOff x="13217238" y="4184074"/>
            <a:chExt cx="5570220" cy="3302923"/>
          </a:xfrm>
        </xdr:grpSpPr>
        <xdr:sp macro="" textlink="">
          <xdr:nvSpPr>
            <xdr:cNvPr id="69" name="Oval 68">
              <a:extLst>
                <a:ext uri="{FF2B5EF4-FFF2-40B4-BE49-F238E27FC236}">
                  <a16:creationId xmlns:a16="http://schemas.microsoft.com/office/drawing/2014/main" id="{00000000-0008-0000-0300-000045000000}"/>
                </a:ext>
              </a:extLst>
            </xdr:cNvPr>
            <xdr:cNvSpPr/>
          </xdr:nvSpPr>
          <xdr:spPr>
            <a:xfrm>
              <a:off x="14771716" y="4891348"/>
              <a:ext cx="2529840" cy="2394759"/>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70" name="Chart 69">
              <a:extLst>
                <a:ext uri="{FF2B5EF4-FFF2-40B4-BE49-F238E27FC236}">
                  <a16:creationId xmlns:a16="http://schemas.microsoft.com/office/drawing/2014/main" id="{00000000-0008-0000-0300-000046000000}"/>
                </a:ext>
              </a:extLst>
            </xdr:cNvPr>
            <xdr:cNvGraphicFramePr>
              <a:graphicFrameLocks noChangeAspect="1"/>
            </xdr:cNvGraphicFramePr>
          </xdr:nvGraphicFramePr>
          <xdr:xfrm>
            <a:off x="13217238" y="4184074"/>
            <a:ext cx="5570220" cy="3302923"/>
          </xdr:xfrm>
          <a:graphic>
            <a:graphicData uri="http://schemas.openxmlformats.org/drawingml/2006/chart">
              <c:chart xmlns:c="http://schemas.openxmlformats.org/drawingml/2006/chart" xmlns:r="http://schemas.openxmlformats.org/officeDocument/2006/relationships" r:id="rId5"/>
            </a:graphicData>
          </a:graphic>
        </xdr:graphicFrame>
      </xdr:grpSp>
      <xdr:sp macro="" textlink="$B$1">
        <xdr:nvSpPr>
          <xdr:cNvPr id="68" name="TextBox 67">
            <a:extLst>
              <a:ext uri="{FF2B5EF4-FFF2-40B4-BE49-F238E27FC236}">
                <a16:creationId xmlns:a16="http://schemas.microsoft.com/office/drawing/2014/main" id="{00000000-0008-0000-0300-000044000000}"/>
              </a:ext>
            </a:extLst>
          </xdr:cNvPr>
          <xdr:cNvSpPr txBox="1"/>
        </xdr:nvSpPr>
        <xdr:spPr>
          <a:xfrm>
            <a:off x="16954500" y="1360840"/>
            <a:ext cx="1051560"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D0D36C1-6736-4A32-8FD9-540A234C7993}" type="TxLink">
              <a:rPr lang="en-US" sz="1600" b="0" i="0" u="none" strike="noStrike">
                <a:solidFill>
                  <a:schemeClr val="bg1"/>
                </a:solidFill>
                <a:latin typeface="Calibri"/>
                <a:cs typeface="Calibri"/>
              </a:rPr>
              <a:pPr algn="ctr"/>
              <a:t>316</a:t>
            </a:fld>
            <a:endParaRPr lang="en-US" sz="1600">
              <a:solidFill>
                <a:schemeClr val="bg1"/>
              </a:solidFill>
            </a:endParaRPr>
          </a:p>
        </xdr:txBody>
      </xdr:sp>
    </xdr:grpSp>
    <xdr:clientData/>
  </xdr:twoCellAnchor>
  <xdr:twoCellAnchor editAs="absolute">
    <xdr:from>
      <xdr:col>15</xdr:col>
      <xdr:colOff>389283</xdr:colOff>
      <xdr:row>6</xdr:row>
      <xdr:rowOff>139197</xdr:rowOff>
    </xdr:from>
    <xdr:to>
      <xdr:col>23</xdr:col>
      <xdr:colOff>289768</xdr:colOff>
      <xdr:row>13</xdr:row>
      <xdr:rowOff>213811</xdr:rowOff>
    </xdr:to>
    <xdr:grpSp>
      <xdr:nvGrpSpPr>
        <xdr:cNvPr id="71" name="Group 70">
          <a:extLst>
            <a:ext uri="{FF2B5EF4-FFF2-40B4-BE49-F238E27FC236}">
              <a16:creationId xmlns:a16="http://schemas.microsoft.com/office/drawing/2014/main" id="{00000000-0008-0000-0300-000047000000}"/>
            </a:ext>
          </a:extLst>
        </xdr:cNvPr>
        <xdr:cNvGrpSpPr>
          <a:grpSpLocks/>
        </xdr:cNvGrpSpPr>
      </xdr:nvGrpSpPr>
      <xdr:grpSpPr>
        <a:xfrm>
          <a:off x="10231783" y="2139447"/>
          <a:ext cx="3964485" cy="2434697"/>
          <a:chOff x="15346680" y="297180"/>
          <a:chExt cx="4267199" cy="2601219"/>
        </a:xfrm>
      </xdr:grpSpPr>
      <xdr:grpSp>
        <xdr:nvGrpSpPr>
          <xdr:cNvPr id="72" name="Group 71">
            <a:extLst>
              <a:ext uri="{FF2B5EF4-FFF2-40B4-BE49-F238E27FC236}">
                <a16:creationId xmlns:a16="http://schemas.microsoft.com/office/drawing/2014/main" id="{00000000-0008-0000-0300-000048000000}"/>
              </a:ext>
            </a:extLst>
          </xdr:cNvPr>
          <xdr:cNvGrpSpPr/>
        </xdr:nvGrpSpPr>
        <xdr:grpSpPr>
          <a:xfrm>
            <a:off x="15346680" y="297180"/>
            <a:ext cx="4267199" cy="2601219"/>
            <a:chOff x="13217238" y="4184074"/>
            <a:chExt cx="5570220" cy="3302923"/>
          </a:xfrm>
        </xdr:grpSpPr>
        <xdr:sp macro="" textlink="">
          <xdr:nvSpPr>
            <xdr:cNvPr id="74" name="Oval 73">
              <a:extLst>
                <a:ext uri="{FF2B5EF4-FFF2-40B4-BE49-F238E27FC236}">
                  <a16:creationId xmlns:a16="http://schemas.microsoft.com/office/drawing/2014/main" id="{00000000-0008-0000-0300-00004A000000}"/>
                </a:ext>
              </a:extLst>
            </xdr:cNvPr>
            <xdr:cNvSpPr/>
          </xdr:nvSpPr>
          <xdr:spPr>
            <a:xfrm>
              <a:off x="14771716" y="4891348"/>
              <a:ext cx="2529840" cy="2394759"/>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75" name="Chart 74">
              <a:extLst>
                <a:ext uri="{FF2B5EF4-FFF2-40B4-BE49-F238E27FC236}">
                  <a16:creationId xmlns:a16="http://schemas.microsoft.com/office/drawing/2014/main" id="{00000000-0008-0000-0300-00004B000000}"/>
                </a:ext>
              </a:extLst>
            </xdr:cNvPr>
            <xdr:cNvGraphicFramePr>
              <a:graphicFrameLocks noChangeAspect="1"/>
            </xdr:cNvGraphicFramePr>
          </xdr:nvGraphicFramePr>
          <xdr:xfrm>
            <a:off x="13217238" y="4184074"/>
            <a:ext cx="5570220" cy="3302923"/>
          </xdr:xfrm>
          <a:graphic>
            <a:graphicData uri="http://schemas.openxmlformats.org/drawingml/2006/chart">
              <c:chart xmlns:c="http://schemas.openxmlformats.org/drawingml/2006/chart" xmlns:r="http://schemas.openxmlformats.org/officeDocument/2006/relationships" r:id="rId6"/>
            </a:graphicData>
          </a:graphic>
        </xdr:graphicFrame>
      </xdr:grpSp>
      <xdr:sp macro="" textlink="$B$3">
        <xdr:nvSpPr>
          <xdr:cNvPr id="73" name="TextBox 72">
            <a:extLst>
              <a:ext uri="{FF2B5EF4-FFF2-40B4-BE49-F238E27FC236}">
                <a16:creationId xmlns:a16="http://schemas.microsoft.com/office/drawing/2014/main" id="{00000000-0008-0000-0300-000049000000}"/>
              </a:ext>
            </a:extLst>
          </xdr:cNvPr>
          <xdr:cNvSpPr txBox="1"/>
        </xdr:nvSpPr>
        <xdr:spPr>
          <a:xfrm>
            <a:off x="16954500" y="1360840"/>
            <a:ext cx="1051560"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D7E66D2-57E7-438B-812C-4433BEF53478}" type="TxLink">
              <a:rPr lang="en-US" sz="1400" b="0" i="0" u="none" strike="noStrike">
                <a:solidFill>
                  <a:schemeClr val="bg1"/>
                </a:solidFill>
                <a:latin typeface="Calibri"/>
                <a:cs typeface="Calibri"/>
              </a:rPr>
              <a:pPr algn="ctr"/>
              <a:t>2262</a:t>
            </a:fld>
            <a:endParaRPr lang="en-US" sz="1400">
              <a:solidFill>
                <a:schemeClr val="bg1"/>
              </a:solidFill>
            </a:endParaRPr>
          </a:p>
        </xdr:txBody>
      </xdr:sp>
    </xdr:grpSp>
    <xdr:clientData/>
  </xdr:twoCellAnchor>
  <xdr:twoCellAnchor editAs="absolute">
    <xdr:from>
      <xdr:col>8</xdr:col>
      <xdr:colOff>791614</xdr:colOff>
      <xdr:row>12</xdr:row>
      <xdr:rowOff>10318</xdr:rowOff>
    </xdr:from>
    <xdr:to>
      <xdr:col>15</xdr:col>
      <xdr:colOff>552411</xdr:colOff>
      <xdr:row>22</xdr:row>
      <xdr:rowOff>88399</xdr:rowOff>
    </xdr:to>
    <xdr:grpSp>
      <xdr:nvGrpSpPr>
        <xdr:cNvPr id="76" name="Group 75">
          <a:extLst>
            <a:ext uri="{FF2B5EF4-FFF2-40B4-BE49-F238E27FC236}">
              <a16:creationId xmlns:a16="http://schemas.microsoft.com/office/drawing/2014/main" id="{00000000-0008-0000-0300-00004C000000}"/>
            </a:ext>
          </a:extLst>
        </xdr:cNvPr>
        <xdr:cNvGrpSpPr>
          <a:grpSpLocks/>
        </xdr:cNvGrpSpPr>
      </xdr:nvGrpSpPr>
      <xdr:grpSpPr>
        <a:xfrm>
          <a:off x="6432531" y="4106068"/>
          <a:ext cx="3962380" cy="2522831"/>
          <a:chOff x="15346680" y="297180"/>
          <a:chExt cx="4267199" cy="2601219"/>
        </a:xfrm>
      </xdr:grpSpPr>
      <xdr:grpSp>
        <xdr:nvGrpSpPr>
          <xdr:cNvPr id="77" name="Group 76">
            <a:extLst>
              <a:ext uri="{FF2B5EF4-FFF2-40B4-BE49-F238E27FC236}">
                <a16:creationId xmlns:a16="http://schemas.microsoft.com/office/drawing/2014/main" id="{00000000-0008-0000-0300-00004D000000}"/>
              </a:ext>
            </a:extLst>
          </xdr:cNvPr>
          <xdr:cNvGrpSpPr/>
        </xdr:nvGrpSpPr>
        <xdr:grpSpPr>
          <a:xfrm>
            <a:off x="15346680" y="297180"/>
            <a:ext cx="4267199" cy="2601219"/>
            <a:chOff x="13217238" y="4184074"/>
            <a:chExt cx="5570220" cy="3302923"/>
          </a:xfrm>
        </xdr:grpSpPr>
        <xdr:sp macro="" textlink="">
          <xdr:nvSpPr>
            <xdr:cNvPr id="79" name="Oval 78">
              <a:extLst>
                <a:ext uri="{FF2B5EF4-FFF2-40B4-BE49-F238E27FC236}">
                  <a16:creationId xmlns:a16="http://schemas.microsoft.com/office/drawing/2014/main" id="{00000000-0008-0000-0300-00004F000000}"/>
                </a:ext>
              </a:extLst>
            </xdr:cNvPr>
            <xdr:cNvSpPr/>
          </xdr:nvSpPr>
          <xdr:spPr>
            <a:xfrm>
              <a:off x="14771716" y="4891348"/>
              <a:ext cx="2529840" cy="2394759"/>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80" name="Chart 79">
              <a:extLst>
                <a:ext uri="{FF2B5EF4-FFF2-40B4-BE49-F238E27FC236}">
                  <a16:creationId xmlns:a16="http://schemas.microsoft.com/office/drawing/2014/main" id="{00000000-0008-0000-0300-000050000000}"/>
                </a:ext>
              </a:extLst>
            </xdr:cNvPr>
            <xdr:cNvGraphicFramePr>
              <a:graphicFrameLocks noChangeAspect="1"/>
            </xdr:cNvGraphicFramePr>
          </xdr:nvGraphicFramePr>
          <xdr:xfrm>
            <a:off x="13217238" y="4184074"/>
            <a:ext cx="5570220" cy="3302923"/>
          </xdr:xfrm>
          <a:graphic>
            <a:graphicData uri="http://schemas.openxmlformats.org/drawingml/2006/chart">
              <c:chart xmlns:c="http://schemas.openxmlformats.org/drawingml/2006/chart" xmlns:r="http://schemas.openxmlformats.org/officeDocument/2006/relationships" r:id="rId7"/>
            </a:graphicData>
          </a:graphic>
        </xdr:graphicFrame>
      </xdr:grpSp>
      <xdr:sp macro="" textlink="$B$1">
        <xdr:nvSpPr>
          <xdr:cNvPr id="78" name="TextBox 77">
            <a:extLst>
              <a:ext uri="{FF2B5EF4-FFF2-40B4-BE49-F238E27FC236}">
                <a16:creationId xmlns:a16="http://schemas.microsoft.com/office/drawing/2014/main" id="{00000000-0008-0000-0300-00004E000000}"/>
              </a:ext>
            </a:extLst>
          </xdr:cNvPr>
          <xdr:cNvSpPr txBox="1"/>
        </xdr:nvSpPr>
        <xdr:spPr>
          <a:xfrm>
            <a:off x="16954500" y="1360840"/>
            <a:ext cx="1051560"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D0D36C1-6736-4A32-8FD9-540A234C7993}" type="TxLink">
              <a:rPr lang="en-US" sz="1600" b="0" i="0" u="none" strike="noStrike">
                <a:solidFill>
                  <a:schemeClr val="bg1"/>
                </a:solidFill>
                <a:latin typeface="Calibri"/>
                <a:cs typeface="Calibri"/>
              </a:rPr>
              <a:pPr algn="ctr"/>
              <a:t>316</a:t>
            </a:fld>
            <a:endParaRPr lang="en-US" sz="1600">
              <a:solidFill>
                <a:schemeClr val="bg1"/>
              </a:solidFill>
            </a:endParaRPr>
          </a:p>
        </xdr:txBody>
      </xdr:sp>
    </xdr:grpSp>
    <xdr:clientData/>
  </xdr:twoCellAnchor>
  <xdr:twoCellAnchor editAs="absolute">
    <xdr:from>
      <xdr:col>12</xdr:col>
      <xdr:colOff>301487</xdr:colOff>
      <xdr:row>12</xdr:row>
      <xdr:rowOff>7006</xdr:rowOff>
    </xdr:from>
    <xdr:to>
      <xdr:col>19</xdr:col>
      <xdr:colOff>52141</xdr:colOff>
      <xdr:row>22</xdr:row>
      <xdr:rowOff>85087</xdr:rowOff>
    </xdr:to>
    <xdr:grpSp>
      <xdr:nvGrpSpPr>
        <xdr:cNvPr id="81" name="Group 80">
          <a:extLst>
            <a:ext uri="{FF2B5EF4-FFF2-40B4-BE49-F238E27FC236}">
              <a16:creationId xmlns:a16="http://schemas.microsoft.com/office/drawing/2014/main" id="{00000000-0008-0000-0300-000051000000}"/>
            </a:ext>
          </a:extLst>
        </xdr:cNvPr>
        <xdr:cNvGrpSpPr>
          <a:grpSpLocks/>
        </xdr:cNvGrpSpPr>
      </xdr:nvGrpSpPr>
      <xdr:grpSpPr>
        <a:xfrm>
          <a:off x="8365987" y="4102756"/>
          <a:ext cx="3899321" cy="2522831"/>
          <a:chOff x="15346680" y="297180"/>
          <a:chExt cx="4267199" cy="2601219"/>
        </a:xfrm>
      </xdr:grpSpPr>
      <xdr:grpSp>
        <xdr:nvGrpSpPr>
          <xdr:cNvPr id="82" name="Group 81">
            <a:extLst>
              <a:ext uri="{FF2B5EF4-FFF2-40B4-BE49-F238E27FC236}">
                <a16:creationId xmlns:a16="http://schemas.microsoft.com/office/drawing/2014/main" id="{00000000-0008-0000-0300-000052000000}"/>
              </a:ext>
            </a:extLst>
          </xdr:cNvPr>
          <xdr:cNvGrpSpPr/>
        </xdr:nvGrpSpPr>
        <xdr:grpSpPr>
          <a:xfrm>
            <a:off x="15346680" y="297180"/>
            <a:ext cx="4267199" cy="2601219"/>
            <a:chOff x="13217238" y="4184074"/>
            <a:chExt cx="5570220" cy="3302923"/>
          </a:xfrm>
        </xdr:grpSpPr>
        <xdr:sp macro="" textlink="">
          <xdr:nvSpPr>
            <xdr:cNvPr id="84" name="Oval 83">
              <a:extLst>
                <a:ext uri="{FF2B5EF4-FFF2-40B4-BE49-F238E27FC236}">
                  <a16:creationId xmlns:a16="http://schemas.microsoft.com/office/drawing/2014/main" id="{00000000-0008-0000-0300-000054000000}"/>
                </a:ext>
              </a:extLst>
            </xdr:cNvPr>
            <xdr:cNvSpPr/>
          </xdr:nvSpPr>
          <xdr:spPr>
            <a:xfrm>
              <a:off x="14771716" y="4891348"/>
              <a:ext cx="2529840" cy="2394759"/>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85" name="Chart 84">
              <a:extLst>
                <a:ext uri="{FF2B5EF4-FFF2-40B4-BE49-F238E27FC236}">
                  <a16:creationId xmlns:a16="http://schemas.microsoft.com/office/drawing/2014/main" id="{00000000-0008-0000-0300-000055000000}"/>
                </a:ext>
              </a:extLst>
            </xdr:cNvPr>
            <xdr:cNvGraphicFramePr>
              <a:graphicFrameLocks noChangeAspect="1"/>
            </xdr:cNvGraphicFramePr>
          </xdr:nvGraphicFramePr>
          <xdr:xfrm>
            <a:off x="13217238" y="4184074"/>
            <a:ext cx="5570220" cy="3302923"/>
          </xdr:xfrm>
          <a:graphic>
            <a:graphicData uri="http://schemas.openxmlformats.org/drawingml/2006/chart">
              <c:chart xmlns:c="http://schemas.openxmlformats.org/drawingml/2006/chart" xmlns:r="http://schemas.openxmlformats.org/officeDocument/2006/relationships" r:id="rId8"/>
            </a:graphicData>
          </a:graphic>
        </xdr:graphicFrame>
      </xdr:grpSp>
      <xdr:sp macro="" textlink="$B$2">
        <xdr:nvSpPr>
          <xdr:cNvPr id="83" name="TextBox 82">
            <a:extLst>
              <a:ext uri="{FF2B5EF4-FFF2-40B4-BE49-F238E27FC236}">
                <a16:creationId xmlns:a16="http://schemas.microsoft.com/office/drawing/2014/main" id="{00000000-0008-0000-0300-000053000000}"/>
              </a:ext>
            </a:extLst>
          </xdr:cNvPr>
          <xdr:cNvSpPr txBox="1"/>
        </xdr:nvSpPr>
        <xdr:spPr>
          <a:xfrm>
            <a:off x="16954500" y="1360840"/>
            <a:ext cx="1051560"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85A0C6A-62A9-46A5-AE47-68973C17C91D}" type="TxLink">
              <a:rPr lang="en-US" sz="1600" b="0" i="0" u="none" strike="noStrike">
                <a:solidFill>
                  <a:schemeClr val="bg1"/>
                </a:solidFill>
                <a:latin typeface="Calibri"/>
                <a:cs typeface="Calibri"/>
              </a:rPr>
              <a:pPr algn="ctr"/>
              <a:t>1350</a:t>
            </a:fld>
            <a:endParaRPr lang="en-US" sz="1600">
              <a:solidFill>
                <a:schemeClr val="bg1"/>
              </a:solidFill>
            </a:endParaRPr>
          </a:p>
        </xdr:txBody>
      </xdr:sp>
    </xdr:grpSp>
    <xdr:clientData/>
  </xdr:twoCellAnchor>
  <xdr:twoCellAnchor editAs="absolute">
    <xdr:from>
      <xdr:col>15</xdr:col>
      <xdr:colOff>384314</xdr:colOff>
      <xdr:row>12</xdr:row>
      <xdr:rowOff>15287</xdr:rowOff>
    </xdr:from>
    <xdr:to>
      <xdr:col>23</xdr:col>
      <xdr:colOff>284799</xdr:colOff>
      <xdr:row>22</xdr:row>
      <xdr:rowOff>93368</xdr:rowOff>
    </xdr:to>
    <xdr:grpSp>
      <xdr:nvGrpSpPr>
        <xdr:cNvPr id="91" name="Group 90">
          <a:extLst>
            <a:ext uri="{FF2B5EF4-FFF2-40B4-BE49-F238E27FC236}">
              <a16:creationId xmlns:a16="http://schemas.microsoft.com/office/drawing/2014/main" id="{00000000-0008-0000-0300-00005B000000}"/>
            </a:ext>
          </a:extLst>
        </xdr:cNvPr>
        <xdr:cNvGrpSpPr>
          <a:grpSpLocks/>
        </xdr:cNvGrpSpPr>
      </xdr:nvGrpSpPr>
      <xdr:grpSpPr>
        <a:xfrm>
          <a:off x="10226814" y="4111037"/>
          <a:ext cx="3964485" cy="2522831"/>
          <a:chOff x="15346680" y="297180"/>
          <a:chExt cx="4267199" cy="2601219"/>
        </a:xfrm>
      </xdr:grpSpPr>
      <xdr:grpSp>
        <xdr:nvGrpSpPr>
          <xdr:cNvPr id="92" name="Group 91">
            <a:extLst>
              <a:ext uri="{FF2B5EF4-FFF2-40B4-BE49-F238E27FC236}">
                <a16:creationId xmlns:a16="http://schemas.microsoft.com/office/drawing/2014/main" id="{00000000-0008-0000-0300-00005C000000}"/>
              </a:ext>
            </a:extLst>
          </xdr:cNvPr>
          <xdr:cNvGrpSpPr/>
        </xdr:nvGrpSpPr>
        <xdr:grpSpPr>
          <a:xfrm>
            <a:off x="15346680" y="297180"/>
            <a:ext cx="4267199" cy="2601219"/>
            <a:chOff x="13217238" y="4184074"/>
            <a:chExt cx="5570220" cy="3302923"/>
          </a:xfrm>
        </xdr:grpSpPr>
        <xdr:sp macro="" textlink="">
          <xdr:nvSpPr>
            <xdr:cNvPr id="94" name="Oval 93">
              <a:extLst>
                <a:ext uri="{FF2B5EF4-FFF2-40B4-BE49-F238E27FC236}">
                  <a16:creationId xmlns:a16="http://schemas.microsoft.com/office/drawing/2014/main" id="{00000000-0008-0000-0300-00005E000000}"/>
                </a:ext>
              </a:extLst>
            </xdr:cNvPr>
            <xdr:cNvSpPr/>
          </xdr:nvSpPr>
          <xdr:spPr>
            <a:xfrm>
              <a:off x="14771716" y="4891348"/>
              <a:ext cx="2529840" cy="2394759"/>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95" name="Chart 94">
              <a:extLst>
                <a:ext uri="{FF2B5EF4-FFF2-40B4-BE49-F238E27FC236}">
                  <a16:creationId xmlns:a16="http://schemas.microsoft.com/office/drawing/2014/main" id="{00000000-0008-0000-0300-00005F000000}"/>
                </a:ext>
              </a:extLst>
            </xdr:cNvPr>
            <xdr:cNvGraphicFramePr>
              <a:graphicFrameLocks noChangeAspect="1"/>
            </xdr:cNvGraphicFramePr>
          </xdr:nvGraphicFramePr>
          <xdr:xfrm>
            <a:off x="13217238" y="4184074"/>
            <a:ext cx="5570220" cy="3302923"/>
          </xdr:xfrm>
          <a:graphic>
            <a:graphicData uri="http://schemas.openxmlformats.org/drawingml/2006/chart">
              <c:chart xmlns:c="http://schemas.openxmlformats.org/drawingml/2006/chart" xmlns:r="http://schemas.openxmlformats.org/officeDocument/2006/relationships" r:id="rId9"/>
            </a:graphicData>
          </a:graphic>
        </xdr:graphicFrame>
      </xdr:grpSp>
      <xdr:sp macro="" textlink="$B$3">
        <xdr:nvSpPr>
          <xdr:cNvPr id="93" name="TextBox 92">
            <a:extLst>
              <a:ext uri="{FF2B5EF4-FFF2-40B4-BE49-F238E27FC236}">
                <a16:creationId xmlns:a16="http://schemas.microsoft.com/office/drawing/2014/main" id="{00000000-0008-0000-0300-00005D000000}"/>
              </a:ext>
            </a:extLst>
          </xdr:cNvPr>
          <xdr:cNvSpPr txBox="1"/>
        </xdr:nvSpPr>
        <xdr:spPr>
          <a:xfrm>
            <a:off x="16954500" y="1360840"/>
            <a:ext cx="1051560"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D7E66D2-57E7-438B-812C-4433BEF53478}" type="TxLink">
              <a:rPr lang="en-US" sz="1400" b="0" i="0" u="none" strike="noStrike">
                <a:solidFill>
                  <a:schemeClr val="bg1"/>
                </a:solidFill>
                <a:latin typeface="Calibri"/>
                <a:cs typeface="Calibri"/>
              </a:rPr>
              <a:pPr algn="ctr"/>
              <a:t>2262</a:t>
            </a:fld>
            <a:endParaRPr lang="en-US" sz="1400">
              <a:solidFill>
                <a:schemeClr val="bg1"/>
              </a:solidFill>
            </a:endParaRPr>
          </a:p>
        </xdr:txBody>
      </xdr:sp>
    </xdr:grpSp>
    <xdr:clientData/>
  </xdr:twoCellAnchor>
  <xdr:twoCellAnchor editAs="absolute">
    <xdr:from>
      <xdr:col>8</xdr:col>
      <xdr:colOff>803209</xdr:colOff>
      <xdr:row>20</xdr:row>
      <xdr:rowOff>114838</xdr:rowOff>
    </xdr:from>
    <xdr:to>
      <xdr:col>15</xdr:col>
      <xdr:colOff>564006</xdr:colOff>
      <xdr:row>31</xdr:row>
      <xdr:rowOff>12714</xdr:rowOff>
    </xdr:to>
    <xdr:grpSp>
      <xdr:nvGrpSpPr>
        <xdr:cNvPr id="96" name="Group 95">
          <a:extLst>
            <a:ext uri="{FF2B5EF4-FFF2-40B4-BE49-F238E27FC236}">
              <a16:creationId xmlns:a16="http://schemas.microsoft.com/office/drawing/2014/main" id="{00000000-0008-0000-0300-000060000000}"/>
            </a:ext>
          </a:extLst>
        </xdr:cNvPr>
        <xdr:cNvGrpSpPr>
          <a:grpSpLocks/>
        </xdr:cNvGrpSpPr>
      </xdr:nvGrpSpPr>
      <xdr:grpSpPr>
        <a:xfrm>
          <a:off x="6444126" y="6168505"/>
          <a:ext cx="3962380" cy="2554292"/>
          <a:chOff x="15346680" y="297180"/>
          <a:chExt cx="4267199" cy="2601219"/>
        </a:xfrm>
      </xdr:grpSpPr>
      <xdr:grpSp>
        <xdr:nvGrpSpPr>
          <xdr:cNvPr id="97" name="Group 96">
            <a:extLst>
              <a:ext uri="{FF2B5EF4-FFF2-40B4-BE49-F238E27FC236}">
                <a16:creationId xmlns:a16="http://schemas.microsoft.com/office/drawing/2014/main" id="{00000000-0008-0000-0300-000061000000}"/>
              </a:ext>
            </a:extLst>
          </xdr:cNvPr>
          <xdr:cNvGrpSpPr/>
        </xdr:nvGrpSpPr>
        <xdr:grpSpPr>
          <a:xfrm>
            <a:off x="15346680" y="297180"/>
            <a:ext cx="4267199" cy="2601219"/>
            <a:chOff x="13217238" y="4184074"/>
            <a:chExt cx="5570220" cy="3302923"/>
          </a:xfrm>
        </xdr:grpSpPr>
        <xdr:sp macro="" textlink="">
          <xdr:nvSpPr>
            <xdr:cNvPr id="99" name="Oval 98">
              <a:extLst>
                <a:ext uri="{FF2B5EF4-FFF2-40B4-BE49-F238E27FC236}">
                  <a16:creationId xmlns:a16="http://schemas.microsoft.com/office/drawing/2014/main" id="{00000000-0008-0000-0300-000063000000}"/>
                </a:ext>
              </a:extLst>
            </xdr:cNvPr>
            <xdr:cNvSpPr/>
          </xdr:nvSpPr>
          <xdr:spPr>
            <a:xfrm>
              <a:off x="14771716" y="4891348"/>
              <a:ext cx="2529840" cy="2394759"/>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00" name="Chart 99">
              <a:extLst>
                <a:ext uri="{FF2B5EF4-FFF2-40B4-BE49-F238E27FC236}">
                  <a16:creationId xmlns:a16="http://schemas.microsoft.com/office/drawing/2014/main" id="{00000000-0008-0000-0300-000064000000}"/>
                </a:ext>
              </a:extLst>
            </xdr:cNvPr>
            <xdr:cNvGraphicFramePr>
              <a:graphicFrameLocks noChangeAspect="1"/>
            </xdr:cNvGraphicFramePr>
          </xdr:nvGraphicFramePr>
          <xdr:xfrm>
            <a:off x="13217238" y="4184074"/>
            <a:ext cx="5570220" cy="3302923"/>
          </xdr:xfrm>
          <a:graphic>
            <a:graphicData uri="http://schemas.openxmlformats.org/drawingml/2006/chart">
              <c:chart xmlns:c="http://schemas.openxmlformats.org/drawingml/2006/chart" xmlns:r="http://schemas.openxmlformats.org/officeDocument/2006/relationships" r:id="rId10"/>
            </a:graphicData>
          </a:graphic>
        </xdr:graphicFrame>
      </xdr:grpSp>
      <xdr:sp macro="" textlink="$B$1">
        <xdr:nvSpPr>
          <xdr:cNvPr id="98" name="TextBox 97">
            <a:extLst>
              <a:ext uri="{FF2B5EF4-FFF2-40B4-BE49-F238E27FC236}">
                <a16:creationId xmlns:a16="http://schemas.microsoft.com/office/drawing/2014/main" id="{00000000-0008-0000-0300-000062000000}"/>
              </a:ext>
            </a:extLst>
          </xdr:cNvPr>
          <xdr:cNvSpPr txBox="1"/>
        </xdr:nvSpPr>
        <xdr:spPr>
          <a:xfrm>
            <a:off x="16954500" y="1360840"/>
            <a:ext cx="1051560"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D0D36C1-6736-4A32-8FD9-540A234C7993}" type="TxLink">
              <a:rPr lang="en-US" sz="1600" b="0" i="0" u="none" strike="noStrike">
                <a:solidFill>
                  <a:schemeClr val="bg1"/>
                </a:solidFill>
                <a:latin typeface="Calibri"/>
                <a:cs typeface="Calibri"/>
              </a:rPr>
              <a:pPr algn="ctr"/>
              <a:t>316</a:t>
            </a:fld>
            <a:endParaRPr lang="en-US" sz="1600">
              <a:solidFill>
                <a:schemeClr val="bg1"/>
              </a:solidFill>
            </a:endParaRPr>
          </a:p>
        </xdr:txBody>
      </xdr:sp>
    </xdr:grpSp>
    <xdr:clientData/>
  </xdr:twoCellAnchor>
  <xdr:twoCellAnchor editAs="absolute">
    <xdr:from>
      <xdr:col>12</xdr:col>
      <xdr:colOff>313082</xdr:colOff>
      <xdr:row>20</xdr:row>
      <xdr:rowOff>111526</xdr:rowOff>
    </xdr:from>
    <xdr:to>
      <xdr:col>19</xdr:col>
      <xdr:colOff>63736</xdr:colOff>
      <xdr:row>31</xdr:row>
      <xdr:rowOff>9402</xdr:rowOff>
    </xdr:to>
    <xdr:grpSp>
      <xdr:nvGrpSpPr>
        <xdr:cNvPr id="101" name="Group 100">
          <a:extLst>
            <a:ext uri="{FF2B5EF4-FFF2-40B4-BE49-F238E27FC236}">
              <a16:creationId xmlns:a16="http://schemas.microsoft.com/office/drawing/2014/main" id="{00000000-0008-0000-0300-000065000000}"/>
            </a:ext>
          </a:extLst>
        </xdr:cNvPr>
        <xdr:cNvGrpSpPr>
          <a:grpSpLocks/>
        </xdr:cNvGrpSpPr>
      </xdr:nvGrpSpPr>
      <xdr:grpSpPr>
        <a:xfrm>
          <a:off x="8377582" y="6165193"/>
          <a:ext cx="3899321" cy="2554292"/>
          <a:chOff x="15346680" y="297180"/>
          <a:chExt cx="4267199" cy="2601219"/>
        </a:xfrm>
      </xdr:grpSpPr>
      <xdr:grpSp>
        <xdr:nvGrpSpPr>
          <xdr:cNvPr id="102" name="Group 101">
            <a:extLst>
              <a:ext uri="{FF2B5EF4-FFF2-40B4-BE49-F238E27FC236}">
                <a16:creationId xmlns:a16="http://schemas.microsoft.com/office/drawing/2014/main" id="{00000000-0008-0000-0300-000066000000}"/>
              </a:ext>
            </a:extLst>
          </xdr:cNvPr>
          <xdr:cNvGrpSpPr/>
        </xdr:nvGrpSpPr>
        <xdr:grpSpPr>
          <a:xfrm>
            <a:off x="15346680" y="297180"/>
            <a:ext cx="4267199" cy="2601219"/>
            <a:chOff x="13217238" y="4184074"/>
            <a:chExt cx="5570220" cy="3302923"/>
          </a:xfrm>
        </xdr:grpSpPr>
        <xdr:sp macro="" textlink="">
          <xdr:nvSpPr>
            <xdr:cNvPr id="104" name="Oval 103">
              <a:extLst>
                <a:ext uri="{FF2B5EF4-FFF2-40B4-BE49-F238E27FC236}">
                  <a16:creationId xmlns:a16="http://schemas.microsoft.com/office/drawing/2014/main" id="{00000000-0008-0000-0300-000068000000}"/>
                </a:ext>
              </a:extLst>
            </xdr:cNvPr>
            <xdr:cNvSpPr/>
          </xdr:nvSpPr>
          <xdr:spPr>
            <a:xfrm>
              <a:off x="14771716" y="4891348"/>
              <a:ext cx="2529840" cy="2394759"/>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05" name="Chart 104">
              <a:extLst>
                <a:ext uri="{FF2B5EF4-FFF2-40B4-BE49-F238E27FC236}">
                  <a16:creationId xmlns:a16="http://schemas.microsoft.com/office/drawing/2014/main" id="{00000000-0008-0000-0300-000069000000}"/>
                </a:ext>
              </a:extLst>
            </xdr:cNvPr>
            <xdr:cNvGraphicFramePr>
              <a:graphicFrameLocks noChangeAspect="1"/>
            </xdr:cNvGraphicFramePr>
          </xdr:nvGraphicFramePr>
          <xdr:xfrm>
            <a:off x="13217238" y="4184074"/>
            <a:ext cx="5570220" cy="3302923"/>
          </xdr:xfrm>
          <a:graphic>
            <a:graphicData uri="http://schemas.openxmlformats.org/drawingml/2006/chart">
              <c:chart xmlns:c="http://schemas.openxmlformats.org/drawingml/2006/chart" xmlns:r="http://schemas.openxmlformats.org/officeDocument/2006/relationships" r:id="rId11"/>
            </a:graphicData>
          </a:graphic>
        </xdr:graphicFrame>
      </xdr:grpSp>
      <xdr:sp macro="" textlink="$B$2">
        <xdr:nvSpPr>
          <xdr:cNvPr id="103" name="TextBox 102">
            <a:extLst>
              <a:ext uri="{FF2B5EF4-FFF2-40B4-BE49-F238E27FC236}">
                <a16:creationId xmlns:a16="http://schemas.microsoft.com/office/drawing/2014/main" id="{00000000-0008-0000-0300-000067000000}"/>
              </a:ext>
            </a:extLst>
          </xdr:cNvPr>
          <xdr:cNvSpPr txBox="1"/>
        </xdr:nvSpPr>
        <xdr:spPr>
          <a:xfrm>
            <a:off x="16954500" y="1360840"/>
            <a:ext cx="1051560"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85A0C6A-62A9-46A5-AE47-68973C17C91D}" type="TxLink">
              <a:rPr lang="en-US" sz="1600" b="0" i="0" u="none" strike="noStrike">
                <a:solidFill>
                  <a:schemeClr val="bg1"/>
                </a:solidFill>
                <a:latin typeface="Calibri"/>
                <a:cs typeface="Calibri"/>
              </a:rPr>
              <a:pPr algn="ctr"/>
              <a:t>1350</a:t>
            </a:fld>
            <a:endParaRPr lang="en-US" sz="1600">
              <a:solidFill>
                <a:schemeClr val="bg1"/>
              </a:solidFill>
            </a:endParaRPr>
          </a:p>
        </xdr:txBody>
      </xdr:sp>
    </xdr:grpSp>
    <xdr:clientData/>
  </xdr:twoCellAnchor>
  <xdr:twoCellAnchor editAs="absolute">
    <xdr:from>
      <xdr:col>15</xdr:col>
      <xdr:colOff>395909</xdr:colOff>
      <xdr:row>20</xdr:row>
      <xdr:rowOff>119807</xdr:rowOff>
    </xdr:from>
    <xdr:to>
      <xdr:col>23</xdr:col>
      <xdr:colOff>296394</xdr:colOff>
      <xdr:row>31</xdr:row>
      <xdr:rowOff>17683</xdr:rowOff>
    </xdr:to>
    <xdr:grpSp>
      <xdr:nvGrpSpPr>
        <xdr:cNvPr id="106" name="Group 105">
          <a:extLst>
            <a:ext uri="{FF2B5EF4-FFF2-40B4-BE49-F238E27FC236}">
              <a16:creationId xmlns:a16="http://schemas.microsoft.com/office/drawing/2014/main" id="{00000000-0008-0000-0300-00006A000000}"/>
            </a:ext>
          </a:extLst>
        </xdr:cNvPr>
        <xdr:cNvGrpSpPr>
          <a:grpSpLocks/>
        </xdr:cNvGrpSpPr>
      </xdr:nvGrpSpPr>
      <xdr:grpSpPr>
        <a:xfrm>
          <a:off x="10238409" y="6173474"/>
          <a:ext cx="3964485" cy="2554292"/>
          <a:chOff x="15346680" y="297180"/>
          <a:chExt cx="4267199" cy="2601219"/>
        </a:xfrm>
      </xdr:grpSpPr>
      <xdr:grpSp>
        <xdr:nvGrpSpPr>
          <xdr:cNvPr id="107" name="Group 106">
            <a:extLst>
              <a:ext uri="{FF2B5EF4-FFF2-40B4-BE49-F238E27FC236}">
                <a16:creationId xmlns:a16="http://schemas.microsoft.com/office/drawing/2014/main" id="{00000000-0008-0000-0300-00006B000000}"/>
              </a:ext>
            </a:extLst>
          </xdr:cNvPr>
          <xdr:cNvGrpSpPr/>
        </xdr:nvGrpSpPr>
        <xdr:grpSpPr>
          <a:xfrm>
            <a:off x="15346680" y="297180"/>
            <a:ext cx="4267199" cy="2601219"/>
            <a:chOff x="13217238" y="4184074"/>
            <a:chExt cx="5570220" cy="3302923"/>
          </a:xfrm>
        </xdr:grpSpPr>
        <xdr:sp macro="" textlink="">
          <xdr:nvSpPr>
            <xdr:cNvPr id="109" name="Oval 108">
              <a:extLst>
                <a:ext uri="{FF2B5EF4-FFF2-40B4-BE49-F238E27FC236}">
                  <a16:creationId xmlns:a16="http://schemas.microsoft.com/office/drawing/2014/main" id="{00000000-0008-0000-0300-00006D000000}"/>
                </a:ext>
              </a:extLst>
            </xdr:cNvPr>
            <xdr:cNvSpPr/>
          </xdr:nvSpPr>
          <xdr:spPr>
            <a:xfrm>
              <a:off x="14771716" y="4891348"/>
              <a:ext cx="2529840" cy="2394759"/>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10" name="Chart 109">
              <a:extLst>
                <a:ext uri="{FF2B5EF4-FFF2-40B4-BE49-F238E27FC236}">
                  <a16:creationId xmlns:a16="http://schemas.microsoft.com/office/drawing/2014/main" id="{00000000-0008-0000-0300-00006E000000}"/>
                </a:ext>
              </a:extLst>
            </xdr:cNvPr>
            <xdr:cNvGraphicFramePr>
              <a:graphicFrameLocks noChangeAspect="1"/>
            </xdr:cNvGraphicFramePr>
          </xdr:nvGraphicFramePr>
          <xdr:xfrm>
            <a:off x="13217238" y="4184074"/>
            <a:ext cx="5570220" cy="3302923"/>
          </xdr:xfrm>
          <a:graphic>
            <a:graphicData uri="http://schemas.openxmlformats.org/drawingml/2006/chart">
              <c:chart xmlns:c="http://schemas.openxmlformats.org/drawingml/2006/chart" xmlns:r="http://schemas.openxmlformats.org/officeDocument/2006/relationships" r:id="rId12"/>
            </a:graphicData>
          </a:graphic>
        </xdr:graphicFrame>
      </xdr:grpSp>
      <xdr:sp macro="" textlink="$B$3">
        <xdr:nvSpPr>
          <xdr:cNvPr id="108" name="TextBox 107">
            <a:extLst>
              <a:ext uri="{FF2B5EF4-FFF2-40B4-BE49-F238E27FC236}">
                <a16:creationId xmlns:a16="http://schemas.microsoft.com/office/drawing/2014/main" id="{00000000-0008-0000-0300-00006C000000}"/>
              </a:ext>
            </a:extLst>
          </xdr:cNvPr>
          <xdr:cNvSpPr txBox="1"/>
        </xdr:nvSpPr>
        <xdr:spPr>
          <a:xfrm>
            <a:off x="16954500" y="1360840"/>
            <a:ext cx="1051560"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D7E66D2-57E7-438B-812C-4433BEF53478}" type="TxLink">
              <a:rPr lang="en-US" sz="1400" b="0" i="0" u="none" strike="noStrike">
                <a:solidFill>
                  <a:schemeClr val="bg1"/>
                </a:solidFill>
                <a:latin typeface="Calibri"/>
                <a:cs typeface="Calibri"/>
              </a:rPr>
              <a:pPr algn="ctr"/>
              <a:t>2262</a:t>
            </a:fld>
            <a:endParaRPr lang="en-US" sz="1400">
              <a:solidFill>
                <a:schemeClr val="bg1"/>
              </a:solidFill>
            </a:endParaRPr>
          </a:p>
        </xdr:txBody>
      </xdr:sp>
    </xdr:grpSp>
    <xdr:clientData/>
  </xdr:twoCellAnchor>
  <xdr:twoCellAnchor>
    <xdr:from>
      <xdr:col>22</xdr:col>
      <xdr:colOff>33714</xdr:colOff>
      <xdr:row>0</xdr:row>
      <xdr:rowOff>46446</xdr:rowOff>
    </xdr:from>
    <xdr:to>
      <xdr:col>31</xdr:col>
      <xdr:colOff>369451</xdr:colOff>
      <xdr:row>8</xdr:row>
      <xdr:rowOff>176006</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22</xdr:col>
      <xdr:colOff>32106</xdr:colOff>
      <xdr:row>8</xdr:row>
      <xdr:rowOff>282449</xdr:rowOff>
    </xdr:from>
    <xdr:to>
      <xdr:col>31</xdr:col>
      <xdr:colOff>373418</xdr:colOff>
      <xdr:row>21</xdr:row>
      <xdr:rowOff>31060</xdr:rowOff>
    </xdr:to>
    <xdr:graphicFrame macro="">
      <xdr:nvGraphicFramePr>
        <xdr:cNvPr id="115" name="Chart 114">
          <a:extLst>
            <a:ext uri="{FF2B5EF4-FFF2-40B4-BE49-F238E27FC236}">
              <a16:creationId xmlns:a16="http://schemas.microsoft.com/office/drawing/2014/main" id="{00000000-0008-0000-03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22</xdr:col>
      <xdr:colOff>52813</xdr:colOff>
      <xdr:row>21</xdr:row>
      <xdr:rowOff>146604</xdr:rowOff>
    </xdr:from>
    <xdr:to>
      <xdr:col>31</xdr:col>
      <xdr:colOff>394125</xdr:colOff>
      <xdr:row>32</xdr:row>
      <xdr:rowOff>467553</xdr:rowOff>
    </xdr:to>
    <xdr:graphicFrame macro="">
      <xdr:nvGraphicFramePr>
        <xdr:cNvPr id="117" name="Chart 116">
          <a:extLst>
            <a:ext uri="{FF2B5EF4-FFF2-40B4-BE49-F238E27FC236}">
              <a16:creationId xmlns:a16="http://schemas.microsoft.com/office/drawing/2014/main" id="{00000000-0008-0000-0300-00007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10</xdr:col>
      <xdr:colOff>145313</xdr:colOff>
      <xdr:row>0</xdr:row>
      <xdr:rowOff>27841</xdr:rowOff>
    </xdr:from>
    <xdr:to>
      <xdr:col>21</xdr:col>
      <xdr:colOff>4968</xdr:colOff>
      <xdr:row>31</xdr:row>
      <xdr:rowOff>127591</xdr:rowOff>
    </xdr:to>
    <xdr:pic>
      <xdr:nvPicPr>
        <xdr:cNvPr id="86" name="Picture 85">
          <a:extLst>
            <a:ext uri="{FF2B5EF4-FFF2-40B4-BE49-F238E27FC236}">
              <a16:creationId xmlns:a16="http://schemas.microsoft.com/office/drawing/2014/main" id="{00000000-0008-0000-0300-000056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rot="5400000">
          <a:off x="5909599" y="1587222"/>
          <a:ext cx="8809833" cy="569107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0</xdr:colOff>
          <xdr:row>0</xdr:row>
          <xdr:rowOff>9525</xdr:rowOff>
        </xdr:from>
        <xdr:to>
          <xdr:col>11</xdr:col>
          <xdr:colOff>447675</xdr:colOff>
          <xdr:row>1</xdr:row>
          <xdr:rowOff>95250</xdr:rowOff>
        </xdr:to>
        <xdr:sp macro="" textlink="">
          <xdr:nvSpPr>
            <xdr:cNvPr id="3079" name="Button7"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Field </a:t>
              </a:r>
            </a:p>
          </xdr:txBody>
        </xdr:sp>
        <xdr:clientData fPrintsWithSheet="0"/>
      </xdr:twoCellAnchor>
    </mc:Choice>
    <mc:Fallback/>
  </mc:AlternateContent>
  <xdr:twoCellAnchor>
    <xdr:from>
      <xdr:col>19</xdr:col>
      <xdr:colOff>476250</xdr:colOff>
      <xdr:row>0</xdr:row>
      <xdr:rowOff>0</xdr:rowOff>
    </xdr:from>
    <xdr:to>
      <xdr:col>22</xdr:col>
      <xdr:colOff>10702</xdr:colOff>
      <xdr:row>1</xdr:row>
      <xdr:rowOff>93179</xdr:rowOff>
    </xdr:to>
    <xdr:sp macro="[0]!Alliance_Field" textlink="">
      <xdr:nvSpPr>
        <xdr:cNvPr id="15" name="Rectangle: Rounded Corners 14">
          <a:extLst>
            <a:ext uri="{FF2B5EF4-FFF2-40B4-BE49-F238E27FC236}">
              <a16:creationId xmlns:a16="http://schemas.microsoft.com/office/drawing/2014/main" id="{00000000-0008-0000-0300-00000F000000}"/>
            </a:ext>
          </a:extLst>
        </xdr:cNvPr>
        <xdr:cNvSpPr/>
      </xdr:nvSpPr>
      <xdr:spPr>
        <a:xfrm>
          <a:off x="12838043" y="0"/>
          <a:ext cx="600838" cy="569429"/>
        </a:xfrm>
        <a:prstGeom prst="roundRect">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Big</a:t>
          </a:r>
        </a:p>
        <a:p>
          <a:pPr algn="ctr"/>
          <a:r>
            <a:rPr lang="en-US" sz="1100">
              <a:solidFill>
                <a:schemeClr val="tx1"/>
              </a:solidFill>
            </a:rPr>
            <a:t>Field</a:t>
          </a:r>
        </a:p>
      </xdr:txBody>
    </xdr:sp>
    <xdr:clientData/>
  </xdr:twoCellAnchor>
  <xdr:twoCellAnchor>
    <xdr:from>
      <xdr:col>9</xdr:col>
      <xdr:colOff>838613</xdr:colOff>
      <xdr:row>1</xdr:row>
      <xdr:rowOff>93179</xdr:rowOff>
    </xdr:from>
    <xdr:to>
      <xdr:col>11</xdr:col>
      <xdr:colOff>457200</xdr:colOff>
      <xdr:row>4</xdr:row>
      <xdr:rowOff>10353</xdr:rowOff>
    </xdr:to>
    <xdr:sp macro="[0]!Sheet3.earse" textlink="">
      <xdr:nvSpPr>
        <xdr:cNvPr id="2" name="Rectangle: Rounded Corners 1">
          <a:extLst>
            <a:ext uri="{FF2B5EF4-FFF2-40B4-BE49-F238E27FC236}">
              <a16:creationId xmlns:a16="http://schemas.microsoft.com/office/drawing/2014/main" id="{00000000-0008-0000-0300-000002000000}"/>
            </a:ext>
          </a:extLst>
        </xdr:cNvPr>
        <xdr:cNvSpPr/>
      </xdr:nvSpPr>
      <xdr:spPr>
        <a:xfrm>
          <a:off x="7489784" y="637465"/>
          <a:ext cx="652730" cy="646517"/>
        </a:xfrm>
        <a:prstGeom prst="round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tx1"/>
              </a:solidFill>
            </a:rPr>
            <a:t>Erase</a:t>
          </a:r>
        </a:p>
      </xdr:txBody>
    </xdr:sp>
    <xdr:clientData/>
  </xdr:twoCellAnchor>
  <xdr:twoCellAnchor editAs="oneCell">
    <xdr:from>
      <xdr:col>19</xdr:col>
      <xdr:colOff>393425</xdr:colOff>
      <xdr:row>34</xdr:row>
      <xdr:rowOff>144945</xdr:rowOff>
    </xdr:from>
    <xdr:to>
      <xdr:col>28</xdr:col>
      <xdr:colOff>144947</xdr:colOff>
      <xdr:row>53</xdr:row>
      <xdr:rowOff>16448</xdr:rowOff>
    </xdr:to>
    <xdr:pic macro="[0]!Sheet3.clap_game">
      <xdr:nvPicPr>
        <xdr:cNvPr id="118" name="Graphic 117" descr="Clapping hands">
          <a:extLst>
            <a:ext uri="{FF2B5EF4-FFF2-40B4-BE49-F238E27FC236}">
              <a16:creationId xmlns:a16="http://schemas.microsoft.com/office/drawing/2014/main" id="{00000000-0008-0000-0300-000076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2755218" y="9317934"/>
          <a:ext cx="4482963" cy="4482963"/>
        </a:xfrm>
        <a:prstGeom prst="rect">
          <a:avLst/>
        </a:prstGeom>
      </xdr:spPr>
    </xdr:pic>
    <xdr:clientData/>
  </xdr:twoCellAnchor>
  <xdr:twoCellAnchor>
    <xdr:from>
      <xdr:col>22</xdr:col>
      <xdr:colOff>189925</xdr:colOff>
      <xdr:row>45</xdr:row>
      <xdr:rowOff>72473</xdr:rowOff>
    </xdr:from>
    <xdr:to>
      <xdr:col>26</xdr:col>
      <xdr:colOff>289891</xdr:colOff>
      <xdr:row>50</xdr:row>
      <xdr:rowOff>20705</xdr:rowOff>
    </xdr:to>
    <xdr:sp macro="[0]!Sheet3.clap_game" textlink="$AQ$5">
      <xdr:nvSpPr>
        <xdr:cNvPr id="119" name="Rectangle 118">
          <a:extLst>
            <a:ext uri="{FF2B5EF4-FFF2-40B4-BE49-F238E27FC236}">
              <a16:creationId xmlns:a16="http://schemas.microsoft.com/office/drawing/2014/main" id="{00000000-0008-0000-0300-000077000000}"/>
            </a:ext>
          </a:extLst>
        </xdr:cNvPr>
        <xdr:cNvSpPr/>
      </xdr:nvSpPr>
      <xdr:spPr>
        <a:xfrm>
          <a:off x="13618104" y="11864837"/>
          <a:ext cx="2543336" cy="113885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7D20C0C-5D34-4AB4-BE24-4CD1AC39250A}" type="TxLink">
            <a:rPr lang="en-US" sz="4400" b="0" i="0" u="none" strike="noStrike">
              <a:solidFill>
                <a:srgbClr val="000000"/>
              </a:solidFill>
              <a:latin typeface="Calibri"/>
            </a:rPr>
            <a:pPr algn="ctr"/>
            <a:t>-973</a:t>
          </a:fld>
          <a:endParaRPr lang="en-US" sz="4400">
            <a:solidFill>
              <a:schemeClr val="tx1"/>
            </a:solidFill>
          </a:endParaRPr>
        </a:p>
      </xdr:txBody>
    </xdr:sp>
    <xdr:clientData/>
  </xdr:twoCellAnchor>
  <xdr:twoCellAnchor editAs="oneCell">
    <xdr:from>
      <xdr:col>2</xdr:col>
      <xdr:colOff>980662</xdr:colOff>
      <xdr:row>0</xdr:row>
      <xdr:rowOff>0</xdr:rowOff>
    </xdr:from>
    <xdr:to>
      <xdr:col>2</xdr:col>
      <xdr:colOff>1439103</xdr:colOff>
      <xdr:row>0</xdr:row>
      <xdr:rowOff>458441</xdr:rowOff>
    </xdr:to>
    <xdr:pic macro="[0]!Sheet3.clap_game">
      <xdr:nvPicPr>
        <xdr:cNvPr id="137" name="Graphic 136" descr="Clapping hands">
          <a:extLst>
            <a:ext uri="{FF2B5EF4-FFF2-40B4-BE49-F238E27FC236}">
              <a16:creationId xmlns:a16="http://schemas.microsoft.com/office/drawing/2014/main" id="{00000000-0008-0000-0300-00008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980662" y="0"/>
          <a:ext cx="458441" cy="458441"/>
        </a:xfrm>
        <a:prstGeom prst="rect">
          <a:avLst/>
        </a:prstGeom>
      </xdr:spPr>
    </xdr:pic>
    <xdr:clientData/>
  </xdr:twoCellAnchor>
  <xdr:twoCellAnchor>
    <xdr:from>
      <xdr:col>2</xdr:col>
      <xdr:colOff>1553521</xdr:colOff>
      <xdr:row>0</xdr:row>
      <xdr:rowOff>106195</xdr:rowOff>
    </xdr:from>
    <xdr:to>
      <xdr:col>3</xdr:col>
      <xdr:colOff>280070</xdr:colOff>
      <xdr:row>0</xdr:row>
      <xdr:rowOff>499619</xdr:rowOff>
    </xdr:to>
    <xdr:sp macro="" textlink="$AQ$5">
      <xdr:nvSpPr>
        <xdr:cNvPr id="121" name="Rectangle 120">
          <a:extLst>
            <a:ext uri="{FF2B5EF4-FFF2-40B4-BE49-F238E27FC236}">
              <a16:creationId xmlns:a16="http://schemas.microsoft.com/office/drawing/2014/main" id="{00000000-0008-0000-0300-000079000000}"/>
            </a:ext>
          </a:extLst>
        </xdr:cNvPr>
        <xdr:cNvSpPr/>
      </xdr:nvSpPr>
      <xdr:spPr>
        <a:xfrm>
          <a:off x="1553521" y="106195"/>
          <a:ext cx="1088749" cy="3934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3DEA6BFF-7032-4F31-A5ED-9E8C5BC27196}" type="TxLink">
            <a:rPr lang="en-US" sz="1800" b="0" i="0" u="none" strike="noStrike">
              <a:solidFill>
                <a:srgbClr val="000000"/>
              </a:solidFill>
              <a:latin typeface="Calibri"/>
            </a:rPr>
            <a:pPr algn="l"/>
            <a:t>-973</a:t>
          </a:fld>
          <a:endParaRPr lang="en-US" sz="18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22</xdr:col>
          <xdr:colOff>38100</xdr:colOff>
          <xdr:row>34</xdr:row>
          <xdr:rowOff>38100</xdr:rowOff>
        </xdr:from>
        <xdr:to>
          <xdr:col>23</xdr:col>
          <xdr:colOff>552450</xdr:colOff>
          <xdr:row>35</xdr:row>
          <xdr:rowOff>180975</xdr:rowOff>
        </xdr:to>
        <xdr:sp macro="" textlink="">
          <xdr:nvSpPr>
            <xdr:cNvPr id="3080" name="Drop Down 8"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42</xdr:col>
      <xdr:colOff>10352</xdr:colOff>
      <xdr:row>0</xdr:row>
      <xdr:rowOff>41414</xdr:rowOff>
    </xdr:from>
    <xdr:to>
      <xdr:col>42</xdr:col>
      <xdr:colOff>468793</xdr:colOff>
      <xdr:row>0</xdr:row>
      <xdr:rowOff>491691</xdr:rowOff>
    </xdr:to>
    <xdr:pic macro="[0]!Sheet3.clap_game">
      <xdr:nvPicPr>
        <xdr:cNvPr id="87" name="Graphic 86" descr="Clapping hands">
          <a:extLst>
            <a:ext uri="{FF2B5EF4-FFF2-40B4-BE49-F238E27FC236}">
              <a16:creationId xmlns:a16="http://schemas.microsoft.com/office/drawing/2014/main" id="{00000000-0008-0000-0300-000057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34445298" y="41414"/>
          <a:ext cx="458441" cy="458441"/>
        </a:xfrm>
        <a:prstGeom prst="rect">
          <a:avLst/>
        </a:prstGeom>
      </xdr:spPr>
    </xdr:pic>
    <xdr:clientData/>
  </xdr:twoCellAnchor>
  <xdr:twoCellAnchor>
    <xdr:from>
      <xdr:col>40</xdr:col>
      <xdr:colOff>302618</xdr:colOff>
      <xdr:row>0</xdr:row>
      <xdr:rowOff>26795</xdr:rowOff>
    </xdr:from>
    <xdr:to>
      <xdr:col>47</xdr:col>
      <xdr:colOff>91397</xdr:colOff>
      <xdr:row>6</xdr:row>
      <xdr:rowOff>170937</xdr:rowOff>
    </xdr:to>
    <xdr:sp macro="" textlink="">
      <xdr:nvSpPr>
        <xdr:cNvPr id="3" name="Rectangle 2">
          <a:extLst>
            <a:ext uri="{FF2B5EF4-FFF2-40B4-BE49-F238E27FC236}">
              <a16:creationId xmlns:a16="http://schemas.microsoft.com/office/drawing/2014/main" id="{00000000-0008-0000-0300-000003000000}"/>
            </a:ext>
          </a:extLst>
        </xdr:cNvPr>
        <xdr:cNvSpPr/>
      </xdr:nvSpPr>
      <xdr:spPr>
        <a:xfrm>
          <a:off x="32624816" y="26795"/>
          <a:ext cx="4886224" cy="2143345"/>
        </a:xfrm>
        <a:prstGeom prst="rect">
          <a:avLst/>
        </a:prstGeom>
        <a:solidFill>
          <a:schemeClr val="tx1"/>
        </a:solidFill>
        <a:ln w="10160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6600"/>
            <a:t>Stop!!!!!!</a:t>
          </a:r>
        </a:p>
      </xdr:txBody>
    </xdr:sp>
    <xdr:clientData/>
  </xdr:twoCellAnchor>
  <xdr:twoCellAnchor editAs="oneCell">
    <xdr:from>
      <xdr:col>11</xdr:col>
      <xdr:colOff>2991</xdr:colOff>
      <xdr:row>34</xdr:row>
      <xdr:rowOff>129031</xdr:rowOff>
    </xdr:from>
    <xdr:to>
      <xdr:col>21</xdr:col>
      <xdr:colOff>10242</xdr:colOff>
      <xdr:row>49</xdr:row>
      <xdr:rowOff>21588</xdr:rowOff>
    </xdr:to>
    <xdr:pic>
      <xdr:nvPicPr>
        <xdr:cNvPr id="111" name="Picture 110">
          <a:extLst>
            <a:ext uri="{FF2B5EF4-FFF2-40B4-BE49-F238E27FC236}">
              <a16:creationId xmlns:a16="http://schemas.microsoft.com/office/drawing/2014/main" id="{00000000-0008-0000-0300-00006F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7688305" y="9512517"/>
          <a:ext cx="5841994" cy="3408642"/>
        </a:xfrm>
        <a:prstGeom prst="rect">
          <a:avLst/>
        </a:prstGeom>
      </xdr:spPr>
    </xdr:pic>
    <xdr:clientData/>
  </xdr:twoCellAnchor>
  <xdr:twoCellAnchor>
    <xdr:from>
      <xdr:col>20</xdr:col>
      <xdr:colOff>207067</xdr:colOff>
      <xdr:row>36</xdr:row>
      <xdr:rowOff>155300</xdr:rowOff>
    </xdr:from>
    <xdr:to>
      <xdr:col>27</xdr:col>
      <xdr:colOff>352012</xdr:colOff>
      <xdr:row>52</xdr:row>
      <xdr:rowOff>72474</xdr:rowOff>
    </xdr:to>
    <xdr:sp macro="[0]!Sheet3.clap_game" textlink="">
      <xdr:nvSpPr>
        <xdr:cNvPr id="4" name="Rectangle 3">
          <a:extLst>
            <a:ext uri="{FF2B5EF4-FFF2-40B4-BE49-F238E27FC236}">
              <a16:creationId xmlns:a16="http://schemas.microsoft.com/office/drawing/2014/main" id="{00000000-0008-0000-0300-000004000000}"/>
            </a:ext>
          </a:extLst>
        </xdr:cNvPr>
        <xdr:cNvSpPr/>
      </xdr:nvSpPr>
      <xdr:spPr>
        <a:xfrm>
          <a:off x="13086524" y="9804539"/>
          <a:ext cx="3747879" cy="372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434838</xdr:colOff>
      <xdr:row>35</xdr:row>
      <xdr:rowOff>165653</xdr:rowOff>
    </xdr:from>
    <xdr:to>
      <xdr:col>27</xdr:col>
      <xdr:colOff>559077</xdr:colOff>
      <xdr:row>53</xdr:row>
      <xdr:rowOff>62121</xdr:rowOff>
    </xdr:to>
    <xdr:sp macro="[0]!Sheet3.clap_game" textlink="">
      <xdr:nvSpPr>
        <xdr:cNvPr id="6" name="Rectangle 5">
          <a:extLst>
            <a:ext uri="{FF2B5EF4-FFF2-40B4-BE49-F238E27FC236}">
              <a16:creationId xmlns:a16="http://schemas.microsoft.com/office/drawing/2014/main" id="{00000000-0008-0000-0300-000006000000}"/>
            </a:ext>
          </a:extLst>
        </xdr:cNvPr>
        <xdr:cNvSpPr/>
      </xdr:nvSpPr>
      <xdr:spPr>
        <a:xfrm>
          <a:off x="12796631" y="9576767"/>
          <a:ext cx="4244837" cy="4182718"/>
        </a:xfrm>
        <a:prstGeom prst="rect">
          <a:avLst/>
        </a:prstGeom>
        <a:solidFill>
          <a:srgbClr val="FFFF00">
            <a:alpha val="1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27</xdr:col>
      <xdr:colOff>486604</xdr:colOff>
      <xdr:row>35</xdr:row>
      <xdr:rowOff>82826</xdr:rowOff>
    </xdr:from>
    <xdr:to>
      <xdr:col>31</xdr:col>
      <xdr:colOff>1221685</xdr:colOff>
      <xdr:row>38</xdr:row>
      <xdr:rowOff>10353</xdr:rowOff>
    </xdr:to>
    <xdr:sp macro="" textlink="">
      <xdr:nvSpPr>
        <xdr:cNvPr id="8" name="Rectangle 7">
          <a:extLst>
            <a:ext uri="{FF2B5EF4-FFF2-40B4-BE49-F238E27FC236}">
              <a16:creationId xmlns:a16="http://schemas.microsoft.com/office/drawing/2014/main" id="{00000000-0008-0000-0300-000008000000}"/>
            </a:ext>
          </a:extLst>
        </xdr:cNvPr>
        <xdr:cNvSpPr/>
      </xdr:nvSpPr>
      <xdr:spPr>
        <a:xfrm>
          <a:off x="16968995" y="9493940"/>
          <a:ext cx="3178451" cy="64190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t>for 900 Claps</a:t>
          </a:r>
          <a:r>
            <a:rPr lang="en-US" sz="1600" baseline="0"/>
            <a:t> -1000 Claps from player of your chioce </a:t>
          </a:r>
          <a:endParaRPr lang="en-US" sz="1600"/>
        </a:p>
      </xdr:txBody>
    </xdr:sp>
    <xdr:clientData/>
  </xdr:twoCellAnchor>
  <xdr:twoCellAnchor>
    <xdr:from>
      <xdr:col>31</xdr:col>
      <xdr:colOff>1311966</xdr:colOff>
      <xdr:row>34</xdr:row>
      <xdr:rowOff>183460</xdr:rowOff>
    </xdr:from>
    <xdr:to>
      <xdr:col>31</xdr:col>
      <xdr:colOff>2329483</xdr:colOff>
      <xdr:row>36</xdr:row>
      <xdr:rowOff>90281</xdr:rowOff>
    </xdr:to>
    <xdr:sp macro="[0]!claps_powerup1_seth" textlink="">
      <xdr:nvSpPr>
        <xdr:cNvPr id="90" name="Rectangle 89">
          <a:extLst>
            <a:ext uri="{FF2B5EF4-FFF2-40B4-BE49-F238E27FC236}">
              <a16:creationId xmlns:a16="http://schemas.microsoft.com/office/drawing/2014/main" id="{00000000-0008-0000-0300-00005A000000}"/>
            </a:ext>
          </a:extLst>
        </xdr:cNvPr>
        <xdr:cNvSpPr/>
      </xdr:nvSpPr>
      <xdr:spPr>
        <a:xfrm>
          <a:off x="20237727" y="9356449"/>
          <a:ext cx="1017517" cy="38307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Sethy poo</a:t>
          </a:r>
        </a:p>
      </xdr:txBody>
    </xdr:sp>
    <xdr:clientData/>
  </xdr:twoCellAnchor>
  <xdr:twoCellAnchor>
    <xdr:from>
      <xdr:col>31</xdr:col>
      <xdr:colOff>1309066</xdr:colOff>
      <xdr:row>36</xdr:row>
      <xdr:rowOff>221972</xdr:rowOff>
    </xdr:from>
    <xdr:to>
      <xdr:col>31</xdr:col>
      <xdr:colOff>2339837</xdr:colOff>
      <xdr:row>38</xdr:row>
      <xdr:rowOff>128793</xdr:rowOff>
    </xdr:to>
    <xdr:sp macro="[0]!claps_powerup1_pmoney" textlink="">
      <xdr:nvSpPr>
        <xdr:cNvPr id="112" name="Rectangle 111">
          <a:extLst>
            <a:ext uri="{FF2B5EF4-FFF2-40B4-BE49-F238E27FC236}">
              <a16:creationId xmlns:a16="http://schemas.microsoft.com/office/drawing/2014/main" id="{00000000-0008-0000-0300-000070000000}"/>
            </a:ext>
          </a:extLst>
        </xdr:cNvPr>
        <xdr:cNvSpPr/>
      </xdr:nvSpPr>
      <xdr:spPr>
        <a:xfrm>
          <a:off x="20234827" y="9871211"/>
          <a:ext cx="1030771" cy="38307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Pmoney</a:t>
          </a:r>
        </a:p>
      </xdr:txBody>
    </xdr:sp>
    <xdr:clientData/>
  </xdr:twoCellAnchor>
  <xdr:twoCellAnchor>
    <xdr:from>
      <xdr:col>31</xdr:col>
      <xdr:colOff>2434673</xdr:colOff>
      <xdr:row>36</xdr:row>
      <xdr:rowOff>229426</xdr:rowOff>
    </xdr:from>
    <xdr:to>
      <xdr:col>31</xdr:col>
      <xdr:colOff>3465444</xdr:colOff>
      <xdr:row>38</xdr:row>
      <xdr:rowOff>136247</xdr:rowOff>
    </xdr:to>
    <xdr:sp macro="[0]!Claps_powerup1_brad" textlink="">
      <xdr:nvSpPr>
        <xdr:cNvPr id="114" name="Rectangle 113">
          <a:extLst>
            <a:ext uri="{FF2B5EF4-FFF2-40B4-BE49-F238E27FC236}">
              <a16:creationId xmlns:a16="http://schemas.microsoft.com/office/drawing/2014/main" id="{00000000-0008-0000-0300-000072000000}"/>
            </a:ext>
          </a:extLst>
        </xdr:cNvPr>
        <xdr:cNvSpPr/>
      </xdr:nvSpPr>
      <xdr:spPr>
        <a:xfrm>
          <a:off x="21360434" y="9878665"/>
          <a:ext cx="1030771" cy="38307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little</a:t>
          </a:r>
          <a:r>
            <a:rPr lang="en-US" sz="1600" baseline="0"/>
            <a:t> Mac</a:t>
          </a:r>
          <a:endParaRPr lang="en-US" sz="1600"/>
        </a:p>
      </xdr:txBody>
    </xdr:sp>
    <xdr:clientData/>
  </xdr:twoCellAnchor>
  <xdr:twoCellAnchor>
    <xdr:from>
      <xdr:col>31</xdr:col>
      <xdr:colOff>2433016</xdr:colOff>
      <xdr:row>34</xdr:row>
      <xdr:rowOff>186359</xdr:rowOff>
    </xdr:from>
    <xdr:to>
      <xdr:col>31</xdr:col>
      <xdr:colOff>3463787</xdr:colOff>
      <xdr:row>36</xdr:row>
      <xdr:rowOff>93180</xdr:rowOff>
    </xdr:to>
    <xdr:sp macro="[0]!Claps_powerup1_littlemac" textlink="">
      <xdr:nvSpPr>
        <xdr:cNvPr id="116" name="Rectangle 115">
          <a:extLst>
            <a:ext uri="{FF2B5EF4-FFF2-40B4-BE49-F238E27FC236}">
              <a16:creationId xmlns:a16="http://schemas.microsoft.com/office/drawing/2014/main" id="{00000000-0008-0000-0300-000074000000}"/>
            </a:ext>
          </a:extLst>
        </xdr:cNvPr>
        <xdr:cNvSpPr/>
      </xdr:nvSpPr>
      <xdr:spPr>
        <a:xfrm>
          <a:off x="21358777" y="9359348"/>
          <a:ext cx="1030771" cy="38307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Brad</a:t>
          </a:r>
        </a:p>
      </xdr:txBody>
    </xdr:sp>
    <xdr:clientData/>
  </xdr:twoCellAnchor>
  <xdr:twoCellAnchor>
    <xdr:from>
      <xdr:col>31</xdr:col>
      <xdr:colOff>1118153</xdr:colOff>
      <xdr:row>21</xdr:row>
      <xdr:rowOff>165654</xdr:rowOff>
    </xdr:from>
    <xdr:to>
      <xdr:col>31</xdr:col>
      <xdr:colOff>6750327</xdr:colOff>
      <xdr:row>32</xdr:row>
      <xdr:rowOff>486603</xdr:rowOff>
    </xdr:to>
    <xdr:graphicFrame macro="">
      <xdr:nvGraphicFramePr>
        <xdr:cNvPr id="120" name="Chart 119">
          <a:extLst>
            <a:ext uri="{FF2B5EF4-FFF2-40B4-BE49-F238E27FC236}">
              <a16:creationId xmlns:a16="http://schemas.microsoft.com/office/drawing/2014/main" id="{00000000-0008-0000-0300-00007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27</xdr:col>
      <xdr:colOff>494060</xdr:colOff>
      <xdr:row>40</xdr:row>
      <xdr:rowOff>14908</xdr:rowOff>
    </xdr:from>
    <xdr:to>
      <xdr:col>31</xdr:col>
      <xdr:colOff>1226242</xdr:colOff>
      <xdr:row>42</xdr:row>
      <xdr:rowOff>180560</xdr:rowOff>
    </xdr:to>
    <xdr:sp macro="" textlink="">
      <xdr:nvSpPr>
        <xdr:cNvPr id="113" name="Rectangle 112" hidden="1">
          <a:extLst>
            <a:ext uri="{FF2B5EF4-FFF2-40B4-BE49-F238E27FC236}">
              <a16:creationId xmlns:a16="http://schemas.microsoft.com/office/drawing/2014/main" id="{00000000-0008-0000-0300-000071000000}"/>
            </a:ext>
          </a:extLst>
        </xdr:cNvPr>
        <xdr:cNvSpPr/>
      </xdr:nvSpPr>
      <xdr:spPr>
        <a:xfrm>
          <a:off x="16976451" y="10616647"/>
          <a:ext cx="3175552" cy="64190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t>for</a:t>
          </a:r>
          <a:r>
            <a:rPr lang="en-US" sz="1600" baseline="0"/>
            <a:t> 6000 claps get 3 claps every time you clap</a:t>
          </a:r>
        </a:p>
      </xdr:txBody>
    </xdr:sp>
    <xdr:clientData/>
  </xdr:twoCellAnchor>
  <xdr:twoCellAnchor>
    <xdr:from>
      <xdr:col>27</xdr:col>
      <xdr:colOff>496130</xdr:colOff>
      <xdr:row>40</xdr:row>
      <xdr:rowOff>16978</xdr:rowOff>
    </xdr:from>
    <xdr:to>
      <xdr:col>31</xdr:col>
      <xdr:colOff>1228312</xdr:colOff>
      <xdr:row>42</xdr:row>
      <xdr:rowOff>182630</xdr:rowOff>
    </xdr:to>
    <xdr:sp macro="" textlink="">
      <xdr:nvSpPr>
        <xdr:cNvPr id="122" name="Rectangle 121">
          <a:extLst>
            <a:ext uri="{FF2B5EF4-FFF2-40B4-BE49-F238E27FC236}">
              <a16:creationId xmlns:a16="http://schemas.microsoft.com/office/drawing/2014/main" id="{00000000-0008-0000-0300-00007A000000}"/>
            </a:ext>
          </a:extLst>
        </xdr:cNvPr>
        <xdr:cNvSpPr/>
      </xdr:nvSpPr>
      <xdr:spPr>
        <a:xfrm>
          <a:off x="16964855" y="10627828"/>
          <a:ext cx="3170582" cy="64190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t>for</a:t>
          </a:r>
          <a:r>
            <a:rPr lang="en-US" sz="1600" baseline="0"/>
            <a:t> 1500 claps get 2 claps every time you clap</a:t>
          </a:r>
        </a:p>
      </xdr:txBody>
    </xdr:sp>
    <xdr:clientData/>
  </xdr:twoCellAnchor>
  <xdr:twoCellAnchor>
    <xdr:from>
      <xdr:col>27</xdr:col>
      <xdr:colOff>491161</xdr:colOff>
      <xdr:row>38</xdr:row>
      <xdr:rowOff>152400</xdr:rowOff>
    </xdr:from>
    <xdr:to>
      <xdr:col>29</xdr:col>
      <xdr:colOff>224874</xdr:colOff>
      <xdr:row>40</xdr:row>
      <xdr:rowOff>12008</xdr:rowOff>
    </xdr:to>
    <xdr:sp macro="" textlink="">
      <xdr:nvSpPr>
        <xdr:cNvPr id="126" name="Rectangle 125" hidden="1">
          <a:extLst>
            <a:ext uri="{FF2B5EF4-FFF2-40B4-BE49-F238E27FC236}">
              <a16:creationId xmlns:a16="http://schemas.microsoft.com/office/drawing/2014/main" id="{00000000-0008-0000-0300-00007E000000}"/>
            </a:ext>
          </a:extLst>
        </xdr:cNvPr>
        <xdr:cNvSpPr/>
      </xdr:nvSpPr>
      <xdr:spPr>
        <a:xfrm>
          <a:off x="16973552" y="10277889"/>
          <a:ext cx="955398" cy="33585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aseline="0"/>
            <a:t>x3 Claps</a:t>
          </a:r>
          <a:endParaRPr lang="en-US" sz="1600"/>
        </a:p>
      </xdr:txBody>
    </xdr:sp>
    <xdr:clientData/>
  </xdr:twoCellAnchor>
  <xdr:twoCellAnchor>
    <xdr:from>
      <xdr:col>27</xdr:col>
      <xdr:colOff>493231</xdr:colOff>
      <xdr:row>38</xdr:row>
      <xdr:rowOff>154470</xdr:rowOff>
    </xdr:from>
    <xdr:to>
      <xdr:col>29</xdr:col>
      <xdr:colOff>226944</xdr:colOff>
      <xdr:row>40</xdr:row>
      <xdr:rowOff>14078</xdr:rowOff>
    </xdr:to>
    <xdr:sp macro="" textlink="">
      <xdr:nvSpPr>
        <xdr:cNvPr id="123" name="Rectangle 122">
          <a:extLst>
            <a:ext uri="{FF2B5EF4-FFF2-40B4-BE49-F238E27FC236}">
              <a16:creationId xmlns:a16="http://schemas.microsoft.com/office/drawing/2014/main" id="{00000000-0008-0000-0300-00007B000000}"/>
            </a:ext>
          </a:extLst>
        </xdr:cNvPr>
        <xdr:cNvSpPr/>
      </xdr:nvSpPr>
      <xdr:spPr>
        <a:xfrm>
          <a:off x="16961956" y="10289070"/>
          <a:ext cx="952913" cy="33585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t>x2</a:t>
          </a:r>
          <a:r>
            <a:rPr lang="en-US" sz="1600" baseline="0"/>
            <a:t> Claps</a:t>
          </a:r>
          <a:endParaRPr lang="en-US" sz="1600"/>
        </a:p>
      </xdr:txBody>
    </xdr:sp>
    <xdr:clientData/>
  </xdr:twoCellAnchor>
  <xdr:twoCellAnchor>
    <xdr:from>
      <xdr:col>27</xdr:col>
      <xdr:colOff>486603</xdr:colOff>
      <xdr:row>33</xdr:row>
      <xdr:rowOff>227773</xdr:rowOff>
    </xdr:from>
    <xdr:to>
      <xdr:col>29</xdr:col>
      <xdr:colOff>220316</xdr:colOff>
      <xdr:row>35</xdr:row>
      <xdr:rowOff>87381</xdr:rowOff>
    </xdr:to>
    <xdr:sp macro="" textlink="">
      <xdr:nvSpPr>
        <xdr:cNvPr id="124" name="Rectangle 123">
          <a:extLst>
            <a:ext uri="{FF2B5EF4-FFF2-40B4-BE49-F238E27FC236}">
              <a16:creationId xmlns:a16="http://schemas.microsoft.com/office/drawing/2014/main" id="{00000000-0008-0000-0300-00007C000000}"/>
            </a:ext>
          </a:extLst>
        </xdr:cNvPr>
        <xdr:cNvSpPr/>
      </xdr:nvSpPr>
      <xdr:spPr>
        <a:xfrm>
          <a:off x="16968994" y="9162637"/>
          <a:ext cx="955398" cy="33585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t>Strike</a:t>
          </a:r>
        </a:p>
      </xdr:txBody>
    </xdr:sp>
    <xdr:clientData/>
  </xdr:twoCellAnchor>
  <xdr:twoCellAnchor>
    <xdr:from>
      <xdr:col>31</xdr:col>
      <xdr:colOff>1604755</xdr:colOff>
      <xdr:row>40</xdr:row>
      <xdr:rowOff>20707</xdr:rowOff>
    </xdr:from>
    <xdr:to>
      <xdr:col>31</xdr:col>
      <xdr:colOff>3188804</xdr:colOff>
      <xdr:row>42</xdr:row>
      <xdr:rowOff>176007</xdr:rowOff>
    </xdr:to>
    <xdr:sp macro="[0]!claps_2claps" textlink="">
      <xdr:nvSpPr>
        <xdr:cNvPr id="125" name="Rectangle 124">
          <a:extLst>
            <a:ext uri="{FF2B5EF4-FFF2-40B4-BE49-F238E27FC236}">
              <a16:creationId xmlns:a16="http://schemas.microsoft.com/office/drawing/2014/main" id="{00000000-0008-0000-0300-00007D000000}"/>
            </a:ext>
          </a:extLst>
        </xdr:cNvPr>
        <xdr:cNvSpPr/>
      </xdr:nvSpPr>
      <xdr:spPr>
        <a:xfrm>
          <a:off x="20530516" y="10622446"/>
          <a:ext cx="1584049" cy="6315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x2</a:t>
          </a:r>
          <a:r>
            <a:rPr lang="en-US" sz="1600" baseline="0"/>
            <a:t> claps</a:t>
          </a:r>
          <a:endParaRPr lang="en-US" sz="1600"/>
        </a:p>
      </xdr:txBody>
    </xdr:sp>
    <xdr:clientData/>
  </xdr:twoCellAnchor>
  <xdr:twoCellAnchor>
    <xdr:from>
      <xdr:col>31</xdr:col>
      <xdr:colOff>1600200</xdr:colOff>
      <xdr:row>40</xdr:row>
      <xdr:rowOff>19050</xdr:rowOff>
    </xdr:from>
    <xdr:to>
      <xdr:col>31</xdr:col>
      <xdr:colOff>3184249</xdr:colOff>
      <xdr:row>42</xdr:row>
      <xdr:rowOff>174350</xdr:rowOff>
    </xdr:to>
    <xdr:sp macro="[0]!claps_3claps" textlink="">
      <xdr:nvSpPr>
        <xdr:cNvPr id="127" name="Rectangle 126" hidden="1">
          <a:extLst>
            <a:ext uri="{FF2B5EF4-FFF2-40B4-BE49-F238E27FC236}">
              <a16:creationId xmlns:a16="http://schemas.microsoft.com/office/drawing/2014/main" id="{00000000-0008-0000-0300-00007F000000}"/>
            </a:ext>
          </a:extLst>
        </xdr:cNvPr>
        <xdr:cNvSpPr/>
      </xdr:nvSpPr>
      <xdr:spPr>
        <a:xfrm>
          <a:off x="20507325" y="10629900"/>
          <a:ext cx="1584049" cy="6315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x3</a:t>
          </a:r>
          <a:r>
            <a:rPr lang="en-US" sz="1600" baseline="0"/>
            <a:t> claps</a:t>
          </a:r>
          <a:endParaRPr lang="en-US" sz="1600"/>
        </a:p>
      </xdr:txBody>
    </xdr:sp>
    <xdr:clientData/>
  </xdr:twoCellAnchor>
</xdr:wsDr>
</file>

<file path=xl/drawings/drawing5.xml><?xml version="1.0" encoding="utf-8"?>
<c:userShapes xmlns:c="http://schemas.openxmlformats.org/drawingml/2006/chart">
  <cdr:relSizeAnchor xmlns:cdr="http://schemas.openxmlformats.org/drawingml/2006/chartDrawing">
    <cdr:from>
      <cdr:x>0.28833</cdr:x>
      <cdr:y>0.20526</cdr:y>
    </cdr:from>
    <cdr:to>
      <cdr:x>0.71341</cdr:x>
      <cdr:y>0.90625</cdr:y>
    </cdr:to>
    <cdr:sp macro="" textlink="">
      <cdr:nvSpPr>
        <cdr:cNvPr id="4" name="Oval 3">
          <a:extLst xmlns:a="http://schemas.openxmlformats.org/drawingml/2006/main">
            <a:ext uri="{FF2B5EF4-FFF2-40B4-BE49-F238E27FC236}">
              <a16:creationId xmlns:a16="http://schemas.microsoft.com/office/drawing/2014/main" id="{62A37B65-53BE-47B9-AF1F-2537C5E32B44}"/>
            </a:ext>
          </a:extLst>
        </cdr:cNvPr>
        <cdr:cNvSpPr/>
      </cdr:nvSpPr>
      <cdr:spPr>
        <a:xfrm xmlns:a="http://schemas.openxmlformats.org/drawingml/2006/main">
          <a:off x="1165155" y="510284"/>
          <a:ext cx="1717767" cy="1742686"/>
        </a:xfrm>
        <a:prstGeom xmlns:a="http://schemas.openxmlformats.org/drawingml/2006/main" prst="ellipse">
          <a:avLst/>
        </a:prstGeom>
        <a:noFill xmlns:a="http://schemas.openxmlformats.org/drawingml/2006/main"/>
        <a:ln xmlns:a="http://schemas.openxmlformats.org/drawingml/2006/main" w="165100">
          <a:solidFill>
            <a:schemeClr val="bg2">
              <a:lumMod val="75000"/>
            </a:schemeClr>
          </a:solidFill>
        </a:ln>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0.45667</cdr:x>
      <cdr:y>0.48889</cdr:y>
    </cdr:from>
    <cdr:to>
      <cdr:x>0.54667</cdr:x>
      <cdr:y>0.63889</cdr:y>
    </cdr:to>
    <cdr:sp macro="" textlink="">
      <cdr:nvSpPr>
        <cdr:cNvPr id="2" name="Oval 1">
          <a:extLst xmlns:a="http://schemas.openxmlformats.org/drawingml/2006/main">
            <a:ext uri="{FF2B5EF4-FFF2-40B4-BE49-F238E27FC236}">
              <a16:creationId xmlns:a16="http://schemas.microsoft.com/office/drawing/2014/main" id="{5E743A0B-901A-4817-90EF-2F6E88688A33}"/>
            </a:ext>
          </a:extLst>
        </cdr:cNvPr>
        <cdr:cNvSpPr/>
      </cdr:nvSpPr>
      <cdr:spPr>
        <a:xfrm xmlns:a="http://schemas.openxmlformats.org/drawingml/2006/main">
          <a:off x="1845926" y="1171789"/>
          <a:ext cx="363793" cy="359525"/>
        </a:xfrm>
        <a:prstGeom xmlns:a="http://schemas.openxmlformats.org/drawingml/2006/main" prst="ellipse">
          <a:avLst/>
        </a:prstGeom>
        <a:ln xmlns:a="http://schemas.openxmlformats.org/drawingml/2006/main">
          <a:noFill/>
        </a:ln>
        <a:effectLst xmlns:a="http://schemas.openxmlformats.org/drawingml/2006/main">
          <a:outerShdw blurRad="107950" dist="12700" dir="5400000" algn="ctr">
            <a:srgbClr val="000000"/>
          </a:outerShdw>
        </a:effectLst>
        <a:scene3d xmlns:a="http://schemas.openxmlformats.org/drawingml/2006/main">
          <a:camera prst="orthographicFront">
            <a:rot lat="0" lon="0" rev="0"/>
          </a:camera>
          <a:lightRig rig="soft" dir="t">
            <a:rot lat="0" lon="0" rev="0"/>
          </a:lightRig>
        </a:scene3d>
        <a:sp3d xmlns:a="http://schemas.openxmlformats.org/drawingml/2006/main" contourW="44450" prstMaterial="matte">
          <a:bevelT w="63500" h="63500" prst="artDeco"/>
          <a:contourClr>
            <a:srgbClr val="FFFFFF"/>
          </a:contourClr>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0.4104</cdr:x>
      <cdr:y>0.68182</cdr:y>
    </cdr:from>
    <cdr:to>
      <cdr:x>0.59097</cdr:x>
      <cdr:y>0.77273</cdr:y>
    </cdr:to>
    <cdr:sp macro="" textlink="alliance!$AL$2">
      <cdr:nvSpPr>
        <cdr:cNvPr id="3" name="Rectangle: Rounded Corners 2">
          <a:extLst xmlns:a="http://schemas.openxmlformats.org/drawingml/2006/main">
            <a:ext uri="{FF2B5EF4-FFF2-40B4-BE49-F238E27FC236}">
              <a16:creationId xmlns:a16="http://schemas.microsoft.com/office/drawing/2014/main" id="{D9D410CF-6614-4F23-A210-4C047DA7B11C}"/>
            </a:ext>
          </a:extLst>
        </cdr:cNvPr>
        <cdr:cNvSpPr/>
      </cdr:nvSpPr>
      <cdr:spPr>
        <a:xfrm xmlns:a="http://schemas.openxmlformats.org/drawingml/2006/main">
          <a:off x="2286000" y="2286000"/>
          <a:ext cx="1005840" cy="304800"/>
        </a:xfrm>
        <a:prstGeom xmlns:a="http://schemas.openxmlformats.org/drawingml/2006/main" prst="roundRect">
          <a:avLst>
            <a:gd name="adj" fmla="val 50000"/>
          </a:avLst>
        </a:prstGeom>
        <a:solidFill xmlns:a="http://schemas.openxmlformats.org/drawingml/2006/main">
          <a:schemeClr val="accent6">
            <a:lumMod val="75000"/>
          </a:schemeClr>
        </a:solidFill>
        <a:ln xmlns:a="http://schemas.openxmlformats.org/drawingml/2006/main">
          <a:noFill/>
        </a:ln>
        <a:effectLst xmlns:a="http://schemas.openxmlformats.org/drawingml/2006/main">
          <a:glow rad="127000">
            <a:srgbClr val="FF0000">
              <a:alpha val="60000"/>
            </a:srgbClr>
          </a:glow>
        </a:effectLst>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fld id="{E434C081-0E07-4CCB-9BD5-DEDA57C5CB26}" type="TxLink">
            <a:rPr lang="en-US" sz="1100" b="0" i="0" u="none" strike="noStrike">
              <a:solidFill>
                <a:schemeClr val="bg1"/>
              </a:solidFill>
              <a:latin typeface="Calibri"/>
              <a:cs typeface="Calibri"/>
            </a:rPr>
            <a:pPr algn="ctr"/>
            <a:t>71%</a:t>
          </a:fld>
          <a:endParaRPr lang="en-US" sz="2000">
            <a:solidFill>
              <a:schemeClr val="bg1"/>
            </a:solidFill>
            <a:latin typeface="Bernard MT Condensed" panose="02050806060905020404" pitchFamily="18" charset="0"/>
          </a:endParaRPr>
        </a:p>
      </cdr:txBody>
    </cdr:sp>
  </cdr:relSizeAnchor>
  <cdr:relSizeAnchor xmlns:cdr="http://schemas.openxmlformats.org/drawingml/2006/chartDrawing">
    <cdr:from>
      <cdr:x>0.39398</cdr:x>
      <cdr:y>0.35227</cdr:y>
    </cdr:from>
    <cdr:to>
      <cdr:x>0.60602</cdr:x>
      <cdr:y>0.42045</cdr:y>
    </cdr:to>
    <cdr:sp macro="" textlink="">
      <cdr:nvSpPr>
        <cdr:cNvPr id="5" name="TextBox 4">
          <a:extLst xmlns:a="http://schemas.openxmlformats.org/drawingml/2006/main">
            <a:ext uri="{FF2B5EF4-FFF2-40B4-BE49-F238E27FC236}">
              <a16:creationId xmlns:a16="http://schemas.microsoft.com/office/drawing/2014/main" id="{CAE7BB95-361B-45B3-B038-364D17E7EBC4}"/>
            </a:ext>
          </a:extLst>
        </cdr:cNvPr>
        <cdr:cNvSpPr txBox="1"/>
      </cdr:nvSpPr>
      <cdr:spPr>
        <a:xfrm xmlns:a="http://schemas.openxmlformats.org/drawingml/2006/main">
          <a:off x="2194560" y="1181100"/>
          <a:ext cx="1181100" cy="228600"/>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r>
            <a:rPr lang="en-US" sz="1600">
              <a:solidFill>
                <a:schemeClr val="bg1"/>
              </a:solidFill>
              <a:latin typeface="Adobe Garamond Pro" panose="02020502060506020403" pitchFamily="18" charset="0"/>
            </a:rPr>
            <a:t>Shooter</a:t>
          </a:r>
        </a:p>
      </cdr:txBody>
    </cdr:sp>
  </cdr:relSizeAnchor>
</c:userShapes>
</file>

<file path=xl/drawings/drawing6.xml><?xml version="1.0" encoding="utf-8"?>
<c:userShapes xmlns:c="http://schemas.openxmlformats.org/drawingml/2006/chart">
  <cdr:relSizeAnchor xmlns:cdr="http://schemas.openxmlformats.org/drawingml/2006/chartDrawing">
    <cdr:from>
      <cdr:x>0.28833</cdr:x>
      <cdr:y>0.20526</cdr:y>
    </cdr:from>
    <cdr:to>
      <cdr:x>0.71341</cdr:x>
      <cdr:y>0.90625</cdr:y>
    </cdr:to>
    <cdr:sp macro="" textlink="">
      <cdr:nvSpPr>
        <cdr:cNvPr id="4" name="Oval 3">
          <a:extLst xmlns:a="http://schemas.openxmlformats.org/drawingml/2006/main">
            <a:ext uri="{FF2B5EF4-FFF2-40B4-BE49-F238E27FC236}">
              <a16:creationId xmlns:a16="http://schemas.microsoft.com/office/drawing/2014/main" id="{62A37B65-53BE-47B9-AF1F-2537C5E32B44}"/>
            </a:ext>
          </a:extLst>
        </cdr:cNvPr>
        <cdr:cNvSpPr/>
      </cdr:nvSpPr>
      <cdr:spPr>
        <a:xfrm xmlns:a="http://schemas.openxmlformats.org/drawingml/2006/main">
          <a:off x="1165155" y="510284"/>
          <a:ext cx="1717767" cy="1742686"/>
        </a:xfrm>
        <a:prstGeom xmlns:a="http://schemas.openxmlformats.org/drawingml/2006/main" prst="ellipse">
          <a:avLst/>
        </a:prstGeom>
        <a:noFill xmlns:a="http://schemas.openxmlformats.org/drawingml/2006/main"/>
        <a:ln xmlns:a="http://schemas.openxmlformats.org/drawingml/2006/main" w="165100">
          <a:solidFill>
            <a:schemeClr val="bg2">
              <a:lumMod val="75000"/>
            </a:schemeClr>
          </a:solidFill>
        </a:ln>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0.45667</cdr:x>
      <cdr:y>0.48889</cdr:y>
    </cdr:from>
    <cdr:to>
      <cdr:x>0.54667</cdr:x>
      <cdr:y>0.63889</cdr:y>
    </cdr:to>
    <cdr:sp macro="" textlink="">
      <cdr:nvSpPr>
        <cdr:cNvPr id="2" name="Oval 1">
          <a:extLst xmlns:a="http://schemas.openxmlformats.org/drawingml/2006/main">
            <a:ext uri="{FF2B5EF4-FFF2-40B4-BE49-F238E27FC236}">
              <a16:creationId xmlns:a16="http://schemas.microsoft.com/office/drawing/2014/main" id="{5E743A0B-901A-4817-90EF-2F6E88688A33}"/>
            </a:ext>
          </a:extLst>
        </cdr:cNvPr>
        <cdr:cNvSpPr/>
      </cdr:nvSpPr>
      <cdr:spPr>
        <a:xfrm xmlns:a="http://schemas.openxmlformats.org/drawingml/2006/main">
          <a:off x="1845926" y="1171789"/>
          <a:ext cx="363793" cy="359525"/>
        </a:xfrm>
        <a:prstGeom xmlns:a="http://schemas.openxmlformats.org/drawingml/2006/main" prst="ellipse">
          <a:avLst/>
        </a:prstGeom>
        <a:ln xmlns:a="http://schemas.openxmlformats.org/drawingml/2006/main">
          <a:noFill/>
        </a:ln>
        <a:effectLst xmlns:a="http://schemas.openxmlformats.org/drawingml/2006/main">
          <a:outerShdw blurRad="107950" dist="12700" dir="5400000" algn="ctr">
            <a:srgbClr val="000000"/>
          </a:outerShdw>
        </a:effectLst>
        <a:scene3d xmlns:a="http://schemas.openxmlformats.org/drawingml/2006/main">
          <a:camera prst="orthographicFront">
            <a:rot lat="0" lon="0" rev="0"/>
          </a:camera>
          <a:lightRig rig="soft" dir="t">
            <a:rot lat="0" lon="0" rev="0"/>
          </a:lightRig>
        </a:scene3d>
        <a:sp3d xmlns:a="http://schemas.openxmlformats.org/drawingml/2006/main" contourW="44450" prstMaterial="matte">
          <a:bevelT w="63500" h="63500" prst="artDeco"/>
          <a:contourClr>
            <a:srgbClr val="FFFFFF"/>
          </a:contourClr>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0.4104</cdr:x>
      <cdr:y>0.68182</cdr:y>
    </cdr:from>
    <cdr:to>
      <cdr:x>0.59097</cdr:x>
      <cdr:y>0.77273</cdr:y>
    </cdr:to>
    <cdr:sp macro="" textlink="alliance!$AL$3">
      <cdr:nvSpPr>
        <cdr:cNvPr id="3" name="Rectangle: Rounded Corners 2">
          <a:extLst xmlns:a="http://schemas.openxmlformats.org/drawingml/2006/main">
            <a:ext uri="{FF2B5EF4-FFF2-40B4-BE49-F238E27FC236}">
              <a16:creationId xmlns:a16="http://schemas.microsoft.com/office/drawing/2014/main" id="{D9D410CF-6614-4F23-A210-4C047DA7B11C}"/>
            </a:ext>
          </a:extLst>
        </cdr:cNvPr>
        <cdr:cNvSpPr/>
      </cdr:nvSpPr>
      <cdr:spPr>
        <a:xfrm xmlns:a="http://schemas.openxmlformats.org/drawingml/2006/main">
          <a:off x="2286000" y="2286000"/>
          <a:ext cx="1005840" cy="304800"/>
        </a:xfrm>
        <a:prstGeom xmlns:a="http://schemas.openxmlformats.org/drawingml/2006/main" prst="roundRect">
          <a:avLst>
            <a:gd name="adj" fmla="val 50000"/>
          </a:avLst>
        </a:prstGeom>
        <a:solidFill xmlns:a="http://schemas.openxmlformats.org/drawingml/2006/main">
          <a:schemeClr val="accent6">
            <a:lumMod val="75000"/>
          </a:schemeClr>
        </a:solidFill>
        <a:ln xmlns:a="http://schemas.openxmlformats.org/drawingml/2006/main">
          <a:noFill/>
        </a:ln>
        <a:effectLst xmlns:a="http://schemas.openxmlformats.org/drawingml/2006/main">
          <a:glow rad="127000">
            <a:srgbClr val="FF0000">
              <a:alpha val="60000"/>
            </a:srgbClr>
          </a:glow>
        </a:effectLst>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fld id="{16C609D0-704B-47F2-98D4-7E5D7B2FA70D}" type="TxLink">
            <a:rPr lang="en-US" sz="1100" b="0" i="0" u="none" strike="noStrike">
              <a:solidFill>
                <a:schemeClr val="bg1"/>
              </a:solidFill>
              <a:latin typeface="Calibri"/>
              <a:cs typeface="Calibri"/>
            </a:rPr>
            <a:pPr algn="ctr"/>
            <a:t>18%</a:t>
          </a:fld>
          <a:endParaRPr lang="en-US" sz="2000">
            <a:solidFill>
              <a:schemeClr val="bg1"/>
            </a:solidFill>
            <a:latin typeface="Bernard MT Condensed" panose="02050806060905020404" pitchFamily="18" charset="0"/>
          </a:endParaRPr>
        </a:p>
      </cdr:txBody>
    </cdr:sp>
  </cdr:relSizeAnchor>
  <cdr:relSizeAnchor xmlns:cdr="http://schemas.openxmlformats.org/drawingml/2006/chartDrawing">
    <cdr:from>
      <cdr:x>0.39398</cdr:x>
      <cdr:y>0.35227</cdr:y>
    </cdr:from>
    <cdr:to>
      <cdr:x>0.60602</cdr:x>
      <cdr:y>0.42045</cdr:y>
    </cdr:to>
    <cdr:sp macro="" textlink="">
      <cdr:nvSpPr>
        <cdr:cNvPr id="5" name="TextBox 4">
          <a:extLst xmlns:a="http://schemas.openxmlformats.org/drawingml/2006/main">
            <a:ext uri="{FF2B5EF4-FFF2-40B4-BE49-F238E27FC236}">
              <a16:creationId xmlns:a16="http://schemas.microsoft.com/office/drawing/2014/main" id="{CAE7BB95-361B-45B3-B038-364D17E7EBC4}"/>
            </a:ext>
          </a:extLst>
        </cdr:cNvPr>
        <cdr:cNvSpPr txBox="1"/>
      </cdr:nvSpPr>
      <cdr:spPr>
        <a:xfrm xmlns:a="http://schemas.openxmlformats.org/drawingml/2006/main">
          <a:off x="2194560" y="1181100"/>
          <a:ext cx="1181100" cy="228600"/>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r>
            <a:rPr lang="en-US" sz="1600">
              <a:solidFill>
                <a:schemeClr val="bg1"/>
              </a:solidFill>
              <a:latin typeface="Adobe Garamond Pro" panose="02020502060506020403" pitchFamily="18" charset="0"/>
            </a:rPr>
            <a:t>Shooter</a:t>
          </a:r>
        </a:p>
      </cdr:txBody>
    </cdr:sp>
  </cdr:relSizeAnchor>
</c:userShapes>
</file>

<file path=xl/drawings/drawing7.xml><?xml version="1.0" encoding="utf-8"?>
<c:userShapes xmlns:c="http://schemas.openxmlformats.org/drawingml/2006/chart">
  <cdr:relSizeAnchor xmlns:cdr="http://schemas.openxmlformats.org/drawingml/2006/chartDrawing">
    <cdr:from>
      <cdr:x>0.28833</cdr:x>
      <cdr:y>0.20526</cdr:y>
    </cdr:from>
    <cdr:to>
      <cdr:x>0.71341</cdr:x>
      <cdr:y>0.90625</cdr:y>
    </cdr:to>
    <cdr:sp macro="" textlink="">
      <cdr:nvSpPr>
        <cdr:cNvPr id="4" name="Oval 3">
          <a:extLst xmlns:a="http://schemas.openxmlformats.org/drawingml/2006/main">
            <a:ext uri="{FF2B5EF4-FFF2-40B4-BE49-F238E27FC236}">
              <a16:creationId xmlns:a16="http://schemas.microsoft.com/office/drawing/2014/main" id="{62A37B65-53BE-47B9-AF1F-2537C5E32B44}"/>
            </a:ext>
          </a:extLst>
        </cdr:cNvPr>
        <cdr:cNvSpPr/>
      </cdr:nvSpPr>
      <cdr:spPr>
        <a:xfrm xmlns:a="http://schemas.openxmlformats.org/drawingml/2006/main">
          <a:off x="1165155" y="510284"/>
          <a:ext cx="1717767" cy="1742686"/>
        </a:xfrm>
        <a:prstGeom xmlns:a="http://schemas.openxmlformats.org/drawingml/2006/main" prst="ellipse">
          <a:avLst/>
        </a:prstGeom>
        <a:noFill xmlns:a="http://schemas.openxmlformats.org/drawingml/2006/main"/>
        <a:ln xmlns:a="http://schemas.openxmlformats.org/drawingml/2006/main" w="165100">
          <a:solidFill>
            <a:schemeClr val="bg2">
              <a:lumMod val="75000"/>
            </a:schemeClr>
          </a:solidFill>
        </a:ln>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0.45667</cdr:x>
      <cdr:y>0.48889</cdr:y>
    </cdr:from>
    <cdr:to>
      <cdr:x>0.54667</cdr:x>
      <cdr:y>0.63889</cdr:y>
    </cdr:to>
    <cdr:sp macro="" textlink="">
      <cdr:nvSpPr>
        <cdr:cNvPr id="2" name="Oval 1">
          <a:extLst xmlns:a="http://schemas.openxmlformats.org/drawingml/2006/main">
            <a:ext uri="{FF2B5EF4-FFF2-40B4-BE49-F238E27FC236}">
              <a16:creationId xmlns:a16="http://schemas.microsoft.com/office/drawing/2014/main" id="{5E743A0B-901A-4817-90EF-2F6E88688A33}"/>
            </a:ext>
          </a:extLst>
        </cdr:cNvPr>
        <cdr:cNvSpPr/>
      </cdr:nvSpPr>
      <cdr:spPr>
        <a:xfrm xmlns:a="http://schemas.openxmlformats.org/drawingml/2006/main">
          <a:off x="1845926" y="1171789"/>
          <a:ext cx="363793" cy="359525"/>
        </a:xfrm>
        <a:prstGeom xmlns:a="http://schemas.openxmlformats.org/drawingml/2006/main" prst="ellipse">
          <a:avLst/>
        </a:prstGeom>
        <a:ln xmlns:a="http://schemas.openxmlformats.org/drawingml/2006/main">
          <a:noFill/>
        </a:ln>
        <a:effectLst xmlns:a="http://schemas.openxmlformats.org/drawingml/2006/main">
          <a:outerShdw blurRad="107950" dist="12700" dir="5400000" algn="ctr">
            <a:srgbClr val="000000"/>
          </a:outerShdw>
        </a:effectLst>
        <a:scene3d xmlns:a="http://schemas.openxmlformats.org/drawingml/2006/main">
          <a:camera prst="orthographicFront">
            <a:rot lat="0" lon="0" rev="0"/>
          </a:camera>
          <a:lightRig rig="soft" dir="t">
            <a:rot lat="0" lon="0" rev="0"/>
          </a:lightRig>
        </a:scene3d>
        <a:sp3d xmlns:a="http://schemas.openxmlformats.org/drawingml/2006/main" contourW="44450" prstMaterial="matte">
          <a:bevelT w="63500" h="63500" prst="artDeco"/>
          <a:contourClr>
            <a:srgbClr val="FFFFFF"/>
          </a:contourClr>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0.4104</cdr:x>
      <cdr:y>0.68182</cdr:y>
    </cdr:from>
    <cdr:to>
      <cdr:x>0.59097</cdr:x>
      <cdr:y>0.77273</cdr:y>
    </cdr:to>
    <cdr:sp macro="" textlink="alliance!$AL$4">
      <cdr:nvSpPr>
        <cdr:cNvPr id="3" name="Rectangle: Rounded Corners 2">
          <a:extLst xmlns:a="http://schemas.openxmlformats.org/drawingml/2006/main">
            <a:ext uri="{FF2B5EF4-FFF2-40B4-BE49-F238E27FC236}">
              <a16:creationId xmlns:a16="http://schemas.microsoft.com/office/drawing/2014/main" id="{D9D410CF-6614-4F23-A210-4C047DA7B11C}"/>
            </a:ext>
          </a:extLst>
        </cdr:cNvPr>
        <cdr:cNvSpPr/>
      </cdr:nvSpPr>
      <cdr:spPr>
        <a:xfrm xmlns:a="http://schemas.openxmlformats.org/drawingml/2006/main">
          <a:off x="2286000" y="2286000"/>
          <a:ext cx="1005840" cy="304800"/>
        </a:xfrm>
        <a:prstGeom xmlns:a="http://schemas.openxmlformats.org/drawingml/2006/main" prst="roundRect">
          <a:avLst>
            <a:gd name="adj" fmla="val 50000"/>
          </a:avLst>
        </a:prstGeom>
        <a:solidFill xmlns:a="http://schemas.openxmlformats.org/drawingml/2006/main">
          <a:schemeClr val="accent6">
            <a:lumMod val="75000"/>
          </a:schemeClr>
        </a:solidFill>
        <a:ln xmlns:a="http://schemas.openxmlformats.org/drawingml/2006/main">
          <a:noFill/>
        </a:ln>
        <a:effectLst xmlns:a="http://schemas.openxmlformats.org/drawingml/2006/main">
          <a:glow rad="127000">
            <a:srgbClr val="FF0000">
              <a:alpha val="60000"/>
            </a:srgbClr>
          </a:glow>
        </a:effectLst>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fld id="{26FF0E9B-F33A-4974-93CD-571ED5F2FF18}" type="TxLink">
            <a:rPr lang="en-US" sz="1100" b="0" i="0" u="none" strike="noStrike">
              <a:solidFill>
                <a:schemeClr val="bg1"/>
              </a:solidFill>
              <a:latin typeface="Calibri"/>
              <a:cs typeface="Calibri"/>
            </a:rPr>
            <a:pPr algn="ctr"/>
            <a:t>18%</a:t>
          </a:fld>
          <a:endParaRPr lang="en-US" sz="2000">
            <a:solidFill>
              <a:schemeClr val="bg1"/>
            </a:solidFill>
            <a:latin typeface="Bernard MT Condensed" panose="02050806060905020404" pitchFamily="18" charset="0"/>
          </a:endParaRPr>
        </a:p>
      </cdr:txBody>
    </cdr:sp>
  </cdr:relSizeAnchor>
  <cdr:relSizeAnchor xmlns:cdr="http://schemas.openxmlformats.org/drawingml/2006/chartDrawing">
    <cdr:from>
      <cdr:x>0.39398</cdr:x>
      <cdr:y>0.35227</cdr:y>
    </cdr:from>
    <cdr:to>
      <cdr:x>0.60602</cdr:x>
      <cdr:y>0.42045</cdr:y>
    </cdr:to>
    <cdr:sp macro="" textlink="">
      <cdr:nvSpPr>
        <cdr:cNvPr id="5" name="TextBox 4">
          <a:extLst xmlns:a="http://schemas.openxmlformats.org/drawingml/2006/main">
            <a:ext uri="{FF2B5EF4-FFF2-40B4-BE49-F238E27FC236}">
              <a16:creationId xmlns:a16="http://schemas.microsoft.com/office/drawing/2014/main" id="{CAE7BB95-361B-45B3-B038-364D17E7EBC4}"/>
            </a:ext>
          </a:extLst>
        </cdr:cNvPr>
        <cdr:cNvSpPr txBox="1"/>
      </cdr:nvSpPr>
      <cdr:spPr>
        <a:xfrm xmlns:a="http://schemas.openxmlformats.org/drawingml/2006/main">
          <a:off x="2194560" y="1181100"/>
          <a:ext cx="1181100" cy="228600"/>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r>
            <a:rPr lang="en-US" sz="1600">
              <a:solidFill>
                <a:schemeClr val="bg1"/>
              </a:solidFill>
              <a:latin typeface="Adobe Garamond Pro" panose="02020502060506020403" pitchFamily="18" charset="0"/>
            </a:rPr>
            <a:t>Shooter</a:t>
          </a:r>
        </a:p>
      </cdr:txBody>
    </cdr:sp>
  </cdr:relSizeAnchor>
</c:userShapes>
</file>

<file path=xl/drawings/drawing8.xml><?xml version="1.0" encoding="utf-8"?>
<c:userShapes xmlns:c="http://schemas.openxmlformats.org/drawingml/2006/chart">
  <cdr:relSizeAnchor xmlns:cdr="http://schemas.openxmlformats.org/drawingml/2006/chartDrawing">
    <cdr:from>
      <cdr:x>0.28833</cdr:x>
      <cdr:y>0.20526</cdr:y>
    </cdr:from>
    <cdr:to>
      <cdr:x>0.71341</cdr:x>
      <cdr:y>0.90625</cdr:y>
    </cdr:to>
    <cdr:sp macro="" textlink="">
      <cdr:nvSpPr>
        <cdr:cNvPr id="4" name="Oval 3">
          <a:extLst xmlns:a="http://schemas.openxmlformats.org/drawingml/2006/main">
            <a:ext uri="{FF2B5EF4-FFF2-40B4-BE49-F238E27FC236}">
              <a16:creationId xmlns:a16="http://schemas.microsoft.com/office/drawing/2014/main" id="{62A37B65-53BE-47B9-AF1F-2537C5E32B44}"/>
            </a:ext>
          </a:extLst>
        </cdr:cNvPr>
        <cdr:cNvSpPr/>
      </cdr:nvSpPr>
      <cdr:spPr>
        <a:xfrm xmlns:a="http://schemas.openxmlformats.org/drawingml/2006/main">
          <a:off x="1165155" y="510284"/>
          <a:ext cx="1717767" cy="1742686"/>
        </a:xfrm>
        <a:prstGeom xmlns:a="http://schemas.openxmlformats.org/drawingml/2006/main" prst="ellipse">
          <a:avLst/>
        </a:prstGeom>
        <a:noFill xmlns:a="http://schemas.openxmlformats.org/drawingml/2006/main"/>
        <a:ln xmlns:a="http://schemas.openxmlformats.org/drawingml/2006/main" w="165100">
          <a:solidFill>
            <a:schemeClr val="bg2">
              <a:lumMod val="75000"/>
            </a:schemeClr>
          </a:solidFill>
        </a:ln>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0.45667</cdr:x>
      <cdr:y>0.48889</cdr:y>
    </cdr:from>
    <cdr:to>
      <cdr:x>0.54667</cdr:x>
      <cdr:y>0.63889</cdr:y>
    </cdr:to>
    <cdr:sp macro="" textlink="">
      <cdr:nvSpPr>
        <cdr:cNvPr id="2" name="Oval 1">
          <a:extLst xmlns:a="http://schemas.openxmlformats.org/drawingml/2006/main">
            <a:ext uri="{FF2B5EF4-FFF2-40B4-BE49-F238E27FC236}">
              <a16:creationId xmlns:a16="http://schemas.microsoft.com/office/drawing/2014/main" id="{5E743A0B-901A-4817-90EF-2F6E88688A33}"/>
            </a:ext>
          </a:extLst>
        </cdr:cNvPr>
        <cdr:cNvSpPr/>
      </cdr:nvSpPr>
      <cdr:spPr>
        <a:xfrm xmlns:a="http://schemas.openxmlformats.org/drawingml/2006/main">
          <a:off x="1845926" y="1171789"/>
          <a:ext cx="363793" cy="359525"/>
        </a:xfrm>
        <a:prstGeom xmlns:a="http://schemas.openxmlformats.org/drawingml/2006/main" prst="ellipse">
          <a:avLst/>
        </a:prstGeom>
        <a:ln xmlns:a="http://schemas.openxmlformats.org/drawingml/2006/main">
          <a:noFill/>
        </a:ln>
        <a:effectLst xmlns:a="http://schemas.openxmlformats.org/drawingml/2006/main">
          <a:outerShdw blurRad="107950" dist="12700" dir="5400000" algn="ctr">
            <a:srgbClr val="000000"/>
          </a:outerShdw>
        </a:effectLst>
        <a:scene3d xmlns:a="http://schemas.openxmlformats.org/drawingml/2006/main">
          <a:camera prst="orthographicFront">
            <a:rot lat="0" lon="0" rev="0"/>
          </a:camera>
          <a:lightRig rig="soft" dir="t">
            <a:rot lat="0" lon="0" rev="0"/>
          </a:lightRig>
        </a:scene3d>
        <a:sp3d xmlns:a="http://schemas.openxmlformats.org/drawingml/2006/main" contourW="44450" prstMaterial="matte">
          <a:bevelT w="63500" h="63500" prst="artDeco"/>
          <a:contourClr>
            <a:srgbClr val="FFFFFF"/>
          </a:contourClr>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0.4104</cdr:x>
      <cdr:y>0.68182</cdr:y>
    </cdr:from>
    <cdr:to>
      <cdr:x>0.59097</cdr:x>
      <cdr:y>0.77273</cdr:y>
    </cdr:to>
    <cdr:sp macro="" textlink="alliance!$AL$8">
      <cdr:nvSpPr>
        <cdr:cNvPr id="3" name="Rectangle: Rounded Corners 2">
          <a:extLst xmlns:a="http://schemas.openxmlformats.org/drawingml/2006/main">
            <a:ext uri="{FF2B5EF4-FFF2-40B4-BE49-F238E27FC236}">
              <a16:creationId xmlns:a16="http://schemas.microsoft.com/office/drawing/2014/main" id="{D9D410CF-6614-4F23-A210-4C047DA7B11C}"/>
            </a:ext>
          </a:extLst>
        </cdr:cNvPr>
        <cdr:cNvSpPr/>
      </cdr:nvSpPr>
      <cdr:spPr>
        <a:xfrm xmlns:a="http://schemas.openxmlformats.org/drawingml/2006/main">
          <a:off x="2286000" y="2286000"/>
          <a:ext cx="1005840" cy="304800"/>
        </a:xfrm>
        <a:prstGeom xmlns:a="http://schemas.openxmlformats.org/drawingml/2006/main" prst="roundRect">
          <a:avLst>
            <a:gd name="adj" fmla="val 50000"/>
          </a:avLst>
        </a:prstGeom>
        <a:solidFill xmlns:a="http://schemas.openxmlformats.org/drawingml/2006/main">
          <a:schemeClr val="accent6">
            <a:lumMod val="75000"/>
          </a:schemeClr>
        </a:solidFill>
        <a:ln xmlns:a="http://schemas.openxmlformats.org/drawingml/2006/main">
          <a:noFill/>
        </a:ln>
        <a:effectLst xmlns:a="http://schemas.openxmlformats.org/drawingml/2006/main">
          <a:glow rad="127000">
            <a:srgbClr val="FF0000">
              <a:alpha val="60000"/>
            </a:srgbClr>
          </a:glow>
        </a:effectLst>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fld id="{21A898C7-08D3-4787-9FF6-D68E59E331F7}" type="TxLink">
            <a:rPr lang="en-US" sz="1100" b="0" i="0" u="none" strike="noStrike">
              <a:solidFill>
                <a:schemeClr val="bg1"/>
              </a:solidFill>
              <a:latin typeface="Calibri"/>
              <a:cs typeface="Calibri"/>
            </a:rPr>
            <a:pPr algn="ctr"/>
            <a:t>3%</a:t>
          </a:fld>
          <a:endParaRPr lang="en-US" sz="2000">
            <a:solidFill>
              <a:schemeClr val="bg1"/>
            </a:solidFill>
            <a:latin typeface="Bernard MT Condensed" panose="02050806060905020404" pitchFamily="18" charset="0"/>
          </a:endParaRPr>
        </a:p>
      </cdr:txBody>
    </cdr:sp>
  </cdr:relSizeAnchor>
  <cdr:relSizeAnchor xmlns:cdr="http://schemas.openxmlformats.org/drawingml/2006/chartDrawing">
    <cdr:from>
      <cdr:x>0.39398</cdr:x>
      <cdr:y>0.35227</cdr:y>
    </cdr:from>
    <cdr:to>
      <cdr:x>0.60602</cdr:x>
      <cdr:y>0.42045</cdr:y>
    </cdr:to>
    <cdr:sp macro="" textlink="">
      <cdr:nvSpPr>
        <cdr:cNvPr id="5" name="TextBox 4">
          <a:extLst xmlns:a="http://schemas.openxmlformats.org/drawingml/2006/main">
            <a:ext uri="{FF2B5EF4-FFF2-40B4-BE49-F238E27FC236}">
              <a16:creationId xmlns:a16="http://schemas.microsoft.com/office/drawing/2014/main" id="{CAE7BB95-361B-45B3-B038-364D17E7EBC4}"/>
            </a:ext>
          </a:extLst>
        </cdr:cNvPr>
        <cdr:cNvSpPr txBox="1"/>
      </cdr:nvSpPr>
      <cdr:spPr>
        <a:xfrm xmlns:a="http://schemas.openxmlformats.org/drawingml/2006/main">
          <a:off x="2194560" y="1181100"/>
          <a:ext cx="1181100" cy="228600"/>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r>
            <a:rPr lang="en-US" sz="1600">
              <a:solidFill>
                <a:schemeClr val="bg1"/>
              </a:solidFill>
              <a:latin typeface="Adobe Garamond Pro" panose="02020502060506020403" pitchFamily="18" charset="0"/>
            </a:rPr>
            <a:t>Defense</a:t>
          </a:r>
        </a:p>
      </cdr:txBody>
    </cdr:sp>
  </cdr:relSizeAnchor>
</c:userShapes>
</file>

<file path=xl/drawings/drawing9.xml><?xml version="1.0" encoding="utf-8"?>
<c:userShapes xmlns:c="http://schemas.openxmlformats.org/drawingml/2006/chart">
  <cdr:relSizeAnchor xmlns:cdr="http://schemas.openxmlformats.org/drawingml/2006/chartDrawing">
    <cdr:from>
      <cdr:x>0.28833</cdr:x>
      <cdr:y>0.20526</cdr:y>
    </cdr:from>
    <cdr:to>
      <cdr:x>0.71341</cdr:x>
      <cdr:y>0.90625</cdr:y>
    </cdr:to>
    <cdr:sp macro="" textlink="">
      <cdr:nvSpPr>
        <cdr:cNvPr id="4" name="Oval 3">
          <a:extLst xmlns:a="http://schemas.openxmlformats.org/drawingml/2006/main">
            <a:ext uri="{FF2B5EF4-FFF2-40B4-BE49-F238E27FC236}">
              <a16:creationId xmlns:a16="http://schemas.microsoft.com/office/drawing/2014/main" id="{62A37B65-53BE-47B9-AF1F-2537C5E32B44}"/>
            </a:ext>
          </a:extLst>
        </cdr:cNvPr>
        <cdr:cNvSpPr/>
      </cdr:nvSpPr>
      <cdr:spPr>
        <a:xfrm xmlns:a="http://schemas.openxmlformats.org/drawingml/2006/main">
          <a:off x="1165155" y="510284"/>
          <a:ext cx="1717767" cy="1742686"/>
        </a:xfrm>
        <a:prstGeom xmlns:a="http://schemas.openxmlformats.org/drawingml/2006/main" prst="ellipse">
          <a:avLst/>
        </a:prstGeom>
        <a:noFill xmlns:a="http://schemas.openxmlformats.org/drawingml/2006/main"/>
        <a:ln xmlns:a="http://schemas.openxmlformats.org/drawingml/2006/main" w="165100">
          <a:solidFill>
            <a:schemeClr val="bg2">
              <a:lumMod val="75000"/>
            </a:schemeClr>
          </a:solidFill>
        </a:ln>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0.45667</cdr:x>
      <cdr:y>0.48889</cdr:y>
    </cdr:from>
    <cdr:to>
      <cdr:x>0.54667</cdr:x>
      <cdr:y>0.63889</cdr:y>
    </cdr:to>
    <cdr:sp macro="" textlink="">
      <cdr:nvSpPr>
        <cdr:cNvPr id="2" name="Oval 1">
          <a:extLst xmlns:a="http://schemas.openxmlformats.org/drawingml/2006/main">
            <a:ext uri="{FF2B5EF4-FFF2-40B4-BE49-F238E27FC236}">
              <a16:creationId xmlns:a16="http://schemas.microsoft.com/office/drawing/2014/main" id="{5E743A0B-901A-4817-90EF-2F6E88688A33}"/>
            </a:ext>
          </a:extLst>
        </cdr:cNvPr>
        <cdr:cNvSpPr/>
      </cdr:nvSpPr>
      <cdr:spPr>
        <a:xfrm xmlns:a="http://schemas.openxmlformats.org/drawingml/2006/main">
          <a:off x="1845926" y="1171789"/>
          <a:ext cx="363793" cy="359525"/>
        </a:xfrm>
        <a:prstGeom xmlns:a="http://schemas.openxmlformats.org/drawingml/2006/main" prst="ellipse">
          <a:avLst/>
        </a:prstGeom>
        <a:ln xmlns:a="http://schemas.openxmlformats.org/drawingml/2006/main">
          <a:noFill/>
        </a:ln>
        <a:effectLst xmlns:a="http://schemas.openxmlformats.org/drawingml/2006/main">
          <a:outerShdw blurRad="107950" dist="12700" dir="5400000" algn="ctr">
            <a:srgbClr val="000000"/>
          </a:outerShdw>
        </a:effectLst>
        <a:scene3d xmlns:a="http://schemas.openxmlformats.org/drawingml/2006/main">
          <a:camera prst="orthographicFront">
            <a:rot lat="0" lon="0" rev="0"/>
          </a:camera>
          <a:lightRig rig="soft" dir="t">
            <a:rot lat="0" lon="0" rev="0"/>
          </a:lightRig>
        </a:scene3d>
        <a:sp3d xmlns:a="http://schemas.openxmlformats.org/drawingml/2006/main" contourW="44450" prstMaterial="matte">
          <a:bevelT w="63500" h="63500" prst="artDeco"/>
          <a:contourClr>
            <a:srgbClr val="FFFFFF"/>
          </a:contourClr>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0.4104</cdr:x>
      <cdr:y>0.68182</cdr:y>
    </cdr:from>
    <cdr:to>
      <cdr:x>0.59097</cdr:x>
      <cdr:y>0.77273</cdr:y>
    </cdr:to>
    <cdr:sp macro="" textlink="alliance!$AL$7">
      <cdr:nvSpPr>
        <cdr:cNvPr id="3" name="Rectangle: Rounded Corners 2">
          <a:extLst xmlns:a="http://schemas.openxmlformats.org/drawingml/2006/main">
            <a:ext uri="{FF2B5EF4-FFF2-40B4-BE49-F238E27FC236}">
              <a16:creationId xmlns:a16="http://schemas.microsoft.com/office/drawing/2014/main" id="{D9D410CF-6614-4F23-A210-4C047DA7B11C}"/>
            </a:ext>
          </a:extLst>
        </cdr:cNvPr>
        <cdr:cNvSpPr/>
      </cdr:nvSpPr>
      <cdr:spPr>
        <a:xfrm xmlns:a="http://schemas.openxmlformats.org/drawingml/2006/main">
          <a:off x="2286000" y="2286000"/>
          <a:ext cx="1005840" cy="304800"/>
        </a:xfrm>
        <a:prstGeom xmlns:a="http://schemas.openxmlformats.org/drawingml/2006/main" prst="roundRect">
          <a:avLst>
            <a:gd name="adj" fmla="val 50000"/>
          </a:avLst>
        </a:prstGeom>
        <a:solidFill xmlns:a="http://schemas.openxmlformats.org/drawingml/2006/main">
          <a:schemeClr val="accent6">
            <a:lumMod val="75000"/>
          </a:schemeClr>
        </a:solidFill>
        <a:ln xmlns:a="http://schemas.openxmlformats.org/drawingml/2006/main">
          <a:noFill/>
        </a:ln>
        <a:effectLst xmlns:a="http://schemas.openxmlformats.org/drawingml/2006/main">
          <a:glow rad="127000">
            <a:srgbClr val="FF0000">
              <a:alpha val="60000"/>
            </a:srgbClr>
          </a:glow>
        </a:effectLst>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fld id="{287EF388-97F2-4C49-BD7E-15E708852A5B}" type="TxLink">
            <a:rPr lang="en-US" sz="1100" b="0" i="0" u="none" strike="noStrike">
              <a:solidFill>
                <a:schemeClr val="bg1"/>
              </a:solidFill>
              <a:latin typeface="Calibri"/>
              <a:cs typeface="Calibri"/>
            </a:rPr>
            <a:pPr algn="ctr"/>
            <a:t>10%</a:t>
          </a:fld>
          <a:endParaRPr lang="en-US" sz="2000">
            <a:solidFill>
              <a:schemeClr val="bg1"/>
            </a:solidFill>
            <a:latin typeface="Bernard MT Condensed" panose="02050806060905020404" pitchFamily="18" charset="0"/>
          </a:endParaRPr>
        </a:p>
      </cdr:txBody>
    </cdr:sp>
  </cdr:relSizeAnchor>
  <cdr:relSizeAnchor xmlns:cdr="http://schemas.openxmlformats.org/drawingml/2006/chartDrawing">
    <cdr:from>
      <cdr:x>0.39398</cdr:x>
      <cdr:y>0.35227</cdr:y>
    </cdr:from>
    <cdr:to>
      <cdr:x>0.60602</cdr:x>
      <cdr:y>0.42045</cdr:y>
    </cdr:to>
    <cdr:sp macro="" textlink="">
      <cdr:nvSpPr>
        <cdr:cNvPr id="5" name="TextBox 4">
          <a:extLst xmlns:a="http://schemas.openxmlformats.org/drawingml/2006/main">
            <a:ext uri="{FF2B5EF4-FFF2-40B4-BE49-F238E27FC236}">
              <a16:creationId xmlns:a16="http://schemas.microsoft.com/office/drawing/2014/main" id="{CAE7BB95-361B-45B3-B038-364D17E7EBC4}"/>
            </a:ext>
          </a:extLst>
        </cdr:cNvPr>
        <cdr:cNvSpPr txBox="1"/>
      </cdr:nvSpPr>
      <cdr:spPr>
        <a:xfrm xmlns:a="http://schemas.openxmlformats.org/drawingml/2006/main">
          <a:off x="2194560" y="1181100"/>
          <a:ext cx="1181100" cy="228600"/>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r>
            <a:rPr lang="en-US" sz="1600">
              <a:solidFill>
                <a:schemeClr val="bg1"/>
              </a:solidFill>
              <a:latin typeface="Adobe Garamond Pro" panose="02020502060506020403" pitchFamily="18" charset="0"/>
            </a:rPr>
            <a:t>Defense</a:t>
          </a:r>
        </a:p>
      </cdr:txBody>
    </cdr:sp>
  </cdr:relSizeAnchor>
</c:userShapes>
</file>

<file path=xl/drawings/drawing10.xml><?xml version="1.0" encoding="utf-8"?>
<c:userShapes xmlns:c="http://schemas.openxmlformats.org/drawingml/2006/chart">
  <cdr:relSizeAnchor xmlns:cdr="http://schemas.openxmlformats.org/drawingml/2006/chartDrawing">
    <cdr:from>
      <cdr:x>0.28833</cdr:x>
      <cdr:y>0.20526</cdr:y>
    </cdr:from>
    <cdr:to>
      <cdr:x>0.71341</cdr:x>
      <cdr:y>0.90625</cdr:y>
    </cdr:to>
    <cdr:sp macro="" textlink="">
      <cdr:nvSpPr>
        <cdr:cNvPr id="4" name="Oval 3">
          <a:extLst xmlns:a="http://schemas.openxmlformats.org/drawingml/2006/main">
            <a:ext uri="{FF2B5EF4-FFF2-40B4-BE49-F238E27FC236}">
              <a16:creationId xmlns:a16="http://schemas.microsoft.com/office/drawing/2014/main" id="{62A37B65-53BE-47B9-AF1F-2537C5E32B44}"/>
            </a:ext>
          </a:extLst>
        </cdr:cNvPr>
        <cdr:cNvSpPr/>
      </cdr:nvSpPr>
      <cdr:spPr>
        <a:xfrm xmlns:a="http://schemas.openxmlformats.org/drawingml/2006/main">
          <a:off x="1165155" y="510284"/>
          <a:ext cx="1717767" cy="1742686"/>
        </a:xfrm>
        <a:prstGeom xmlns:a="http://schemas.openxmlformats.org/drawingml/2006/main" prst="ellipse">
          <a:avLst/>
        </a:prstGeom>
        <a:noFill xmlns:a="http://schemas.openxmlformats.org/drawingml/2006/main"/>
        <a:ln xmlns:a="http://schemas.openxmlformats.org/drawingml/2006/main" w="165100">
          <a:solidFill>
            <a:schemeClr val="bg2">
              <a:lumMod val="75000"/>
            </a:schemeClr>
          </a:solidFill>
        </a:ln>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0.45667</cdr:x>
      <cdr:y>0.48889</cdr:y>
    </cdr:from>
    <cdr:to>
      <cdr:x>0.54667</cdr:x>
      <cdr:y>0.63889</cdr:y>
    </cdr:to>
    <cdr:sp macro="" textlink="">
      <cdr:nvSpPr>
        <cdr:cNvPr id="2" name="Oval 1">
          <a:extLst xmlns:a="http://schemas.openxmlformats.org/drawingml/2006/main">
            <a:ext uri="{FF2B5EF4-FFF2-40B4-BE49-F238E27FC236}">
              <a16:creationId xmlns:a16="http://schemas.microsoft.com/office/drawing/2014/main" id="{5E743A0B-901A-4817-90EF-2F6E88688A33}"/>
            </a:ext>
          </a:extLst>
        </cdr:cNvPr>
        <cdr:cNvSpPr/>
      </cdr:nvSpPr>
      <cdr:spPr>
        <a:xfrm xmlns:a="http://schemas.openxmlformats.org/drawingml/2006/main">
          <a:off x="1845926" y="1171789"/>
          <a:ext cx="363793" cy="359525"/>
        </a:xfrm>
        <a:prstGeom xmlns:a="http://schemas.openxmlformats.org/drawingml/2006/main" prst="ellipse">
          <a:avLst/>
        </a:prstGeom>
        <a:ln xmlns:a="http://schemas.openxmlformats.org/drawingml/2006/main">
          <a:noFill/>
        </a:ln>
        <a:effectLst xmlns:a="http://schemas.openxmlformats.org/drawingml/2006/main">
          <a:outerShdw blurRad="107950" dist="12700" dir="5400000" algn="ctr">
            <a:srgbClr val="000000"/>
          </a:outerShdw>
        </a:effectLst>
        <a:scene3d xmlns:a="http://schemas.openxmlformats.org/drawingml/2006/main">
          <a:camera prst="orthographicFront">
            <a:rot lat="0" lon="0" rev="0"/>
          </a:camera>
          <a:lightRig rig="soft" dir="t">
            <a:rot lat="0" lon="0" rev="0"/>
          </a:lightRig>
        </a:scene3d>
        <a:sp3d xmlns:a="http://schemas.openxmlformats.org/drawingml/2006/main" contourW="44450" prstMaterial="matte">
          <a:bevelT w="63500" h="63500" prst="artDeco"/>
          <a:contourClr>
            <a:srgbClr val="FFFFFF"/>
          </a:contourClr>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0.4104</cdr:x>
      <cdr:y>0.68182</cdr:y>
    </cdr:from>
    <cdr:to>
      <cdr:x>0.59097</cdr:x>
      <cdr:y>0.77273</cdr:y>
    </cdr:to>
    <cdr:sp macro="" textlink="alliance!$AL$9">
      <cdr:nvSpPr>
        <cdr:cNvPr id="3" name="Rectangle: Rounded Corners 2">
          <a:extLst xmlns:a="http://schemas.openxmlformats.org/drawingml/2006/main">
            <a:ext uri="{FF2B5EF4-FFF2-40B4-BE49-F238E27FC236}">
              <a16:creationId xmlns:a16="http://schemas.microsoft.com/office/drawing/2014/main" id="{D9D410CF-6614-4F23-A210-4C047DA7B11C}"/>
            </a:ext>
          </a:extLst>
        </cdr:cNvPr>
        <cdr:cNvSpPr/>
      </cdr:nvSpPr>
      <cdr:spPr>
        <a:xfrm xmlns:a="http://schemas.openxmlformats.org/drawingml/2006/main">
          <a:off x="2286000" y="2286000"/>
          <a:ext cx="1005840" cy="304800"/>
        </a:xfrm>
        <a:prstGeom xmlns:a="http://schemas.openxmlformats.org/drawingml/2006/main" prst="roundRect">
          <a:avLst>
            <a:gd name="adj" fmla="val 50000"/>
          </a:avLst>
        </a:prstGeom>
        <a:solidFill xmlns:a="http://schemas.openxmlformats.org/drawingml/2006/main">
          <a:schemeClr val="accent6">
            <a:lumMod val="75000"/>
          </a:schemeClr>
        </a:solidFill>
        <a:ln xmlns:a="http://schemas.openxmlformats.org/drawingml/2006/main">
          <a:noFill/>
        </a:ln>
        <a:effectLst xmlns:a="http://schemas.openxmlformats.org/drawingml/2006/main">
          <a:glow rad="127000">
            <a:srgbClr val="FF0000">
              <a:alpha val="60000"/>
            </a:srgbClr>
          </a:glow>
        </a:effectLst>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fld id="{AD58E5E8-EA18-4BE0-AF94-823AF9D1B693}" type="TxLink">
            <a:rPr lang="en-US" sz="1100" b="0" i="0" u="none" strike="noStrike">
              <a:solidFill>
                <a:schemeClr val="bg1"/>
              </a:solidFill>
              <a:latin typeface="Calibri"/>
              <a:cs typeface="Calibri"/>
            </a:rPr>
            <a:pPr algn="ctr"/>
            <a:t>13%</a:t>
          </a:fld>
          <a:endParaRPr lang="en-US" sz="2000">
            <a:solidFill>
              <a:schemeClr val="bg1"/>
            </a:solidFill>
            <a:latin typeface="Bernard MT Condensed" panose="02050806060905020404" pitchFamily="18" charset="0"/>
          </a:endParaRPr>
        </a:p>
      </cdr:txBody>
    </cdr:sp>
  </cdr:relSizeAnchor>
  <cdr:relSizeAnchor xmlns:cdr="http://schemas.openxmlformats.org/drawingml/2006/chartDrawing">
    <cdr:from>
      <cdr:x>0.39398</cdr:x>
      <cdr:y>0.35227</cdr:y>
    </cdr:from>
    <cdr:to>
      <cdr:x>0.60602</cdr:x>
      <cdr:y>0.42045</cdr:y>
    </cdr:to>
    <cdr:sp macro="" textlink="">
      <cdr:nvSpPr>
        <cdr:cNvPr id="5" name="TextBox 4">
          <a:extLst xmlns:a="http://schemas.openxmlformats.org/drawingml/2006/main">
            <a:ext uri="{FF2B5EF4-FFF2-40B4-BE49-F238E27FC236}">
              <a16:creationId xmlns:a16="http://schemas.microsoft.com/office/drawing/2014/main" id="{CAE7BB95-361B-45B3-B038-364D17E7EBC4}"/>
            </a:ext>
          </a:extLst>
        </cdr:cNvPr>
        <cdr:cNvSpPr txBox="1"/>
      </cdr:nvSpPr>
      <cdr:spPr>
        <a:xfrm xmlns:a="http://schemas.openxmlformats.org/drawingml/2006/main">
          <a:off x="2194560" y="1181100"/>
          <a:ext cx="1181100" cy="228600"/>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r>
            <a:rPr lang="en-US" sz="1600">
              <a:solidFill>
                <a:schemeClr val="bg1"/>
              </a:solidFill>
              <a:latin typeface="Adobe Garamond Pro" panose="02020502060506020403" pitchFamily="18" charset="0"/>
            </a:rPr>
            <a:t>Defense</a:t>
          </a:r>
        </a:p>
      </cdr:txBody>
    </cdr:sp>
  </cdr:relSizeAnchor>
</c:userShapes>
</file>

<file path=xl/drawings/drawing11.xml><?xml version="1.0" encoding="utf-8"?>
<c:userShapes xmlns:c="http://schemas.openxmlformats.org/drawingml/2006/chart">
  <cdr:relSizeAnchor xmlns:cdr="http://schemas.openxmlformats.org/drawingml/2006/chartDrawing">
    <cdr:from>
      <cdr:x>0.28833</cdr:x>
      <cdr:y>0.20526</cdr:y>
    </cdr:from>
    <cdr:to>
      <cdr:x>0.71341</cdr:x>
      <cdr:y>0.90625</cdr:y>
    </cdr:to>
    <cdr:sp macro="" textlink="">
      <cdr:nvSpPr>
        <cdr:cNvPr id="4" name="Oval 3">
          <a:extLst xmlns:a="http://schemas.openxmlformats.org/drawingml/2006/main">
            <a:ext uri="{FF2B5EF4-FFF2-40B4-BE49-F238E27FC236}">
              <a16:creationId xmlns:a16="http://schemas.microsoft.com/office/drawing/2014/main" id="{62A37B65-53BE-47B9-AF1F-2537C5E32B44}"/>
            </a:ext>
          </a:extLst>
        </cdr:cNvPr>
        <cdr:cNvSpPr/>
      </cdr:nvSpPr>
      <cdr:spPr>
        <a:xfrm xmlns:a="http://schemas.openxmlformats.org/drawingml/2006/main">
          <a:off x="1165155" y="510284"/>
          <a:ext cx="1717767" cy="1742686"/>
        </a:xfrm>
        <a:prstGeom xmlns:a="http://schemas.openxmlformats.org/drawingml/2006/main" prst="ellipse">
          <a:avLst/>
        </a:prstGeom>
        <a:noFill xmlns:a="http://schemas.openxmlformats.org/drawingml/2006/main"/>
        <a:ln xmlns:a="http://schemas.openxmlformats.org/drawingml/2006/main" w="165100">
          <a:solidFill>
            <a:schemeClr val="bg2">
              <a:lumMod val="75000"/>
            </a:schemeClr>
          </a:solidFill>
        </a:ln>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0.45667</cdr:x>
      <cdr:y>0.48889</cdr:y>
    </cdr:from>
    <cdr:to>
      <cdr:x>0.54667</cdr:x>
      <cdr:y>0.63889</cdr:y>
    </cdr:to>
    <cdr:sp macro="" textlink="">
      <cdr:nvSpPr>
        <cdr:cNvPr id="2" name="Oval 1">
          <a:extLst xmlns:a="http://schemas.openxmlformats.org/drawingml/2006/main">
            <a:ext uri="{FF2B5EF4-FFF2-40B4-BE49-F238E27FC236}">
              <a16:creationId xmlns:a16="http://schemas.microsoft.com/office/drawing/2014/main" id="{5E743A0B-901A-4817-90EF-2F6E88688A33}"/>
            </a:ext>
          </a:extLst>
        </cdr:cNvPr>
        <cdr:cNvSpPr/>
      </cdr:nvSpPr>
      <cdr:spPr>
        <a:xfrm xmlns:a="http://schemas.openxmlformats.org/drawingml/2006/main">
          <a:off x="1845926" y="1171789"/>
          <a:ext cx="363793" cy="359525"/>
        </a:xfrm>
        <a:prstGeom xmlns:a="http://schemas.openxmlformats.org/drawingml/2006/main" prst="ellipse">
          <a:avLst/>
        </a:prstGeom>
        <a:ln xmlns:a="http://schemas.openxmlformats.org/drawingml/2006/main">
          <a:noFill/>
        </a:ln>
        <a:effectLst xmlns:a="http://schemas.openxmlformats.org/drawingml/2006/main">
          <a:outerShdw blurRad="107950" dist="12700" dir="5400000" algn="ctr">
            <a:srgbClr val="000000"/>
          </a:outerShdw>
        </a:effectLst>
        <a:scene3d xmlns:a="http://schemas.openxmlformats.org/drawingml/2006/main">
          <a:camera prst="orthographicFront">
            <a:rot lat="0" lon="0" rev="0"/>
          </a:camera>
          <a:lightRig rig="soft" dir="t">
            <a:rot lat="0" lon="0" rev="0"/>
          </a:lightRig>
        </a:scene3d>
        <a:sp3d xmlns:a="http://schemas.openxmlformats.org/drawingml/2006/main" contourW="44450" prstMaterial="matte">
          <a:bevelT w="63500" h="63500" prst="artDeco"/>
          <a:contourClr>
            <a:srgbClr val="FFFFFF"/>
          </a:contourClr>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0.4104</cdr:x>
      <cdr:y>0.68182</cdr:y>
    </cdr:from>
    <cdr:to>
      <cdr:x>0.59097</cdr:x>
      <cdr:y>0.77273</cdr:y>
    </cdr:to>
    <cdr:sp macro="" textlink="alliance!$AL$11">
      <cdr:nvSpPr>
        <cdr:cNvPr id="3" name="Rectangle: Rounded Corners 2">
          <a:extLst xmlns:a="http://schemas.openxmlformats.org/drawingml/2006/main">
            <a:ext uri="{FF2B5EF4-FFF2-40B4-BE49-F238E27FC236}">
              <a16:creationId xmlns:a16="http://schemas.microsoft.com/office/drawing/2014/main" id="{D9D410CF-6614-4F23-A210-4C047DA7B11C}"/>
            </a:ext>
          </a:extLst>
        </cdr:cNvPr>
        <cdr:cNvSpPr/>
      </cdr:nvSpPr>
      <cdr:spPr>
        <a:xfrm xmlns:a="http://schemas.openxmlformats.org/drawingml/2006/main">
          <a:off x="2286000" y="2286000"/>
          <a:ext cx="1005840" cy="304800"/>
        </a:xfrm>
        <a:prstGeom xmlns:a="http://schemas.openxmlformats.org/drawingml/2006/main" prst="roundRect">
          <a:avLst>
            <a:gd name="adj" fmla="val 50000"/>
          </a:avLst>
        </a:prstGeom>
        <a:solidFill xmlns:a="http://schemas.openxmlformats.org/drawingml/2006/main">
          <a:schemeClr val="accent6">
            <a:lumMod val="75000"/>
          </a:schemeClr>
        </a:solidFill>
        <a:ln xmlns:a="http://schemas.openxmlformats.org/drawingml/2006/main">
          <a:noFill/>
        </a:ln>
        <a:effectLst xmlns:a="http://schemas.openxmlformats.org/drawingml/2006/main">
          <a:glow rad="127000">
            <a:srgbClr val="FF0000">
              <a:alpha val="60000"/>
            </a:srgbClr>
          </a:glow>
        </a:effectLst>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fld id="{ABC01DE3-4AFC-4842-822E-946B65615E6C}" type="TxLink">
            <a:rPr lang="en-US" sz="1100" b="0" i="0" u="none" strike="noStrike">
              <a:solidFill>
                <a:schemeClr val="bg1"/>
              </a:solidFill>
              <a:latin typeface="Calibri"/>
              <a:cs typeface="Calibri"/>
            </a:rPr>
            <a:pPr algn="ctr"/>
            <a:t>43%</a:t>
          </a:fld>
          <a:endParaRPr lang="en-US" sz="2000">
            <a:solidFill>
              <a:schemeClr val="bg1"/>
            </a:solidFill>
            <a:latin typeface="Bernard MT Condensed" panose="02050806060905020404" pitchFamily="18" charset="0"/>
          </a:endParaRPr>
        </a:p>
      </cdr:txBody>
    </cdr:sp>
  </cdr:relSizeAnchor>
  <cdr:relSizeAnchor xmlns:cdr="http://schemas.openxmlformats.org/drawingml/2006/chartDrawing">
    <cdr:from>
      <cdr:x>0.39398</cdr:x>
      <cdr:y>0.35227</cdr:y>
    </cdr:from>
    <cdr:to>
      <cdr:x>0.60602</cdr:x>
      <cdr:y>0.42045</cdr:y>
    </cdr:to>
    <cdr:sp macro="" textlink="">
      <cdr:nvSpPr>
        <cdr:cNvPr id="5" name="TextBox 4">
          <a:extLst xmlns:a="http://schemas.openxmlformats.org/drawingml/2006/main">
            <a:ext uri="{FF2B5EF4-FFF2-40B4-BE49-F238E27FC236}">
              <a16:creationId xmlns:a16="http://schemas.microsoft.com/office/drawing/2014/main" id="{CAE7BB95-361B-45B3-B038-364D17E7EBC4}"/>
            </a:ext>
          </a:extLst>
        </cdr:cNvPr>
        <cdr:cNvSpPr txBox="1"/>
      </cdr:nvSpPr>
      <cdr:spPr>
        <a:xfrm xmlns:a="http://schemas.openxmlformats.org/drawingml/2006/main">
          <a:off x="2194560" y="1181100"/>
          <a:ext cx="1181100" cy="228600"/>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r>
            <a:rPr lang="en-US" sz="1600">
              <a:solidFill>
                <a:schemeClr val="bg1"/>
              </a:solidFill>
              <a:latin typeface="Adobe Garamond Pro" panose="02020502060506020403" pitchFamily="18" charset="0"/>
            </a:rPr>
            <a:t>Climb</a:t>
          </a:r>
        </a:p>
      </cdr:txBody>
    </cdr:sp>
  </cdr:relSizeAnchor>
</c:userShapes>
</file>

<file path=xl/drawings/drawing12.xml><?xml version="1.0" encoding="utf-8"?>
<c:userShapes xmlns:c="http://schemas.openxmlformats.org/drawingml/2006/chart">
  <cdr:relSizeAnchor xmlns:cdr="http://schemas.openxmlformats.org/drawingml/2006/chartDrawing">
    <cdr:from>
      <cdr:x>0.28833</cdr:x>
      <cdr:y>0.20526</cdr:y>
    </cdr:from>
    <cdr:to>
      <cdr:x>0.71341</cdr:x>
      <cdr:y>0.90625</cdr:y>
    </cdr:to>
    <cdr:sp macro="" textlink="">
      <cdr:nvSpPr>
        <cdr:cNvPr id="4" name="Oval 3">
          <a:extLst xmlns:a="http://schemas.openxmlformats.org/drawingml/2006/main">
            <a:ext uri="{FF2B5EF4-FFF2-40B4-BE49-F238E27FC236}">
              <a16:creationId xmlns:a16="http://schemas.microsoft.com/office/drawing/2014/main" id="{62A37B65-53BE-47B9-AF1F-2537C5E32B44}"/>
            </a:ext>
          </a:extLst>
        </cdr:cNvPr>
        <cdr:cNvSpPr/>
      </cdr:nvSpPr>
      <cdr:spPr>
        <a:xfrm xmlns:a="http://schemas.openxmlformats.org/drawingml/2006/main">
          <a:off x="1165155" y="510284"/>
          <a:ext cx="1717767" cy="1742686"/>
        </a:xfrm>
        <a:prstGeom xmlns:a="http://schemas.openxmlformats.org/drawingml/2006/main" prst="ellipse">
          <a:avLst/>
        </a:prstGeom>
        <a:noFill xmlns:a="http://schemas.openxmlformats.org/drawingml/2006/main"/>
        <a:ln xmlns:a="http://schemas.openxmlformats.org/drawingml/2006/main" w="165100">
          <a:solidFill>
            <a:schemeClr val="bg2">
              <a:lumMod val="75000"/>
            </a:schemeClr>
          </a:solidFill>
        </a:ln>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0.45667</cdr:x>
      <cdr:y>0.48889</cdr:y>
    </cdr:from>
    <cdr:to>
      <cdr:x>0.54667</cdr:x>
      <cdr:y>0.63889</cdr:y>
    </cdr:to>
    <cdr:sp macro="" textlink="">
      <cdr:nvSpPr>
        <cdr:cNvPr id="2" name="Oval 1">
          <a:extLst xmlns:a="http://schemas.openxmlformats.org/drawingml/2006/main">
            <a:ext uri="{FF2B5EF4-FFF2-40B4-BE49-F238E27FC236}">
              <a16:creationId xmlns:a16="http://schemas.microsoft.com/office/drawing/2014/main" id="{5E743A0B-901A-4817-90EF-2F6E88688A33}"/>
            </a:ext>
          </a:extLst>
        </cdr:cNvPr>
        <cdr:cNvSpPr/>
      </cdr:nvSpPr>
      <cdr:spPr>
        <a:xfrm xmlns:a="http://schemas.openxmlformats.org/drawingml/2006/main">
          <a:off x="1845926" y="1171789"/>
          <a:ext cx="363793" cy="359525"/>
        </a:xfrm>
        <a:prstGeom xmlns:a="http://schemas.openxmlformats.org/drawingml/2006/main" prst="ellipse">
          <a:avLst/>
        </a:prstGeom>
        <a:ln xmlns:a="http://schemas.openxmlformats.org/drawingml/2006/main">
          <a:noFill/>
        </a:ln>
        <a:effectLst xmlns:a="http://schemas.openxmlformats.org/drawingml/2006/main">
          <a:outerShdw blurRad="107950" dist="12700" dir="5400000" algn="ctr">
            <a:srgbClr val="000000"/>
          </a:outerShdw>
        </a:effectLst>
        <a:scene3d xmlns:a="http://schemas.openxmlformats.org/drawingml/2006/main">
          <a:camera prst="orthographicFront">
            <a:rot lat="0" lon="0" rev="0"/>
          </a:camera>
          <a:lightRig rig="soft" dir="t">
            <a:rot lat="0" lon="0" rev="0"/>
          </a:lightRig>
        </a:scene3d>
        <a:sp3d xmlns:a="http://schemas.openxmlformats.org/drawingml/2006/main" contourW="44450" prstMaterial="matte">
          <a:bevelT w="63500" h="63500" prst="artDeco"/>
          <a:contourClr>
            <a:srgbClr val="FFFFFF"/>
          </a:contourClr>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0.4104</cdr:x>
      <cdr:y>0.68182</cdr:y>
    </cdr:from>
    <cdr:to>
      <cdr:x>0.59097</cdr:x>
      <cdr:y>0.77273</cdr:y>
    </cdr:to>
    <cdr:sp macro="" textlink="alliance!$AL$12">
      <cdr:nvSpPr>
        <cdr:cNvPr id="3" name="Rectangle: Rounded Corners 2">
          <a:extLst xmlns:a="http://schemas.openxmlformats.org/drawingml/2006/main">
            <a:ext uri="{FF2B5EF4-FFF2-40B4-BE49-F238E27FC236}">
              <a16:creationId xmlns:a16="http://schemas.microsoft.com/office/drawing/2014/main" id="{D9D410CF-6614-4F23-A210-4C047DA7B11C}"/>
            </a:ext>
          </a:extLst>
        </cdr:cNvPr>
        <cdr:cNvSpPr/>
      </cdr:nvSpPr>
      <cdr:spPr>
        <a:xfrm xmlns:a="http://schemas.openxmlformats.org/drawingml/2006/main">
          <a:off x="2286000" y="2286000"/>
          <a:ext cx="1005840" cy="304800"/>
        </a:xfrm>
        <a:prstGeom xmlns:a="http://schemas.openxmlformats.org/drawingml/2006/main" prst="roundRect">
          <a:avLst>
            <a:gd name="adj" fmla="val 50000"/>
          </a:avLst>
        </a:prstGeom>
        <a:solidFill xmlns:a="http://schemas.openxmlformats.org/drawingml/2006/main">
          <a:schemeClr val="accent6">
            <a:lumMod val="75000"/>
          </a:schemeClr>
        </a:solidFill>
        <a:ln xmlns:a="http://schemas.openxmlformats.org/drawingml/2006/main">
          <a:noFill/>
        </a:ln>
        <a:effectLst xmlns:a="http://schemas.openxmlformats.org/drawingml/2006/main">
          <a:glow rad="127000">
            <a:srgbClr val="FF0000">
              <a:alpha val="60000"/>
            </a:srgbClr>
          </a:glow>
        </a:effectLst>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fld id="{E12539CF-E0D6-4744-B6CC-239A5B8F7F4D}" type="TxLink">
            <a:rPr lang="en-US" sz="1100" b="0" i="0" u="none" strike="noStrike">
              <a:solidFill>
                <a:schemeClr val="bg1"/>
              </a:solidFill>
              <a:latin typeface="Calibri"/>
              <a:cs typeface="Calibri"/>
            </a:rPr>
            <a:pPr algn="ctr"/>
            <a:t>14%</a:t>
          </a:fld>
          <a:endParaRPr lang="en-US" sz="2000">
            <a:solidFill>
              <a:schemeClr val="bg1"/>
            </a:solidFill>
            <a:latin typeface="Bernard MT Condensed" panose="02050806060905020404" pitchFamily="18" charset="0"/>
          </a:endParaRPr>
        </a:p>
      </cdr:txBody>
    </cdr:sp>
  </cdr:relSizeAnchor>
  <cdr:relSizeAnchor xmlns:cdr="http://schemas.openxmlformats.org/drawingml/2006/chartDrawing">
    <cdr:from>
      <cdr:x>0.39398</cdr:x>
      <cdr:y>0.35227</cdr:y>
    </cdr:from>
    <cdr:to>
      <cdr:x>0.60602</cdr:x>
      <cdr:y>0.42045</cdr:y>
    </cdr:to>
    <cdr:sp macro="" textlink="">
      <cdr:nvSpPr>
        <cdr:cNvPr id="5" name="TextBox 4">
          <a:extLst xmlns:a="http://schemas.openxmlformats.org/drawingml/2006/main">
            <a:ext uri="{FF2B5EF4-FFF2-40B4-BE49-F238E27FC236}">
              <a16:creationId xmlns:a16="http://schemas.microsoft.com/office/drawing/2014/main" id="{CAE7BB95-361B-45B3-B038-364D17E7EBC4}"/>
            </a:ext>
          </a:extLst>
        </cdr:cNvPr>
        <cdr:cNvSpPr txBox="1"/>
      </cdr:nvSpPr>
      <cdr:spPr>
        <a:xfrm xmlns:a="http://schemas.openxmlformats.org/drawingml/2006/main">
          <a:off x="2194560" y="1181100"/>
          <a:ext cx="1181100" cy="228600"/>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r>
            <a:rPr lang="en-US" sz="1600">
              <a:solidFill>
                <a:schemeClr val="bg1"/>
              </a:solidFill>
              <a:latin typeface="Adobe Garamond Pro" panose="02020502060506020403" pitchFamily="18" charset="0"/>
            </a:rPr>
            <a:t>Climb</a:t>
          </a:r>
        </a:p>
      </cdr:txBody>
    </cdr:sp>
  </cdr:relSizeAnchor>
</c:userShapes>
</file>

<file path=xl/drawings/drawing13.xml><?xml version="1.0" encoding="utf-8"?>
<c:userShapes xmlns:c="http://schemas.openxmlformats.org/drawingml/2006/chart">
  <cdr:relSizeAnchor xmlns:cdr="http://schemas.openxmlformats.org/drawingml/2006/chartDrawing">
    <cdr:from>
      <cdr:x>0.28833</cdr:x>
      <cdr:y>0.20526</cdr:y>
    </cdr:from>
    <cdr:to>
      <cdr:x>0.71341</cdr:x>
      <cdr:y>0.90625</cdr:y>
    </cdr:to>
    <cdr:sp macro="" textlink="">
      <cdr:nvSpPr>
        <cdr:cNvPr id="4" name="Oval 3">
          <a:extLst xmlns:a="http://schemas.openxmlformats.org/drawingml/2006/main">
            <a:ext uri="{FF2B5EF4-FFF2-40B4-BE49-F238E27FC236}">
              <a16:creationId xmlns:a16="http://schemas.microsoft.com/office/drawing/2014/main" id="{62A37B65-53BE-47B9-AF1F-2537C5E32B44}"/>
            </a:ext>
          </a:extLst>
        </cdr:cNvPr>
        <cdr:cNvSpPr/>
      </cdr:nvSpPr>
      <cdr:spPr>
        <a:xfrm xmlns:a="http://schemas.openxmlformats.org/drawingml/2006/main">
          <a:off x="1165155" y="510284"/>
          <a:ext cx="1717767" cy="1742686"/>
        </a:xfrm>
        <a:prstGeom xmlns:a="http://schemas.openxmlformats.org/drawingml/2006/main" prst="ellipse">
          <a:avLst/>
        </a:prstGeom>
        <a:noFill xmlns:a="http://schemas.openxmlformats.org/drawingml/2006/main"/>
        <a:ln xmlns:a="http://schemas.openxmlformats.org/drawingml/2006/main" w="165100">
          <a:solidFill>
            <a:schemeClr val="bg2">
              <a:lumMod val="75000"/>
            </a:schemeClr>
          </a:solidFill>
        </a:ln>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0.45667</cdr:x>
      <cdr:y>0.48889</cdr:y>
    </cdr:from>
    <cdr:to>
      <cdr:x>0.54667</cdr:x>
      <cdr:y>0.63889</cdr:y>
    </cdr:to>
    <cdr:sp macro="" textlink="">
      <cdr:nvSpPr>
        <cdr:cNvPr id="2" name="Oval 1">
          <a:extLst xmlns:a="http://schemas.openxmlformats.org/drawingml/2006/main">
            <a:ext uri="{FF2B5EF4-FFF2-40B4-BE49-F238E27FC236}">
              <a16:creationId xmlns:a16="http://schemas.microsoft.com/office/drawing/2014/main" id="{5E743A0B-901A-4817-90EF-2F6E88688A33}"/>
            </a:ext>
          </a:extLst>
        </cdr:cNvPr>
        <cdr:cNvSpPr/>
      </cdr:nvSpPr>
      <cdr:spPr>
        <a:xfrm xmlns:a="http://schemas.openxmlformats.org/drawingml/2006/main">
          <a:off x="1845926" y="1171789"/>
          <a:ext cx="363793" cy="359525"/>
        </a:xfrm>
        <a:prstGeom xmlns:a="http://schemas.openxmlformats.org/drawingml/2006/main" prst="ellipse">
          <a:avLst/>
        </a:prstGeom>
        <a:ln xmlns:a="http://schemas.openxmlformats.org/drawingml/2006/main">
          <a:noFill/>
        </a:ln>
        <a:effectLst xmlns:a="http://schemas.openxmlformats.org/drawingml/2006/main">
          <a:outerShdw blurRad="107950" dist="12700" dir="5400000" algn="ctr">
            <a:srgbClr val="000000"/>
          </a:outerShdw>
        </a:effectLst>
        <a:scene3d xmlns:a="http://schemas.openxmlformats.org/drawingml/2006/main">
          <a:camera prst="orthographicFront">
            <a:rot lat="0" lon="0" rev="0"/>
          </a:camera>
          <a:lightRig rig="soft" dir="t">
            <a:rot lat="0" lon="0" rev="0"/>
          </a:lightRig>
        </a:scene3d>
        <a:sp3d xmlns:a="http://schemas.openxmlformats.org/drawingml/2006/main" contourW="44450" prstMaterial="matte">
          <a:bevelT w="63500" h="63500" prst="artDeco"/>
          <a:contourClr>
            <a:srgbClr val="FFFFFF"/>
          </a:contourClr>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0.4104</cdr:x>
      <cdr:y>0.68182</cdr:y>
    </cdr:from>
    <cdr:to>
      <cdr:x>0.59097</cdr:x>
      <cdr:y>0.77273</cdr:y>
    </cdr:to>
    <cdr:sp macro="" textlink="alliance!$AL$13">
      <cdr:nvSpPr>
        <cdr:cNvPr id="3" name="Rectangle: Rounded Corners 2">
          <a:extLst xmlns:a="http://schemas.openxmlformats.org/drawingml/2006/main">
            <a:ext uri="{FF2B5EF4-FFF2-40B4-BE49-F238E27FC236}">
              <a16:creationId xmlns:a16="http://schemas.microsoft.com/office/drawing/2014/main" id="{D9D410CF-6614-4F23-A210-4C047DA7B11C}"/>
            </a:ext>
          </a:extLst>
        </cdr:cNvPr>
        <cdr:cNvSpPr/>
      </cdr:nvSpPr>
      <cdr:spPr>
        <a:xfrm xmlns:a="http://schemas.openxmlformats.org/drawingml/2006/main">
          <a:off x="2286000" y="2286000"/>
          <a:ext cx="1005840" cy="304800"/>
        </a:xfrm>
        <a:prstGeom xmlns:a="http://schemas.openxmlformats.org/drawingml/2006/main" prst="roundRect">
          <a:avLst>
            <a:gd name="adj" fmla="val 50000"/>
          </a:avLst>
        </a:prstGeom>
        <a:solidFill xmlns:a="http://schemas.openxmlformats.org/drawingml/2006/main">
          <a:schemeClr val="accent6">
            <a:lumMod val="75000"/>
          </a:schemeClr>
        </a:solidFill>
        <a:ln xmlns:a="http://schemas.openxmlformats.org/drawingml/2006/main">
          <a:noFill/>
        </a:ln>
        <a:effectLst xmlns:a="http://schemas.openxmlformats.org/drawingml/2006/main">
          <a:glow rad="127000">
            <a:srgbClr val="FF0000">
              <a:alpha val="60000"/>
            </a:srgbClr>
          </a:glow>
        </a:effectLst>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fld id="{850F44E2-874C-4632-8015-3F32BC29A206}" type="TxLink">
            <a:rPr lang="en-US" sz="1100" b="0" i="0" u="none" strike="noStrike">
              <a:solidFill>
                <a:schemeClr val="bg1"/>
              </a:solidFill>
              <a:latin typeface="Calibri"/>
              <a:cs typeface="Calibri"/>
            </a:rPr>
            <a:pPr algn="ctr"/>
            <a:t>38%</a:t>
          </a:fld>
          <a:endParaRPr lang="en-US" sz="2000">
            <a:solidFill>
              <a:schemeClr val="bg1"/>
            </a:solidFill>
            <a:latin typeface="Bernard MT Condensed" panose="02050806060905020404" pitchFamily="18" charset="0"/>
          </a:endParaRPr>
        </a:p>
      </cdr:txBody>
    </cdr:sp>
  </cdr:relSizeAnchor>
  <cdr:relSizeAnchor xmlns:cdr="http://schemas.openxmlformats.org/drawingml/2006/chartDrawing">
    <cdr:from>
      <cdr:x>0.39398</cdr:x>
      <cdr:y>0.35227</cdr:y>
    </cdr:from>
    <cdr:to>
      <cdr:x>0.60602</cdr:x>
      <cdr:y>0.42045</cdr:y>
    </cdr:to>
    <cdr:sp macro="" textlink="">
      <cdr:nvSpPr>
        <cdr:cNvPr id="5" name="TextBox 4">
          <a:extLst xmlns:a="http://schemas.openxmlformats.org/drawingml/2006/main">
            <a:ext uri="{FF2B5EF4-FFF2-40B4-BE49-F238E27FC236}">
              <a16:creationId xmlns:a16="http://schemas.microsoft.com/office/drawing/2014/main" id="{CAE7BB95-361B-45B3-B038-364D17E7EBC4}"/>
            </a:ext>
          </a:extLst>
        </cdr:cNvPr>
        <cdr:cNvSpPr txBox="1"/>
      </cdr:nvSpPr>
      <cdr:spPr>
        <a:xfrm xmlns:a="http://schemas.openxmlformats.org/drawingml/2006/main">
          <a:off x="2194560" y="1181100"/>
          <a:ext cx="1181100" cy="228600"/>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r>
            <a:rPr lang="en-US" sz="1600">
              <a:solidFill>
                <a:schemeClr val="bg1"/>
              </a:solidFill>
              <a:latin typeface="Adobe Garamond Pro" panose="02020502060506020403" pitchFamily="18" charset="0"/>
            </a:rPr>
            <a:t>Climb</a:t>
          </a:r>
        </a:p>
      </cdr:txBody>
    </cdr:sp>
  </cdr:relSizeAnchor>
</c:userShapes>
</file>

<file path=xl/drawings/drawing14.xml><?xml version="1.0" encoding="utf-8"?>
<c:userShapes xmlns:c="http://schemas.openxmlformats.org/drawingml/2006/chart">
  <cdr:relSizeAnchor xmlns:cdr="http://schemas.openxmlformats.org/drawingml/2006/chartDrawing">
    <cdr:from>
      <cdr:x>0.28833</cdr:x>
      <cdr:y>0.20526</cdr:y>
    </cdr:from>
    <cdr:to>
      <cdr:x>0.71341</cdr:x>
      <cdr:y>0.90625</cdr:y>
    </cdr:to>
    <cdr:sp macro="" textlink="">
      <cdr:nvSpPr>
        <cdr:cNvPr id="4" name="Oval 3">
          <a:extLst xmlns:a="http://schemas.openxmlformats.org/drawingml/2006/main">
            <a:ext uri="{FF2B5EF4-FFF2-40B4-BE49-F238E27FC236}">
              <a16:creationId xmlns:a16="http://schemas.microsoft.com/office/drawing/2014/main" id="{62A37B65-53BE-47B9-AF1F-2537C5E32B44}"/>
            </a:ext>
          </a:extLst>
        </cdr:cNvPr>
        <cdr:cNvSpPr/>
      </cdr:nvSpPr>
      <cdr:spPr>
        <a:xfrm xmlns:a="http://schemas.openxmlformats.org/drawingml/2006/main">
          <a:off x="1165155" y="510284"/>
          <a:ext cx="1717767" cy="1742686"/>
        </a:xfrm>
        <a:prstGeom xmlns:a="http://schemas.openxmlformats.org/drawingml/2006/main" prst="ellipse">
          <a:avLst/>
        </a:prstGeom>
        <a:noFill xmlns:a="http://schemas.openxmlformats.org/drawingml/2006/main"/>
        <a:ln xmlns:a="http://schemas.openxmlformats.org/drawingml/2006/main" w="165100">
          <a:solidFill>
            <a:schemeClr val="bg2">
              <a:lumMod val="75000"/>
            </a:schemeClr>
          </a:solidFill>
        </a:ln>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0.45667</cdr:x>
      <cdr:y>0.48889</cdr:y>
    </cdr:from>
    <cdr:to>
      <cdr:x>0.54667</cdr:x>
      <cdr:y>0.63889</cdr:y>
    </cdr:to>
    <cdr:sp macro="" textlink="">
      <cdr:nvSpPr>
        <cdr:cNvPr id="2" name="Oval 1">
          <a:extLst xmlns:a="http://schemas.openxmlformats.org/drawingml/2006/main">
            <a:ext uri="{FF2B5EF4-FFF2-40B4-BE49-F238E27FC236}">
              <a16:creationId xmlns:a16="http://schemas.microsoft.com/office/drawing/2014/main" id="{5E743A0B-901A-4817-90EF-2F6E88688A33}"/>
            </a:ext>
          </a:extLst>
        </cdr:cNvPr>
        <cdr:cNvSpPr/>
      </cdr:nvSpPr>
      <cdr:spPr>
        <a:xfrm xmlns:a="http://schemas.openxmlformats.org/drawingml/2006/main">
          <a:off x="1845926" y="1171789"/>
          <a:ext cx="363793" cy="359525"/>
        </a:xfrm>
        <a:prstGeom xmlns:a="http://schemas.openxmlformats.org/drawingml/2006/main" prst="ellipse">
          <a:avLst/>
        </a:prstGeom>
        <a:ln xmlns:a="http://schemas.openxmlformats.org/drawingml/2006/main">
          <a:noFill/>
        </a:ln>
        <a:effectLst xmlns:a="http://schemas.openxmlformats.org/drawingml/2006/main">
          <a:outerShdw blurRad="107950" dist="12700" dir="5400000" algn="ctr">
            <a:srgbClr val="000000"/>
          </a:outerShdw>
        </a:effectLst>
        <a:scene3d xmlns:a="http://schemas.openxmlformats.org/drawingml/2006/main">
          <a:camera prst="orthographicFront">
            <a:rot lat="0" lon="0" rev="0"/>
          </a:camera>
          <a:lightRig rig="soft" dir="t">
            <a:rot lat="0" lon="0" rev="0"/>
          </a:lightRig>
        </a:scene3d>
        <a:sp3d xmlns:a="http://schemas.openxmlformats.org/drawingml/2006/main" contourW="44450" prstMaterial="matte">
          <a:bevelT w="63500" h="63500" prst="artDeco"/>
          <a:contourClr>
            <a:srgbClr val="FFFFFF"/>
          </a:contourClr>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0.4104</cdr:x>
      <cdr:y>0.68182</cdr:y>
    </cdr:from>
    <cdr:to>
      <cdr:x>0.59097</cdr:x>
      <cdr:y>0.77273</cdr:y>
    </cdr:to>
    <cdr:sp macro="" textlink="alliance!$AL$16">
      <cdr:nvSpPr>
        <cdr:cNvPr id="3" name="Rectangle: Rounded Corners 2">
          <a:extLst xmlns:a="http://schemas.openxmlformats.org/drawingml/2006/main">
            <a:ext uri="{FF2B5EF4-FFF2-40B4-BE49-F238E27FC236}">
              <a16:creationId xmlns:a16="http://schemas.microsoft.com/office/drawing/2014/main" id="{D9D410CF-6614-4F23-A210-4C047DA7B11C}"/>
            </a:ext>
          </a:extLst>
        </cdr:cNvPr>
        <cdr:cNvSpPr/>
      </cdr:nvSpPr>
      <cdr:spPr>
        <a:xfrm xmlns:a="http://schemas.openxmlformats.org/drawingml/2006/main">
          <a:off x="2286000" y="2286000"/>
          <a:ext cx="1005840" cy="304800"/>
        </a:xfrm>
        <a:prstGeom xmlns:a="http://schemas.openxmlformats.org/drawingml/2006/main" prst="roundRect">
          <a:avLst>
            <a:gd name="adj" fmla="val 50000"/>
          </a:avLst>
        </a:prstGeom>
        <a:solidFill xmlns:a="http://schemas.openxmlformats.org/drawingml/2006/main">
          <a:schemeClr val="accent6">
            <a:lumMod val="75000"/>
          </a:schemeClr>
        </a:solidFill>
        <a:ln xmlns:a="http://schemas.openxmlformats.org/drawingml/2006/main">
          <a:noFill/>
        </a:ln>
        <a:effectLst xmlns:a="http://schemas.openxmlformats.org/drawingml/2006/main">
          <a:glow rad="127000">
            <a:srgbClr val="FF0000">
              <a:alpha val="60000"/>
            </a:srgbClr>
          </a:glow>
        </a:effectLst>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fld id="{EBF95746-6308-498A-AA53-5C9984681930}" type="TxLink">
            <a:rPr lang="en-US" sz="1100" b="0" i="0" u="none" strike="noStrike">
              <a:solidFill>
                <a:schemeClr val="bg1"/>
              </a:solidFill>
              <a:latin typeface="Calibri"/>
              <a:cs typeface="Calibri"/>
            </a:rPr>
            <a:pPr algn="ctr"/>
            <a:t>58%</a:t>
          </a:fld>
          <a:endParaRPr lang="en-US" sz="2000">
            <a:solidFill>
              <a:schemeClr val="bg1"/>
            </a:solidFill>
            <a:latin typeface="Bernard MT Condensed" panose="02050806060905020404" pitchFamily="18" charset="0"/>
          </a:endParaRPr>
        </a:p>
      </cdr:txBody>
    </cdr:sp>
  </cdr:relSizeAnchor>
  <cdr:relSizeAnchor xmlns:cdr="http://schemas.openxmlformats.org/drawingml/2006/chartDrawing">
    <cdr:from>
      <cdr:x>0.39398</cdr:x>
      <cdr:y>0.35227</cdr:y>
    </cdr:from>
    <cdr:to>
      <cdr:x>0.60602</cdr:x>
      <cdr:y>0.42045</cdr:y>
    </cdr:to>
    <cdr:sp macro="" textlink="">
      <cdr:nvSpPr>
        <cdr:cNvPr id="5" name="TextBox 4">
          <a:extLst xmlns:a="http://schemas.openxmlformats.org/drawingml/2006/main">
            <a:ext uri="{FF2B5EF4-FFF2-40B4-BE49-F238E27FC236}">
              <a16:creationId xmlns:a16="http://schemas.microsoft.com/office/drawing/2014/main" id="{CAE7BB95-361B-45B3-B038-364D17E7EBC4}"/>
            </a:ext>
          </a:extLst>
        </cdr:cNvPr>
        <cdr:cNvSpPr txBox="1"/>
      </cdr:nvSpPr>
      <cdr:spPr>
        <a:xfrm xmlns:a="http://schemas.openxmlformats.org/drawingml/2006/main">
          <a:off x="1592091" y="875756"/>
          <a:ext cx="856863" cy="169498"/>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r>
            <a:rPr lang="en-US" sz="1600">
              <a:solidFill>
                <a:schemeClr val="bg1"/>
              </a:solidFill>
              <a:latin typeface="Adobe Garamond Pro" panose="02020502060506020403" pitchFamily="18" charset="0"/>
            </a:rPr>
            <a:t>Score</a:t>
          </a:r>
        </a:p>
      </cdr:txBody>
    </cdr:sp>
  </cdr:relSizeAnchor>
</c:userShapes>
</file>

<file path=xl/drawings/drawing15.xml><?xml version="1.0" encoding="utf-8"?>
<c:userShapes xmlns:c="http://schemas.openxmlformats.org/drawingml/2006/chart">
  <cdr:relSizeAnchor xmlns:cdr="http://schemas.openxmlformats.org/drawingml/2006/chartDrawing">
    <cdr:from>
      <cdr:x>0.28833</cdr:x>
      <cdr:y>0.20526</cdr:y>
    </cdr:from>
    <cdr:to>
      <cdr:x>0.71341</cdr:x>
      <cdr:y>0.90625</cdr:y>
    </cdr:to>
    <cdr:sp macro="" textlink="">
      <cdr:nvSpPr>
        <cdr:cNvPr id="4" name="Oval 3">
          <a:extLst xmlns:a="http://schemas.openxmlformats.org/drawingml/2006/main">
            <a:ext uri="{FF2B5EF4-FFF2-40B4-BE49-F238E27FC236}">
              <a16:creationId xmlns:a16="http://schemas.microsoft.com/office/drawing/2014/main" id="{62A37B65-53BE-47B9-AF1F-2537C5E32B44}"/>
            </a:ext>
          </a:extLst>
        </cdr:cNvPr>
        <cdr:cNvSpPr/>
      </cdr:nvSpPr>
      <cdr:spPr>
        <a:xfrm xmlns:a="http://schemas.openxmlformats.org/drawingml/2006/main">
          <a:off x="1165155" y="510284"/>
          <a:ext cx="1717767" cy="1742686"/>
        </a:xfrm>
        <a:prstGeom xmlns:a="http://schemas.openxmlformats.org/drawingml/2006/main" prst="ellipse">
          <a:avLst/>
        </a:prstGeom>
        <a:noFill xmlns:a="http://schemas.openxmlformats.org/drawingml/2006/main"/>
        <a:ln xmlns:a="http://schemas.openxmlformats.org/drawingml/2006/main" w="165100">
          <a:solidFill>
            <a:schemeClr val="bg2">
              <a:lumMod val="75000"/>
            </a:schemeClr>
          </a:solidFill>
        </a:ln>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0.45667</cdr:x>
      <cdr:y>0.48889</cdr:y>
    </cdr:from>
    <cdr:to>
      <cdr:x>0.54667</cdr:x>
      <cdr:y>0.63889</cdr:y>
    </cdr:to>
    <cdr:sp macro="" textlink="">
      <cdr:nvSpPr>
        <cdr:cNvPr id="2" name="Oval 1">
          <a:extLst xmlns:a="http://schemas.openxmlformats.org/drawingml/2006/main">
            <a:ext uri="{FF2B5EF4-FFF2-40B4-BE49-F238E27FC236}">
              <a16:creationId xmlns:a16="http://schemas.microsoft.com/office/drawing/2014/main" id="{5E743A0B-901A-4817-90EF-2F6E88688A33}"/>
            </a:ext>
          </a:extLst>
        </cdr:cNvPr>
        <cdr:cNvSpPr/>
      </cdr:nvSpPr>
      <cdr:spPr>
        <a:xfrm xmlns:a="http://schemas.openxmlformats.org/drawingml/2006/main">
          <a:off x="1845926" y="1171789"/>
          <a:ext cx="363793" cy="359525"/>
        </a:xfrm>
        <a:prstGeom xmlns:a="http://schemas.openxmlformats.org/drawingml/2006/main" prst="ellipse">
          <a:avLst/>
        </a:prstGeom>
        <a:ln xmlns:a="http://schemas.openxmlformats.org/drawingml/2006/main">
          <a:noFill/>
        </a:ln>
        <a:effectLst xmlns:a="http://schemas.openxmlformats.org/drawingml/2006/main">
          <a:outerShdw blurRad="107950" dist="12700" dir="5400000" algn="ctr">
            <a:srgbClr val="000000"/>
          </a:outerShdw>
        </a:effectLst>
        <a:scene3d xmlns:a="http://schemas.openxmlformats.org/drawingml/2006/main">
          <a:camera prst="orthographicFront">
            <a:rot lat="0" lon="0" rev="0"/>
          </a:camera>
          <a:lightRig rig="soft" dir="t">
            <a:rot lat="0" lon="0" rev="0"/>
          </a:lightRig>
        </a:scene3d>
        <a:sp3d xmlns:a="http://schemas.openxmlformats.org/drawingml/2006/main" contourW="44450" prstMaterial="matte">
          <a:bevelT w="63500" h="63500" prst="artDeco"/>
          <a:contourClr>
            <a:srgbClr val="FFFFFF"/>
          </a:contourClr>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0.4104</cdr:x>
      <cdr:y>0.68182</cdr:y>
    </cdr:from>
    <cdr:to>
      <cdr:x>0.59097</cdr:x>
      <cdr:y>0.77273</cdr:y>
    </cdr:to>
    <cdr:sp macro="" textlink="alliance!$AL$17">
      <cdr:nvSpPr>
        <cdr:cNvPr id="3" name="Rectangle: Rounded Corners 2">
          <a:extLst xmlns:a="http://schemas.openxmlformats.org/drawingml/2006/main">
            <a:ext uri="{FF2B5EF4-FFF2-40B4-BE49-F238E27FC236}">
              <a16:creationId xmlns:a16="http://schemas.microsoft.com/office/drawing/2014/main" id="{D9D410CF-6614-4F23-A210-4C047DA7B11C}"/>
            </a:ext>
          </a:extLst>
        </cdr:cNvPr>
        <cdr:cNvSpPr/>
      </cdr:nvSpPr>
      <cdr:spPr>
        <a:xfrm xmlns:a="http://schemas.openxmlformats.org/drawingml/2006/main">
          <a:off x="2286000" y="2286000"/>
          <a:ext cx="1005840" cy="304800"/>
        </a:xfrm>
        <a:prstGeom xmlns:a="http://schemas.openxmlformats.org/drawingml/2006/main" prst="roundRect">
          <a:avLst>
            <a:gd name="adj" fmla="val 50000"/>
          </a:avLst>
        </a:prstGeom>
        <a:solidFill xmlns:a="http://schemas.openxmlformats.org/drawingml/2006/main">
          <a:schemeClr val="accent6">
            <a:lumMod val="75000"/>
          </a:schemeClr>
        </a:solidFill>
        <a:ln xmlns:a="http://schemas.openxmlformats.org/drawingml/2006/main">
          <a:noFill/>
        </a:ln>
        <a:effectLst xmlns:a="http://schemas.openxmlformats.org/drawingml/2006/main">
          <a:glow rad="127000">
            <a:srgbClr val="FF0000">
              <a:alpha val="60000"/>
            </a:srgbClr>
          </a:glow>
        </a:effectLst>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fld id="{39F5E81F-A577-4C1A-9881-0D8207E83DF4}" type="TxLink">
            <a:rPr lang="en-US" sz="1100" b="0" i="0" u="none" strike="noStrike">
              <a:solidFill>
                <a:schemeClr val="bg1"/>
              </a:solidFill>
              <a:latin typeface="Calibri"/>
              <a:cs typeface="Calibri"/>
            </a:rPr>
            <a:pPr algn="ctr"/>
            <a:t>51%</a:t>
          </a:fld>
          <a:endParaRPr lang="en-US" sz="2000">
            <a:solidFill>
              <a:schemeClr val="bg1"/>
            </a:solidFill>
            <a:latin typeface="Bernard MT Condensed" panose="02050806060905020404" pitchFamily="18" charset="0"/>
          </a:endParaRPr>
        </a:p>
      </cdr:txBody>
    </cdr:sp>
  </cdr:relSizeAnchor>
  <cdr:relSizeAnchor xmlns:cdr="http://schemas.openxmlformats.org/drawingml/2006/chartDrawing">
    <cdr:from>
      <cdr:x>0.39398</cdr:x>
      <cdr:y>0.35227</cdr:y>
    </cdr:from>
    <cdr:to>
      <cdr:x>0.60602</cdr:x>
      <cdr:y>0.42045</cdr:y>
    </cdr:to>
    <cdr:sp macro="" textlink="">
      <cdr:nvSpPr>
        <cdr:cNvPr id="5" name="TextBox 4">
          <a:extLst xmlns:a="http://schemas.openxmlformats.org/drawingml/2006/main">
            <a:ext uri="{FF2B5EF4-FFF2-40B4-BE49-F238E27FC236}">
              <a16:creationId xmlns:a16="http://schemas.microsoft.com/office/drawing/2014/main" id="{CAE7BB95-361B-45B3-B038-364D17E7EBC4}"/>
            </a:ext>
          </a:extLst>
        </cdr:cNvPr>
        <cdr:cNvSpPr txBox="1"/>
      </cdr:nvSpPr>
      <cdr:spPr>
        <a:xfrm xmlns:a="http://schemas.openxmlformats.org/drawingml/2006/main">
          <a:off x="2194560" y="1181100"/>
          <a:ext cx="1181100" cy="228600"/>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r>
            <a:rPr lang="en-US" sz="1600">
              <a:solidFill>
                <a:schemeClr val="bg1"/>
              </a:solidFill>
              <a:latin typeface="Adobe Garamond Pro" panose="02020502060506020403" pitchFamily="18" charset="0"/>
            </a:rPr>
            <a:t>Score</a:t>
          </a:r>
        </a:p>
      </cdr:txBody>
    </cdr:sp>
  </cdr:relSizeAnchor>
</c:userShapes>
</file>

<file path=xl/drawings/drawing16.xml><?xml version="1.0" encoding="utf-8"?>
<c:userShapes xmlns:c="http://schemas.openxmlformats.org/drawingml/2006/chart">
  <cdr:relSizeAnchor xmlns:cdr="http://schemas.openxmlformats.org/drawingml/2006/chartDrawing">
    <cdr:from>
      <cdr:x>0.28833</cdr:x>
      <cdr:y>0.20526</cdr:y>
    </cdr:from>
    <cdr:to>
      <cdr:x>0.71341</cdr:x>
      <cdr:y>0.90625</cdr:y>
    </cdr:to>
    <cdr:sp macro="" textlink="">
      <cdr:nvSpPr>
        <cdr:cNvPr id="4" name="Oval 3">
          <a:extLst xmlns:a="http://schemas.openxmlformats.org/drawingml/2006/main">
            <a:ext uri="{FF2B5EF4-FFF2-40B4-BE49-F238E27FC236}">
              <a16:creationId xmlns:a16="http://schemas.microsoft.com/office/drawing/2014/main" id="{62A37B65-53BE-47B9-AF1F-2537C5E32B44}"/>
            </a:ext>
          </a:extLst>
        </cdr:cNvPr>
        <cdr:cNvSpPr/>
      </cdr:nvSpPr>
      <cdr:spPr>
        <a:xfrm xmlns:a="http://schemas.openxmlformats.org/drawingml/2006/main">
          <a:off x="1165155" y="510284"/>
          <a:ext cx="1717767" cy="1742686"/>
        </a:xfrm>
        <a:prstGeom xmlns:a="http://schemas.openxmlformats.org/drawingml/2006/main" prst="ellipse">
          <a:avLst/>
        </a:prstGeom>
        <a:noFill xmlns:a="http://schemas.openxmlformats.org/drawingml/2006/main"/>
        <a:ln xmlns:a="http://schemas.openxmlformats.org/drawingml/2006/main" w="165100">
          <a:solidFill>
            <a:schemeClr val="bg2">
              <a:lumMod val="75000"/>
            </a:schemeClr>
          </a:solidFill>
        </a:ln>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0.45667</cdr:x>
      <cdr:y>0.48889</cdr:y>
    </cdr:from>
    <cdr:to>
      <cdr:x>0.54667</cdr:x>
      <cdr:y>0.63889</cdr:y>
    </cdr:to>
    <cdr:sp macro="" textlink="">
      <cdr:nvSpPr>
        <cdr:cNvPr id="2" name="Oval 1">
          <a:extLst xmlns:a="http://schemas.openxmlformats.org/drawingml/2006/main">
            <a:ext uri="{FF2B5EF4-FFF2-40B4-BE49-F238E27FC236}">
              <a16:creationId xmlns:a16="http://schemas.microsoft.com/office/drawing/2014/main" id="{5E743A0B-901A-4817-90EF-2F6E88688A33}"/>
            </a:ext>
          </a:extLst>
        </cdr:cNvPr>
        <cdr:cNvSpPr/>
      </cdr:nvSpPr>
      <cdr:spPr>
        <a:xfrm xmlns:a="http://schemas.openxmlformats.org/drawingml/2006/main">
          <a:off x="1845926" y="1171789"/>
          <a:ext cx="363793" cy="359525"/>
        </a:xfrm>
        <a:prstGeom xmlns:a="http://schemas.openxmlformats.org/drawingml/2006/main" prst="ellipse">
          <a:avLst/>
        </a:prstGeom>
        <a:ln xmlns:a="http://schemas.openxmlformats.org/drawingml/2006/main">
          <a:noFill/>
        </a:ln>
        <a:effectLst xmlns:a="http://schemas.openxmlformats.org/drawingml/2006/main">
          <a:outerShdw blurRad="107950" dist="12700" dir="5400000" algn="ctr">
            <a:srgbClr val="000000"/>
          </a:outerShdw>
        </a:effectLst>
        <a:scene3d xmlns:a="http://schemas.openxmlformats.org/drawingml/2006/main">
          <a:camera prst="orthographicFront">
            <a:rot lat="0" lon="0" rev="0"/>
          </a:camera>
          <a:lightRig rig="soft" dir="t">
            <a:rot lat="0" lon="0" rev="0"/>
          </a:lightRig>
        </a:scene3d>
        <a:sp3d xmlns:a="http://schemas.openxmlformats.org/drawingml/2006/main" contourW="44450" prstMaterial="matte">
          <a:bevelT w="63500" h="63500" prst="artDeco"/>
          <a:contourClr>
            <a:srgbClr val="FFFFFF"/>
          </a:contourClr>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0.4104</cdr:x>
      <cdr:y>0.68182</cdr:y>
    </cdr:from>
    <cdr:to>
      <cdr:x>0.59097</cdr:x>
      <cdr:y>0.77273</cdr:y>
    </cdr:to>
    <cdr:sp macro="" textlink="alliance!$AL$18">
      <cdr:nvSpPr>
        <cdr:cNvPr id="3" name="Rectangle: Rounded Corners 2">
          <a:extLst xmlns:a="http://schemas.openxmlformats.org/drawingml/2006/main">
            <a:ext uri="{FF2B5EF4-FFF2-40B4-BE49-F238E27FC236}">
              <a16:creationId xmlns:a16="http://schemas.microsoft.com/office/drawing/2014/main" id="{D9D410CF-6614-4F23-A210-4C047DA7B11C}"/>
            </a:ext>
          </a:extLst>
        </cdr:cNvPr>
        <cdr:cNvSpPr/>
      </cdr:nvSpPr>
      <cdr:spPr>
        <a:xfrm xmlns:a="http://schemas.openxmlformats.org/drawingml/2006/main">
          <a:off x="2286000" y="2286000"/>
          <a:ext cx="1005840" cy="304800"/>
        </a:xfrm>
        <a:prstGeom xmlns:a="http://schemas.openxmlformats.org/drawingml/2006/main" prst="roundRect">
          <a:avLst>
            <a:gd name="adj" fmla="val 50000"/>
          </a:avLst>
        </a:prstGeom>
        <a:solidFill xmlns:a="http://schemas.openxmlformats.org/drawingml/2006/main">
          <a:schemeClr val="accent6">
            <a:lumMod val="75000"/>
          </a:schemeClr>
        </a:solidFill>
        <a:ln xmlns:a="http://schemas.openxmlformats.org/drawingml/2006/main">
          <a:noFill/>
        </a:ln>
        <a:effectLst xmlns:a="http://schemas.openxmlformats.org/drawingml/2006/main">
          <a:glow rad="127000">
            <a:srgbClr val="FF0000">
              <a:alpha val="60000"/>
            </a:srgbClr>
          </a:glow>
        </a:effectLst>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fld id="{9BDC47A6-DE11-42C2-A8D0-4A705E963FA5}" type="TxLink">
            <a:rPr lang="en-US" sz="1100" b="0" i="0" u="none" strike="noStrike">
              <a:solidFill>
                <a:schemeClr val="bg1"/>
              </a:solidFill>
              <a:latin typeface="Calibri"/>
              <a:cs typeface="Calibri"/>
            </a:rPr>
            <a:pPr algn="ctr"/>
            <a:t>50%</a:t>
          </a:fld>
          <a:endParaRPr lang="en-US" sz="2000">
            <a:solidFill>
              <a:schemeClr val="bg1"/>
            </a:solidFill>
            <a:latin typeface="Bernard MT Condensed" panose="02050806060905020404" pitchFamily="18" charset="0"/>
          </a:endParaRPr>
        </a:p>
      </cdr:txBody>
    </cdr:sp>
  </cdr:relSizeAnchor>
  <cdr:relSizeAnchor xmlns:cdr="http://schemas.openxmlformats.org/drawingml/2006/chartDrawing">
    <cdr:from>
      <cdr:x>0.39398</cdr:x>
      <cdr:y>0.35227</cdr:y>
    </cdr:from>
    <cdr:to>
      <cdr:x>0.60602</cdr:x>
      <cdr:y>0.42045</cdr:y>
    </cdr:to>
    <cdr:sp macro="" textlink="">
      <cdr:nvSpPr>
        <cdr:cNvPr id="5" name="TextBox 4">
          <a:extLst xmlns:a="http://schemas.openxmlformats.org/drawingml/2006/main">
            <a:ext uri="{FF2B5EF4-FFF2-40B4-BE49-F238E27FC236}">
              <a16:creationId xmlns:a16="http://schemas.microsoft.com/office/drawing/2014/main" id="{CAE7BB95-361B-45B3-B038-364D17E7EBC4}"/>
            </a:ext>
          </a:extLst>
        </cdr:cNvPr>
        <cdr:cNvSpPr txBox="1"/>
      </cdr:nvSpPr>
      <cdr:spPr>
        <a:xfrm xmlns:a="http://schemas.openxmlformats.org/drawingml/2006/main">
          <a:off x="2194560" y="1181100"/>
          <a:ext cx="1181100" cy="228600"/>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r>
            <a:rPr lang="en-US" sz="1600">
              <a:solidFill>
                <a:schemeClr val="bg1"/>
              </a:solidFill>
              <a:latin typeface="Adobe Garamond Pro" panose="02020502060506020403" pitchFamily="18" charset="0"/>
            </a:rPr>
            <a:t>Score</a:t>
          </a:r>
        </a:p>
      </cdr:txBody>
    </cdr:sp>
  </cdr:relSizeAnchor>
</c:userShapes>
</file>

<file path=xl/drawings/drawing17.xml><?xml version="1.0" encoding="utf-8"?>
<xdr:wsDr xmlns:xdr="http://schemas.openxmlformats.org/drawingml/2006/spreadsheetDrawing" xmlns:a="http://schemas.openxmlformats.org/drawingml/2006/main">
  <xdr:twoCellAnchor editAs="oneCell">
    <xdr:from>
      <xdr:col>19</xdr:col>
      <xdr:colOff>2931</xdr:colOff>
      <xdr:row>2</xdr:row>
      <xdr:rowOff>145806</xdr:rowOff>
    </xdr:from>
    <xdr:to>
      <xdr:col>24</xdr:col>
      <xdr:colOff>1601</xdr:colOff>
      <xdr:row>21</xdr:row>
      <xdr:rowOff>42127</xdr:rowOff>
    </xdr:to>
    <mc:AlternateContent xmlns:mc="http://schemas.openxmlformats.org/markup-compatibility/2006" xmlns:a14="http://schemas.microsoft.com/office/drawing/2010/main">
      <mc:Choice Requires="a14">
        <xdr:graphicFrame macro="">
          <xdr:nvGraphicFramePr>
            <xdr:cNvPr id="4" name="Team number">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Team number"/>
            </a:graphicData>
          </a:graphic>
        </xdr:graphicFrame>
      </mc:Choice>
      <mc:Fallback xmlns="">
        <xdr:sp macro="" textlink="">
          <xdr:nvSpPr>
            <xdr:cNvPr id="0" name=""/>
            <xdr:cNvSpPr>
              <a:spLocks noTextEdit="1"/>
            </xdr:cNvSpPr>
          </xdr:nvSpPr>
          <xdr:spPr>
            <a:xfrm>
              <a:off x="21919679" y="145806"/>
              <a:ext cx="3050368" cy="37702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66675</xdr:colOff>
      <xdr:row>18</xdr:row>
      <xdr:rowOff>133350</xdr:rowOff>
    </xdr:from>
    <xdr:to>
      <xdr:col>22</xdr:col>
      <xdr:colOff>66675</xdr:colOff>
      <xdr:row>31</xdr:row>
      <xdr:rowOff>180973</xdr:rowOff>
    </xdr:to>
    <mc:AlternateContent xmlns:mc="http://schemas.openxmlformats.org/markup-compatibility/2006" xmlns:a14="http://schemas.microsoft.com/office/drawing/2010/main">
      <mc:Choice Requires="a14">
        <xdr:graphicFrame macro="">
          <xdr:nvGraphicFramePr>
            <xdr:cNvPr id="5" name="commment">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microsoft.com/office/drawing/2010/slicer">
              <sle:slicer xmlns:sle="http://schemas.microsoft.com/office/drawing/2010/slicer" name="commment"/>
            </a:graphicData>
          </a:graphic>
        </xdr:graphicFrame>
      </mc:Choice>
      <mc:Fallback xmlns="">
        <xdr:sp macro="" textlink="">
          <xdr:nvSpPr>
            <xdr:cNvPr id="0" name=""/>
            <xdr:cNvSpPr>
              <a:spLocks noTextEdit="1"/>
            </xdr:cNvSpPr>
          </xdr:nvSpPr>
          <xdr:spPr>
            <a:xfrm>
              <a:off x="12266002" y="4133850"/>
              <a:ext cx="1824404"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523875</xdr:colOff>
          <xdr:row>2</xdr:row>
          <xdr:rowOff>38100</xdr:rowOff>
        </xdr:from>
        <xdr:to>
          <xdr:col>0</xdr:col>
          <xdr:colOff>1162050</xdr:colOff>
          <xdr:row>4</xdr:row>
          <xdr:rowOff>0</xdr:rowOff>
        </xdr:to>
        <xdr:sp macro="" textlink="">
          <xdr:nvSpPr>
            <xdr:cNvPr id="5122" name="Toggle_comment"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9524</xdr:colOff>
      <xdr:row>2</xdr:row>
      <xdr:rowOff>161925</xdr:rowOff>
    </xdr:to>
    <xdr:sp macro="[0]!Field_Alliance" textlink="">
      <xdr:nvSpPr>
        <xdr:cNvPr id="4" name="Rectangle: Rounded Corners 3">
          <a:extLst>
            <a:ext uri="{FF2B5EF4-FFF2-40B4-BE49-F238E27FC236}">
              <a16:creationId xmlns:a16="http://schemas.microsoft.com/office/drawing/2014/main" id="{00000000-0008-0000-0600-000004000000}"/>
            </a:ext>
          </a:extLst>
        </xdr:cNvPr>
        <xdr:cNvSpPr/>
      </xdr:nvSpPr>
      <xdr:spPr>
        <a:xfrm>
          <a:off x="0" y="0"/>
          <a:ext cx="619124" cy="542925"/>
        </a:xfrm>
        <a:prstGeom prst="roundRect">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Click </a:t>
          </a:r>
        </a:p>
        <a:p>
          <a:pPr algn="ctr"/>
          <a:r>
            <a:rPr lang="en-US" sz="1100">
              <a:solidFill>
                <a:schemeClr val="tx1"/>
              </a:solidFill>
            </a:rPr>
            <a:t>Me!</a:t>
          </a:r>
        </a:p>
      </xdr:txBody>
    </xdr:sp>
    <xdr:clientData/>
  </xdr:twoCellAnchor>
  <xdr:twoCellAnchor editAs="oneCell">
    <xdr:from>
      <xdr:col>0</xdr:col>
      <xdr:colOff>0</xdr:colOff>
      <xdr:row>2</xdr:row>
      <xdr:rowOff>167640</xdr:rowOff>
    </xdr:from>
    <xdr:to>
      <xdr:col>29</xdr:col>
      <xdr:colOff>276225</xdr:colOff>
      <xdr:row>45</xdr:row>
      <xdr:rowOff>177165</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548640"/>
          <a:ext cx="17954625" cy="8201025"/>
        </a:xfrm>
        <a:prstGeom prst="rect">
          <a:avLst/>
        </a:prstGeom>
      </xdr:spPr>
    </xdr:pic>
    <xdr:clientData/>
  </xdr:twoCellAnchor>
  <xdr:twoCellAnchor editAs="oneCell">
    <xdr:from>
      <xdr:col>13</xdr:col>
      <xdr:colOff>72435</xdr:colOff>
      <xdr:row>17</xdr:row>
      <xdr:rowOff>46065</xdr:rowOff>
    </xdr:from>
    <xdr:to>
      <xdr:col>13</xdr:col>
      <xdr:colOff>581835</xdr:colOff>
      <xdr:row>21</xdr:row>
      <xdr:rowOff>168585</xdr:rowOff>
    </xdr:to>
    <mc:AlternateContent xmlns:mc="http://schemas.openxmlformats.org/markup-compatibility/2006" xmlns:xdr14="http://schemas.microsoft.com/office/excel/2010/spreadsheetDrawing">
      <mc:Choice Requires="xdr14">
        <xdr:contentPart xmlns:r="http://schemas.openxmlformats.org/officeDocument/2006/relationships" r:id="rId2">
          <xdr14:nvContentPartPr>
            <xdr14:cNvPr id="61" name="Ink 60">
              <a:extLst>
                <a:ext uri="{FF2B5EF4-FFF2-40B4-BE49-F238E27FC236}">
                  <a16:creationId xmlns:a16="http://schemas.microsoft.com/office/drawing/2014/main" id="{00000000-0008-0000-0600-00003D000000}"/>
                </a:ext>
              </a:extLst>
            </xdr14:cNvPr>
            <xdr14:cNvContentPartPr/>
          </xdr14:nvContentPartPr>
          <xdr14:nvPr macro=""/>
          <xdr14:xfrm>
            <a:off x="7997235" y="3284565"/>
            <a:ext cx="509400" cy="884520"/>
          </xdr14:xfrm>
        </xdr:contentPart>
      </mc:Choice>
      <mc:Fallback xmlns="">
        <xdr:pic>
          <xdr:nvPicPr>
            <xdr:cNvPr id="61" name="Ink 60">
              <a:extLst>
                <a:ext uri="{FF2B5EF4-FFF2-40B4-BE49-F238E27FC236}">
                  <a16:creationId xmlns:a16="http://schemas.microsoft.com/office/drawing/2014/main" id="{ADC5484F-077F-4D91-BB46-FA2461F1A16A}"/>
                </a:ext>
              </a:extLst>
            </xdr:cNvPr>
            <xdr:cNvPicPr/>
          </xdr:nvPicPr>
          <xdr:blipFill>
            <a:blip xmlns:r="http://schemas.openxmlformats.org/officeDocument/2006/relationships" r:embed="rId3"/>
            <a:stretch>
              <a:fillRect/>
            </a:stretch>
          </xdr:blipFill>
          <xdr:spPr>
            <a:xfrm>
              <a:off x="7934235" y="3221565"/>
              <a:ext cx="635040" cy="1010160"/>
            </a:xfrm>
            <a:prstGeom prst="rect">
              <a:avLst/>
            </a:prstGeom>
          </xdr:spPr>
        </xdr:pic>
      </mc:Fallback>
    </mc:AlternateContent>
    <xdr:clientData/>
  </xdr:twoCellAnchor>
</xdr:wsDr>
</file>

<file path=xl/ink/ink1.xml><?xml version="1.0" encoding="utf-8"?>
<inkml:ink xmlns:inkml="http://www.w3.org/2003/InkML">
  <inkml:definitions>
    <inkml:context xml:id="ctx0">
      <inkml:inkSource xml:id="inkSrc0">
        <inkml:traceFormat>
          <inkml:channel name="X" type="integer" max="4095" units="cm"/>
          <inkml:channel name="Y" type="integer" max="4095" units="cm"/>
          <inkml:channel name="T" type="integer" max="2.14748E9" units="dev"/>
        </inkml:traceFormat>
        <inkml:channelProperties>
          <inkml:channelProperty channel="X" name="resolution" value="118.69566" units="1/cm"/>
          <inkml:channelProperty channel="Y" name="resolution" value="212.17616" units="1/cm"/>
          <inkml:channelProperty channel="T" name="resolution" value="1" units="1/dev"/>
        </inkml:channelProperties>
      </inkml:inkSource>
      <inkml:timestamp xml:id="ts0" timeString="2020-02-29T21:35:10.348"/>
    </inkml:context>
    <inkml:brush xml:id="br0">
      <inkml:brushProperty name="width" value="0.35" units="cm"/>
      <inkml:brushProperty name="height" value="0.35" units="cm"/>
    </inkml:brush>
  </inkml:definitions>
  <inkml:trace contextRef="#ctx0" brushRef="#br0">2568 3119 0,'0'0'0,"0"0"16</inkml:trace>
  <inkml:trace contextRef="#ctx0" brushRef="#br0" timeOffset="34">3101 2408 0,'0'0'0,"0"0"16</inkml:trace>
  <inkml:trace contextRef="#ctx0" brushRef="#br0" timeOffset="804">1762 3824 0,'0'0'0,"0"0"0,0 0 16,0 0 0,0 0-1</inkml:trace>
  <inkml:trace contextRef="#ctx0" brushRef="#br0" timeOffset="1692">3176 4864 0,'0'0'15,"0"0"-15</inkml:trace>
</inkm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unatecs" refreshedDate="43891.428727662038" createdVersion="6" refreshedVersion="6" minRefreshableVersion="3" recordCount="701" xr:uid="{E664547E-03D2-4C25-9ABF-668F5ED18BF0}">
  <cacheSource type="worksheet">
    <worksheetSource name="Table1"/>
  </cacheSource>
  <cacheFields count="46">
    <cacheField name="Team number" numFmtId="0">
      <sharedItems containsString="0" containsBlank="1" containsNumber="1" containsInteger="1" minValue="1" maxValue="9999" count="56">
        <n v="9999"/>
        <n v="9998"/>
        <n v="61"/>
        <n v="78"/>
        <n v="157"/>
        <n v="166"/>
        <n v="173"/>
        <n v="181"/>
        <n v="190"/>
        <n v="316"/>
        <n v="348"/>
        <n v="1027"/>
        <n v="1100"/>
        <n v="1153"/>
        <n v="1350"/>
        <n v="1735"/>
        <n v="1740"/>
        <n v="1991"/>
        <n v="2064"/>
        <n v="2067"/>
        <n v="2170"/>
        <n v="2262"/>
        <n v="2370"/>
        <n v="2590"/>
        <n v="2877"/>
        <n v="3182"/>
        <n v="3555"/>
        <n v="3623"/>
        <n v="3719"/>
        <n v="4987"/>
        <n v="5112"/>
        <n v="5347"/>
        <n v="5491"/>
        <n v="5746"/>
        <n v="6328"/>
        <n v="6723"/>
        <n v="6811"/>
        <n v="7153"/>
        <n v="7760"/>
        <n v="8013"/>
        <m/>
        <n v="69" u="1"/>
        <n v="293" u="1"/>
        <n v="341" u="1"/>
        <n v="1" u="1"/>
        <n v="5420" u="1"/>
        <n v="433" u="1"/>
        <n v="272" u="1"/>
        <n v="484" u="1"/>
        <n v="666" u="1"/>
        <n v="321" u="1"/>
        <n v="423" u="1"/>
        <n v="35" u="1"/>
        <n v="98" u="1"/>
        <n v="47" u="1"/>
        <n v="11" u="1"/>
      </sharedItems>
    </cacheField>
    <cacheField name="Auton start" numFmtId="0">
      <sharedItems containsString="0" containsBlank="1" containsNumber="1" containsInteger="1" minValue="1" maxValue="3"/>
    </cacheField>
    <cacheField name="Auton Scored High" numFmtId="0">
      <sharedItems containsString="0" containsBlank="1" containsNumber="1" containsInteger="1" minValue="0" maxValue="6"/>
    </cacheField>
    <cacheField name="Auton Scored Low" numFmtId="0">
      <sharedItems containsString="0" containsBlank="1" containsNumber="1" containsInteger="1" minValue="0" maxValue="1"/>
    </cacheField>
    <cacheField name="Auton ball picked up in our trench" numFmtId="0">
      <sharedItems containsString="0" containsBlank="1" containsNumber="1" containsInteger="1" minValue="0" maxValue="3"/>
    </cacheField>
    <cacheField name="Auton Balls Picked Up in Mid" numFmtId="0">
      <sharedItems containsString="0" containsBlank="1" containsNumber="1" containsInteger="1" minValue="0" maxValue="1"/>
    </cacheField>
    <cacheField name="Auton Balls Picked Up In Their Trench" numFmtId="0">
      <sharedItems containsString="0" containsBlank="1" containsNumber="1" containsInteger="1" minValue="0" maxValue="1"/>
    </cacheField>
    <cacheField name="Auton Move Off Line" numFmtId="0">
      <sharedItems containsString="0" containsBlank="1" containsNumber="1" containsInteger="1" minValue="0" maxValue="1"/>
    </cacheField>
    <cacheField name="auton extra balls picked up2" numFmtId="0">
      <sharedItems containsSemiMixedTypes="0" containsString="0" containsNumber="1" containsInteger="1" minValue="0" maxValue="3"/>
    </cacheField>
    <cacheField name="auton balls scored" numFmtId="0">
      <sharedItems containsSemiMixedTypes="0" containsString="0" containsNumber="1" containsInteger="1" minValue="0" maxValue="6"/>
    </cacheField>
    <cacheField name="auton our score" numFmtId="0">
      <sharedItems containsSemiMixedTypes="0" containsString="0" containsNumber="1" containsInteger="1" minValue="0" maxValue="25"/>
    </cacheField>
    <cacheField name="Balls Scored From Trench" numFmtId="0">
      <sharedItems containsString="0" containsBlank="1" containsNumber="1" containsInteger="1" minValue="0" maxValue="9"/>
    </cacheField>
    <cacheField name="Balls Scored from Mid" numFmtId="0">
      <sharedItems containsString="0" containsBlank="1" containsNumber="1" containsInteger="1" minValue="0" maxValue="14"/>
    </cacheField>
    <cacheField name="Balls Scored From Alliance zone" numFmtId="0">
      <sharedItems containsString="0" containsBlank="1" containsNumber="1" containsInteger="1" minValue="0" maxValue="13"/>
    </cacheField>
    <cacheField name="balls scored low" numFmtId="0">
      <sharedItems containsString="0" containsBlank="1" containsNumber="1" containsInteger="1" minValue="0" maxValue="8"/>
    </cacheField>
    <cacheField name="Balls Passed" numFmtId="0">
      <sharedItems containsString="0" containsBlank="1" containsNumber="1" containsInteger="1" minValue="0" maxValue="3"/>
    </cacheField>
    <cacheField name="Control Panels Spun" numFmtId="0">
      <sharedItems containsString="0" containsBlank="1" containsNumber="1" containsInteger="1" minValue="0" maxValue="1"/>
    </cacheField>
    <cacheField name="Control Panel Spun Time" numFmtId="0">
      <sharedItems containsString="0" containsBlank="1" containsNumber="1" containsInteger="1" minValue="0" maxValue="1"/>
    </cacheField>
    <cacheField name="Control Panel Color" numFmtId="0">
      <sharedItems containsString="0" containsBlank="1" containsNumber="1" containsInteger="1" minValue="0" maxValue="1"/>
    </cacheField>
    <cacheField name="Control Panel Color Time" numFmtId="0">
      <sharedItems containsString="0" containsBlank="1" containsNumber="1" containsInteger="1" minValue="0" maxValue="1"/>
    </cacheField>
    <cacheField name="Defense Level" numFmtId="0">
      <sharedItems containsString="0" containsBlank="1" containsNumber="1" minValue="0" maxValue="5"/>
    </cacheField>
    <cacheField name="balls scored high" numFmtId="0">
      <sharedItems containsSemiMixedTypes="0" containsString="0" containsNumber="1" containsInteger="1" minValue="0" maxValue="15"/>
    </cacheField>
    <cacheField name="balls scored" numFmtId="0">
      <sharedItems containsSemiMixedTypes="0" containsString="0" containsNumber="1" containsInteger="1" minValue="0" maxValue="15"/>
    </cacheField>
    <cacheField name="Control Panel Time" numFmtId="0">
      <sharedItems containsSemiMixedTypes="0" containsString="0" containsNumber="1" containsInteger="1" minValue="0" maxValue="2"/>
    </cacheField>
    <cacheField name="Control Panels Spun3" numFmtId="0">
      <sharedItems containsSemiMixedTypes="0" containsString="0" containsNumber="1" containsInteger="1" minValue="0" maxValue="2"/>
    </cacheField>
    <cacheField name="teleop our score" numFmtId="0">
      <sharedItems containsSemiMixedTypes="0" containsString="0" containsNumber="1" containsInteger="1" minValue="0" maxValue="35"/>
    </cacheField>
    <cacheField name="Climbed" numFmtId="0">
      <sharedItems containsString="0" containsBlank="1" containsNumber="1" containsInteger="1" minValue="0" maxValue="1"/>
    </cacheField>
    <cacheField name="Adjustable Climber" numFmtId="0">
      <sharedItems containsString="0" containsBlank="1" containsNumber="1" containsInteger="1" minValue="0" maxValue="1"/>
    </cacheField>
    <cacheField name="Balanced" numFmtId="0">
      <sharedItems containsString="0" containsBlank="1" containsNumber="1" containsInteger="1" minValue="0" maxValue="1"/>
    </cacheField>
    <cacheField name="Lift other Robot" numFmtId="0">
      <sharedItems containsString="0" containsBlank="1" containsNumber="1" containsInteger="1" minValue="0" maxValue="1"/>
    </cacheField>
    <cacheField name="Any Fouls" numFmtId="0">
      <sharedItems containsString="0" containsBlank="1" containsNumber="1" containsInteger="1" minValue="0" maxValue="1"/>
    </cacheField>
    <cacheField name="Breakdown/ No Show" numFmtId="0">
      <sharedItems containsString="0" containsBlank="1" containsNumber="1" containsInteger="1" minValue="0" maxValue="1"/>
    </cacheField>
    <cacheField name="recovery" numFmtId="0">
      <sharedItems containsString="0" containsBlank="1" containsNumber="1" containsInteger="1" minValue="0" maxValue="1"/>
    </cacheField>
    <cacheField name="match number" numFmtId="0">
      <sharedItems containsString="0" containsBlank="1" containsNumber="1" containsInteger="1" minValue="1" maxValue="1"/>
    </cacheField>
    <cacheField name="scouter initials" numFmtId="0">
      <sharedItems containsBlank="1" containsMixedTypes="1" containsNumber="1" containsInteger="1" minValue="1" maxValue="1"/>
    </cacheField>
    <cacheField name="commment" numFmtId="0">
      <sharedItems containsBlank="1" containsMixedTypes="1" containsNumber="1" containsInteger="1" minValue="1" maxValue="27" count="157">
        <n v="1"/>
        <s v="Triple climb"/>
        <s v="Leveled with us"/>
        <m/>
        <s v="Not a strong shooter "/>
        <s v="Most shots are low and missing, broke down in rendezvous point !I'd teleop but recovered for an endgame climb"/>
        <s v="Never intakes more than 2 balls, first climb seen"/>
        <s v="Sat around waiting for climb"/>
        <s v="Was heavily defended and couldn't get around it, stopped early in teleop to climb"/>
        <s v="Very good team"/>
        <s v="Wasn't able to shoot any balls "/>
        <s v="No climber, missed some shots made others"/>
        <s v="Did not have scouting tablet but robot was not very active"/>
        <s v="Got hit by red by generator switch but still stayed hanging"/>
        <s v="Rough defense"/>
        <s v="2064 defended them very well so they couldn't score"/>
        <s v="Intake failed at the end of match, did not climb"/>
        <s v="Something went wrong because they seemed like one side of the not was unrisponsive"/>
        <s v="The shot with too much power "/>
        <s v="Good intake"/>
        <s v="Good intake, they did climb but a ball was under them supporting them so it didn't count"/>
        <s v="Slammed into alliance partner, causing them to not climb"/>
        <s v="They defended a bit blocked some shots"/>
        <s v="Motor snapped off so we must off gotten some fouls mayby"/>
        <s v="Come on team, what happen with the climber and program"/>
        <s v="Another robot pushed us in"/>
        <s v="Turret was spinning a lot"/>
        <s v="Balanced by ourselves"/>
        <s v="Slow shoot cycle"/>
        <s v="Was hard to tell if it climbed because it was a centimeter off the ground"/>
        <s v="Attempted climb but could not make it up"/>
        <s v="Tried to climb but their corner of the frame is on the ground"/>
        <s v="Intake issues"/>
        <s v="Pushed other robot into climbing robot causing them to loose hanging robot"/>
        <s v="Didn't do much"/>
        <s v="Good auto that got two inner ports, got stuck on balls twice, seems to have poor turn around time with shooter_x000a_"/>
        <s v="Overheard they lost pressure before match so shooter not functional"/>
        <s v="Can fit under trench, has no climber"/>
        <s v="Not a good shooter "/>
        <s v="Shoots high"/>
        <s v="Intake failed used human player station, human player was quick"/>
        <s v="Fast shooter"/>
        <s v="Not the worst intake in the world but not the best either"/>
        <s v="Trench shots may vary by one or two, audience blocked view"/>
        <s v="Missed far shots, loads at human player station but human players were not to quick, one in inner port"/>
        <s v="Bot was very shaky, something as wrong with code or drivetrain"/>
        <s v="Looks like shooter jammed. Didn't shoot at all"/>
        <s v="Had issues before match and robot never connected"/>
        <s v="No show"/>
        <s v="Seemed to have a problem with the robot"/>
        <s v="Broke down after auto, recovered scored then stopped for climb with 10 seconds before end, could not climb in time"/>
        <s v="Balls seemed to get stuck at shooter, possible broken or disconnected motor"/>
        <s v="Good intake bad shooter shot a lot made 2"/>
        <s v="Inconsistent shooter, no climber mechanism"/>
        <s v="Couldn't see much, everyone was standing in the way"/>
        <s v="Very inaccurate shooter"/>
        <s v="Very good and consistent shooter"/>
        <s v="Cross field shots missed, double climb not level, teleop shots failed"/>
        <s v="Bumped into us, causing a foul"/>
        <s v="Quick to human player station hit other alliance robots, rough in rendezvous point lost power cells"/>
        <s v="Very accurate. intakes from human play station "/>
        <s v="Missed all far shots, got stuck on power cell and ripped it, shooter is not fully tuned missed all teleop shots, part of balanced triple climb"/>
        <s v="Bumpy/not great drive train, decent bumper gap intake"/>
        <s v="Struggled to stay vertical while driving, missed all but 1 far trench shots, climber malfunctioned"/>
        <s v="Long range but slow drivetrain"/>
        <s v="Didn't show up"/>
        <s v="Had some mechanical problems during match "/>
        <s v="Tried to climb but could not reach generator switch"/>
        <s v="Defense tech foul"/>
        <s v="Failed climb attempt"/>
        <s v="Amazing shooter"/>
        <s v="They extended their climber early on in the game so they violated the hight limit."/>
        <s v="Good intake, took time to get shooter aligned, consistent climb"/>
        <s v="Very very good intake, about half of the balls they shot went into the small hole"/>
        <s v="Almost climbed, quick shooter"/>
        <s v="Drives up to score"/>
        <s v="Very very good intake"/>
        <s v="Crashed into driver station wall a lot"/>
        <s v="Seemed to do very little, inefficient intake and shooter times, may be possible of climbing"/>
        <s v="Can only shoot from alliance zone bad intake "/>
        <s v="Usually climb but climber mechanism malfunctioned, missed all shots but had consistent intake"/>
        <s v="Ball was jammed so they went on defense. They also tried to climb which failed"/>
        <s v="Tried to climb yet failed"/>
        <s v="Balanced by themselves"/>
        <s v="Acutate "/>
        <s v="Extended climber before endgame"/>
        <s v="Good climber "/>
        <s v="Slow shoot"/>
        <s v="Shot a lot of balls outside the field"/>
        <s v="Pretty sure they broke down, wasnt moving much and smashed into walls"/>
        <s v="Flipped another robot"/>
        <s v="Tech foul, triple climb, jittery robot"/>
        <s v="Hooked on and almost made it but fell off at the end, was very still at the beginning of the match, has a pop up ball shooter"/>
        <s v="Broke down right before endgame, recovered and tried to shoot but ran out of time"/>
        <s v="They broke down and Didn't move"/>
        <s v="Shut down during match "/>
        <s v="Was parked and hit by red when another team tried to park. Intake was consistent but shooter not so much"/>
        <s v="Missed all shooting attempts, consistent intake, may not have been individual robot on fouls but alliance got a lot"/>
        <s v="Struggled to intake, missed most shots, and could not climb"/>
        <s v="All shots were either too low or too high"/>
        <s v="Their intake and feeder is not good"/>
        <s v="Shredded power cells and inconsistent intake; no attempted shots made it in; broke down mid teleop"/>
        <s v="Attempted spin, blue trench violation"/>
        <s v="Defended well a few shots still got past them tho"/>
        <s v="Didn't shoot or intake anything "/>
        <s v="No auto"/>
        <s v="Struggled to maneuver on the field"/>
        <s v="Alliance robot pushed them into other team"/>
        <s v="Seemed to be knocked out by defense"/>
        <s v="Steering broke"/>
        <s v="Can't intake balls off floor, only from human player."/>
        <s v="Good trench clearance, quick cycle time with a slower human player"/>
        <s v="Robot never moved off the start line"/>
        <s v="Got stuck on the roundeveou point "/>
        <s v="Took a bad hit to intake and was connected but not functional"/>
        <s v="Made some power cells in inner port, got heavily defended recovered but then was flipped on its side"/>
        <s v="Drove slowly while in taking, got balls but struggled to line up to shoot, climbed but fell because hook snapped"/>
        <s v="Can go under trench well"/>
        <s v="Intake is decent, has a very strong shooter. During the beginning code freaked out and they rammed the wall. To add on their climber failed and they tipped. They may of had a foul against them"/>
        <s v="They got heavily defended by 190 and some parts flew of them or 190. They tried to climb but their hook popes off. They also smashed into the wall in auto"/>
        <s v="Was just short in  shooting "/>
        <s v="Got stuck on control panel frame got unstuck, quick intake"/>
        <s v="Has only a human player load in, no intake, cannot climb and prevented partner from climbing"/>
        <s v="They could not intake balls, the had to drive to the other side of the field and get balks dropped in them"/>
        <s v="They could only score low"/>
        <s v="Can only score low "/>
        <s v="Relies on feeder"/>
        <s v="Can't shoot high"/>
        <s v="Good low bot climber doesn't work"/>
        <s v="Something broke dragged a rope with hook"/>
        <s v="Great shooter "/>
        <s v="Good intake, good cycle speed, consistent shooter "/>
        <s v="Great shooter ðŸ‘Œ"/>
        <s v="They climbed but our positions are messed up, consistent climb_x000a_"/>
        <s v="Slow shooter.not the best pick"/>
        <s v="The shooter was working but then they weren't able to shoot"/>
        <s v="Trench foul, rendezvous foul, touched climbing robot, disconnected "/>
        <s v="Could not get many in low went for defense was not the best, has no climbing option"/>
        <s v="Broke down in other alliances rendezvous zone"/>
        <s v="This robot can't do much other than move"/>
        <s v="No auto, took a while to start teleop, could not intake a ball to shoot, tried to play defense but was being pushed around."/>
        <s v="Poor intake "/>
        <s v="Slow intake"/>
        <s v="Stayed only on their side, was functional"/>
        <s v="Got defended on so they couldn't score"/>
        <s v="Sat around entire match"/>
        <s v="Can only score low balls when they attempted to climb their climber broke they also got a penalty "/>
        <s v="Can only score low"/>
        <s v="They tried to climb but the climber broke"/>
        <s v="Dropped all power cells in their control, broke down recovered and could not move from rendezvous point still climbed"/>
        <s v="Looked like they tried to get the low goal, but every ball was deflected?"/>
        <s v="Only shoots low"/>
        <s v="Only low goal"/>
        <s v="Twords the field and they stopped shooting, may be a mechanical issue"/>
        <s v="Cannot shoot high"/>
        <n v="24" u="1"/>
        <n v="27" u="1"/>
      </sharedItems>
    </cacheField>
    <cacheField name="Endgame our score" numFmtId="0">
      <sharedItems containsSemiMixedTypes="0" containsString="0" containsNumber="1" containsInteger="1" minValue="0" maxValue="75"/>
    </cacheField>
    <cacheField name="our score" numFmtId="0">
      <sharedItems containsSemiMixedTypes="0" containsString="0" containsNumber="1" containsInteger="1" minValue="0" maxValue="101"/>
    </cacheField>
    <cacheField name="auton start left" numFmtId="0">
      <sharedItems containsSemiMixedTypes="0" containsString="0" containsNumber="1" containsInteger="1" minValue="0" maxValue="1"/>
    </cacheField>
    <cacheField name="Auton start center" numFmtId="0">
      <sharedItems containsSemiMixedTypes="0" containsString="0" containsNumber="1" containsInteger="1" minValue="0" maxValue="1"/>
    </cacheField>
    <cacheField name="auton start right" numFmtId="0">
      <sharedItems containsSemiMixedTypes="0" containsString="0" containsNumber="1" containsInteger="1" minValue="0" maxValue="1"/>
    </cacheField>
    <cacheField name="all balls scored" numFmtId="0">
      <sharedItems containsSemiMixedTypes="0" containsString="0" containsNumber="1" containsInteger="1" minValue="0" maxValue="17"/>
    </cacheField>
    <cacheField name="all balls scored high" numFmtId="0">
      <sharedItems containsSemiMixedTypes="0" containsString="0" containsNumber="1" containsInteger="1" minValue="0" maxValue="17"/>
    </cacheField>
    <cacheField name="all balls scored Low" numFmtId="0">
      <sharedItems containsSemiMixedTypes="0" containsString="0" containsNumber="1" containsInteger="1" minValue="0" maxValue="8"/>
    </cacheField>
    <cacheField name="time spun w/ out 0" numFmtId="1">
      <sharedItems containsSemiMixedTypes="0" containsString="0" containsNumber="1" containsInteger="1" minValue="0" maxValue="1"/>
    </cacheField>
    <cacheField name="time spun color w/ out 0"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105349898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1">
  <r>
    <x v="0"/>
    <n v="1"/>
    <n v="1"/>
    <n v="1"/>
    <n v="1"/>
    <n v="1"/>
    <n v="1"/>
    <n v="1"/>
    <n v="3"/>
    <n v="2"/>
    <n v="11"/>
    <n v="1"/>
    <n v="1"/>
    <n v="1"/>
    <n v="1"/>
    <n v="1"/>
    <n v="1"/>
    <n v="1"/>
    <n v="1"/>
    <n v="1"/>
    <n v="1"/>
    <n v="3"/>
    <n v="4"/>
    <n v="2"/>
    <n v="2"/>
    <n v="15"/>
    <n v="1"/>
    <n v="1"/>
    <n v="1"/>
    <n v="1"/>
    <n v="1"/>
    <n v="1"/>
    <n v="1"/>
    <n v="1"/>
    <n v="1"/>
    <x v="0"/>
    <n v="75"/>
    <n v="101"/>
    <n v="1"/>
    <n v="0"/>
    <n v="0"/>
    <n v="6"/>
    <n v="4"/>
    <n v="2"/>
    <n v="1"/>
    <n v="1"/>
  </r>
  <r>
    <x v="1"/>
    <n v="1"/>
    <n v="1"/>
    <n v="1"/>
    <n v="1"/>
    <n v="1"/>
    <n v="1"/>
    <n v="1"/>
    <n v="3"/>
    <n v="2"/>
    <n v="11"/>
    <n v="1"/>
    <n v="1"/>
    <n v="1"/>
    <n v="1"/>
    <n v="1"/>
    <n v="1"/>
    <n v="1"/>
    <n v="1"/>
    <n v="1"/>
    <n v="1"/>
    <n v="3"/>
    <n v="4"/>
    <n v="2"/>
    <n v="2"/>
    <n v="15"/>
    <n v="1"/>
    <n v="1"/>
    <n v="1"/>
    <n v="1"/>
    <n v="1"/>
    <n v="1"/>
    <n v="1"/>
    <n v="1"/>
    <n v="1"/>
    <x v="0"/>
    <n v="75"/>
    <n v="101"/>
    <n v="1"/>
    <n v="0"/>
    <n v="0"/>
    <n v="6"/>
    <n v="4"/>
    <n v="2"/>
    <n v="1"/>
    <n v="1"/>
  </r>
  <r>
    <x v="2"/>
    <n v="3"/>
    <n v="2"/>
    <n v="0"/>
    <n v="0"/>
    <n v="0"/>
    <n v="0"/>
    <n v="1"/>
    <n v="0"/>
    <n v="2"/>
    <n v="7"/>
    <n v="0"/>
    <n v="0"/>
    <n v="1"/>
    <n v="0"/>
    <n v="0"/>
    <n v="0"/>
    <n v="0"/>
    <n v="0"/>
    <n v="0"/>
    <n v="0"/>
    <n v="1"/>
    <n v="1"/>
    <n v="0"/>
    <n v="0"/>
    <n v="1"/>
    <n v="1"/>
    <n v="0"/>
    <n v="1"/>
    <n v="0"/>
    <n v="0"/>
    <n v="0"/>
    <n v="0"/>
    <m/>
    <s v="&quot;KN&quot;"/>
    <x v="1"/>
    <n v="40"/>
    <n v="48"/>
    <n v="0"/>
    <n v="0"/>
    <n v="1"/>
    <n v="3"/>
    <n v="3"/>
    <n v="0"/>
    <n v="0"/>
    <n v="0"/>
  </r>
  <r>
    <x v="2"/>
    <n v="3"/>
    <n v="0"/>
    <n v="0"/>
    <n v="0"/>
    <n v="0"/>
    <n v="0"/>
    <n v="1"/>
    <n v="0"/>
    <n v="0"/>
    <n v="1"/>
    <n v="0"/>
    <n v="0"/>
    <n v="1"/>
    <n v="0"/>
    <n v="0"/>
    <n v="0"/>
    <n v="0"/>
    <n v="0"/>
    <n v="0"/>
    <n v="0"/>
    <n v="1"/>
    <n v="1"/>
    <n v="0"/>
    <n v="0"/>
    <n v="1"/>
    <n v="1"/>
    <n v="0"/>
    <n v="1"/>
    <n v="0"/>
    <n v="0"/>
    <n v="0"/>
    <n v="0"/>
    <m/>
    <s v="&quot;MB&quot;"/>
    <x v="2"/>
    <n v="40"/>
    <n v="42"/>
    <n v="0"/>
    <n v="0"/>
    <n v="1"/>
    <n v="1"/>
    <n v="1"/>
    <n v="0"/>
    <n v="0"/>
    <n v="0"/>
  </r>
  <r>
    <x v="2"/>
    <n v="3"/>
    <n v="2"/>
    <n v="0"/>
    <n v="0"/>
    <n v="0"/>
    <n v="0"/>
    <n v="0"/>
    <n v="0"/>
    <n v="2"/>
    <n v="6"/>
    <n v="0"/>
    <n v="0"/>
    <n v="2"/>
    <n v="0"/>
    <n v="0"/>
    <n v="0"/>
    <n v="0"/>
    <n v="0"/>
    <n v="0"/>
    <n v="0"/>
    <n v="2"/>
    <n v="2"/>
    <n v="0"/>
    <n v="0"/>
    <n v="2"/>
    <n v="0"/>
    <n v="0"/>
    <n v="0"/>
    <n v="0"/>
    <n v="0"/>
    <n v="0"/>
    <n v="0"/>
    <m/>
    <s v="&quot;WR&quot;"/>
    <x v="3"/>
    <n v="0"/>
    <n v="8"/>
    <n v="0"/>
    <n v="0"/>
    <n v="1"/>
    <n v="4"/>
    <n v="4"/>
    <n v="0"/>
    <n v="0"/>
    <n v="0"/>
  </r>
  <r>
    <x v="2"/>
    <n v="3"/>
    <n v="1"/>
    <n v="0"/>
    <n v="0"/>
    <n v="0"/>
    <n v="0"/>
    <n v="0"/>
    <n v="0"/>
    <n v="1"/>
    <n v="3"/>
    <n v="0"/>
    <n v="0"/>
    <n v="1"/>
    <n v="0"/>
    <n v="0"/>
    <n v="0"/>
    <n v="0"/>
    <n v="0"/>
    <n v="0"/>
    <n v="0"/>
    <n v="1"/>
    <n v="1"/>
    <n v="0"/>
    <n v="0"/>
    <n v="1"/>
    <n v="1"/>
    <n v="0"/>
    <n v="0"/>
    <n v="0"/>
    <n v="0"/>
    <n v="0"/>
    <n v="0"/>
    <m/>
    <s v="&quot;MT&quot;"/>
    <x v="4"/>
    <n v="25"/>
    <n v="29"/>
    <n v="0"/>
    <n v="0"/>
    <n v="1"/>
    <n v="2"/>
    <n v="2"/>
    <n v="0"/>
    <n v="0"/>
    <n v="0"/>
  </r>
  <r>
    <x v="2"/>
    <n v="3"/>
    <n v="0"/>
    <n v="0"/>
    <n v="0"/>
    <n v="0"/>
    <n v="0"/>
    <n v="1"/>
    <n v="0"/>
    <n v="0"/>
    <n v="1"/>
    <n v="0"/>
    <n v="0"/>
    <n v="1"/>
    <n v="0"/>
    <n v="0"/>
    <n v="0"/>
    <n v="0"/>
    <n v="0"/>
    <n v="0"/>
    <n v="0"/>
    <n v="1"/>
    <n v="1"/>
    <n v="0"/>
    <n v="0"/>
    <n v="1"/>
    <n v="1"/>
    <n v="0"/>
    <n v="0"/>
    <n v="0"/>
    <n v="0"/>
    <n v="1"/>
    <n v="1"/>
    <m/>
    <s v="&quot;KN&quot;"/>
    <x v="5"/>
    <n v="25"/>
    <n v="27"/>
    <n v="0"/>
    <n v="0"/>
    <n v="1"/>
    <n v="1"/>
    <n v="1"/>
    <n v="0"/>
    <n v="0"/>
    <n v="0"/>
  </r>
  <r>
    <x v="2"/>
    <n v="3"/>
    <n v="1"/>
    <n v="0"/>
    <n v="0"/>
    <n v="0"/>
    <n v="0"/>
    <n v="1"/>
    <n v="0"/>
    <n v="1"/>
    <n v="4"/>
    <n v="0"/>
    <n v="0"/>
    <n v="1"/>
    <n v="0"/>
    <n v="0"/>
    <n v="0"/>
    <n v="0"/>
    <n v="0"/>
    <n v="0"/>
    <n v="0"/>
    <n v="1"/>
    <n v="1"/>
    <n v="0"/>
    <n v="0"/>
    <n v="1"/>
    <n v="1"/>
    <n v="0"/>
    <n v="1"/>
    <n v="0"/>
    <n v="0"/>
    <n v="0"/>
    <n v="0"/>
    <m/>
    <s v="&quot;KN&quot;"/>
    <x v="6"/>
    <n v="40"/>
    <n v="45"/>
    <n v="0"/>
    <n v="0"/>
    <n v="1"/>
    <n v="2"/>
    <n v="2"/>
    <n v="0"/>
    <n v="0"/>
    <n v="0"/>
  </r>
  <r>
    <x v="2"/>
    <n v="3"/>
    <n v="2"/>
    <n v="0"/>
    <n v="0"/>
    <n v="0"/>
    <n v="0"/>
    <n v="0"/>
    <n v="0"/>
    <n v="2"/>
    <n v="6"/>
    <n v="0"/>
    <n v="1"/>
    <n v="0"/>
    <n v="0"/>
    <n v="0"/>
    <n v="0"/>
    <n v="0"/>
    <n v="0"/>
    <n v="0"/>
    <n v="0"/>
    <n v="1"/>
    <n v="1"/>
    <n v="0"/>
    <n v="0"/>
    <n v="2"/>
    <n v="1"/>
    <n v="0"/>
    <n v="1"/>
    <n v="0"/>
    <n v="0"/>
    <n v="0"/>
    <n v="0"/>
    <m/>
    <s v="&quot;MB&quot;"/>
    <x v="7"/>
    <n v="40"/>
    <n v="48"/>
    <n v="0"/>
    <n v="0"/>
    <n v="1"/>
    <n v="3"/>
    <n v="3"/>
    <n v="0"/>
    <n v="0"/>
    <n v="0"/>
  </r>
  <r>
    <x v="2"/>
    <n v="3"/>
    <n v="1"/>
    <n v="0"/>
    <n v="0"/>
    <n v="0"/>
    <n v="0"/>
    <n v="1"/>
    <n v="0"/>
    <n v="1"/>
    <n v="4"/>
    <n v="0"/>
    <n v="0"/>
    <n v="0"/>
    <n v="0"/>
    <n v="0"/>
    <n v="0"/>
    <n v="0"/>
    <n v="0"/>
    <n v="0"/>
    <n v="0"/>
    <n v="0"/>
    <n v="0"/>
    <n v="0"/>
    <n v="0"/>
    <n v="0"/>
    <n v="1"/>
    <n v="0"/>
    <n v="1"/>
    <n v="0"/>
    <n v="0"/>
    <n v="0"/>
    <n v="0"/>
    <m/>
    <s v="&quot;KN&quot;"/>
    <x v="8"/>
    <n v="40"/>
    <n v="44"/>
    <n v="0"/>
    <n v="0"/>
    <n v="1"/>
    <n v="1"/>
    <n v="1"/>
    <n v="0"/>
    <n v="0"/>
    <n v="0"/>
  </r>
  <r>
    <x v="3"/>
    <n v="3"/>
    <n v="3"/>
    <n v="0"/>
    <n v="0"/>
    <n v="0"/>
    <n v="0"/>
    <n v="1"/>
    <n v="0"/>
    <n v="3"/>
    <n v="10"/>
    <n v="4"/>
    <n v="0"/>
    <n v="0"/>
    <n v="0"/>
    <n v="0"/>
    <n v="0"/>
    <n v="0"/>
    <n v="0"/>
    <n v="0"/>
    <n v="0"/>
    <n v="4"/>
    <n v="4"/>
    <n v="0"/>
    <n v="0"/>
    <n v="12"/>
    <n v="1"/>
    <n v="0"/>
    <n v="0"/>
    <n v="0"/>
    <n v="0"/>
    <n v="0"/>
    <n v="0"/>
    <m/>
    <s v="&quot;LL&quot;"/>
    <x v="3"/>
    <n v="25"/>
    <n v="47"/>
    <n v="0"/>
    <n v="0"/>
    <n v="1"/>
    <n v="7"/>
    <n v="7"/>
    <n v="0"/>
    <n v="0"/>
    <n v="0"/>
  </r>
  <r>
    <x v="3"/>
    <n v="3"/>
    <n v="4"/>
    <n v="0"/>
    <n v="0"/>
    <n v="1"/>
    <n v="0"/>
    <n v="0"/>
    <n v="1"/>
    <n v="4"/>
    <n v="14"/>
    <n v="5"/>
    <n v="0"/>
    <n v="0"/>
    <n v="0"/>
    <n v="0"/>
    <n v="0"/>
    <n v="0"/>
    <n v="0"/>
    <n v="0"/>
    <n v="0"/>
    <n v="5"/>
    <n v="5"/>
    <n v="0"/>
    <n v="0"/>
    <n v="15"/>
    <n v="0"/>
    <n v="0"/>
    <n v="0"/>
    <n v="0"/>
    <n v="0"/>
    <n v="0"/>
    <n v="0"/>
    <m/>
    <s v="&quot;&quot;"/>
    <x v="3"/>
    <n v="0"/>
    <n v="29"/>
    <n v="0"/>
    <n v="0"/>
    <n v="1"/>
    <n v="9"/>
    <n v="9"/>
    <n v="0"/>
    <n v="0"/>
    <n v="0"/>
  </r>
  <r>
    <x v="3"/>
    <n v="3"/>
    <n v="4"/>
    <n v="0"/>
    <n v="1"/>
    <n v="0"/>
    <n v="0"/>
    <n v="1"/>
    <n v="1"/>
    <n v="4"/>
    <n v="15"/>
    <n v="7"/>
    <n v="0"/>
    <n v="0"/>
    <n v="0"/>
    <n v="0"/>
    <n v="0"/>
    <n v="0"/>
    <n v="0"/>
    <n v="0"/>
    <n v="0"/>
    <n v="7"/>
    <n v="7"/>
    <n v="0"/>
    <n v="0"/>
    <n v="21"/>
    <n v="1"/>
    <n v="0"/>
    <n v="0"/>
    <n v="0"/>
    <n v="0"/>
    <n v="0"/>
    <n v="0"/>
    <m/>
    <s v="&quot;super long range fire&quot;"/>
    <x v="3"/>
    <n v="25"/>
    <n v="61"/>
    <n v="0"/>
    <n v="0"/>
    <n v="1"/>
    <n v="11"/>
    <n v="11"/>
    <n v="0"/>
    <n v="0"/>
    <n v="0"/>
  </r>
  <r>
    <x v="3"/>
    <n v="3"/>
    <n v="6"/>
    <n v="0"/>
    <n v="3"/>
    <n v="0"/>
    <n v="0"/>
    <n v="1"/>
    <n v="3"/>
    <n v="6"/>
    <n v="25"/>
    <n v="4"/>
    <n v="0"/>
    <n v="0"/>
    <n v="0"/>
    <n v="0"/>
    <n v="0"/>
    <n v="0"/>
    <n v="0"/>
    <n v="0"/>
    <n v="0"/>
    <n v="4"/>
    <n v="4"/>
    <n v="0"/>
    <n v="0"/>
    <n v="12"/>
    <n v="0"/>
    <n v="0"/>
    <n v="0"/>
    <n v="0"/>
    <n v="0"/>
    <n v="0"/>
    <n v="0"/>
    <m/>
    <s v="&quot;MB&quot;"/>
    <x v="9"/>
    <n v="0"/>
    <n v="37"/>
    <n v="0"/>
    <n v="0"/>
    <n v="1"/>
    <n v="10"/>
    <n v="10"/>
    <n v="0"/>
    <n v="0"/>
    <n v="0"/>
  </r>
  <r>
    <x v="4"/>
    <n v="3"/>
    <n v="0"/>
    <n v="0"/>
    <n v="0"/>
    <n v="0"/>
    <n v="0"/>
    <n v="0"/>
    <n v="0"/>
    <n v="0"/>
    <n v="0"/>
    <n v="0"/>
    <n v="0"/>
    <n v="0"/>
    <n v="0"/>
    <n v="0"/>
    <n v="0"/>
    <n v="0"/>
    <n v="0"/>
    <n v="0"/>
    <n v="0"/>
    <n v="0"/>
    <n v="0"/>
    <n v="0"/>
    <n v="0"/>
    <n v="0"/>
    <n v="0"/>
    <n v="0"/>
    <n v="0"/>
    <n v="0"/>
    <n v="0"/>
    <n v="0"/>
    <n v="0"/>
    <m/>
    <s v="&quot;MT&quot;"/>
    <x v="10"/>
    <n v="0"/>
    <n v="0"/>
    <n v="0"/>
    <n v="0"/>
    <n v="1"/>
    <n v="0"/>
    <n v="0"/>
    <n v="0"/>
    <n v="0"/>
    <n v="0"/>
  </r>
  <r>
    <x v="4"/>
    <n v="1"/>
    <n v="0"/>
    <n v="0"/>
    <n v="0"/>
    <n v="0"/>
    <n v="0"/>
    <n v="1"/>
    <n v="0"/>
    <n v="0"/>
    <n v="1"/>
    <n v="0"/>
    <n v="4"/>
    <n v="0"/>
    <n v="0"/>
    <n v="0"/>
    <n v="0"/>
    <n v="0"/>
    <n v="0"/>
    <n v="0"/>
    <n v="0"/>
    <n v="4"/>
    <n v="4"/>
    <n v="0"/>
    <n v="0"/>
    <n v="8"/>
    <n v="0"/>
    <n v="0"/>
    <n v="0"/>
    <n v="0"/>
    <n v="0"/>
    <n v="0"/>
    <n v="0"/>
    <m/>
    <s v="&quot;MB&quot;"/>
    <x v="3"/>
    <n v="0"/>
    <n v="9"/>
    <n v="1"/>
    <n v="0"/>
    <n v="0"/>
    <n v="4"/>
    <n v="4"/>
    <n v="0"/>
    <n v="0"/>
    <n v="0"/>
  </r>
  <r>
    <x v="4"/>
    <n v="1"/>
    <n v="3"/>
    <n v="0"/>
    <n v="0"/>
    <n v="0"/>
    <n v="0"/>
    <n v="1"/>
    <n v="0"/>
    <n v="3"/>
    <n v="10"/>
    <n v="0"/>
    <n v="3"/>
    <n v="0"/>
    <n v="0"/>
    <n v="0"/>
    <n v="0"/>
    <n v="0"/>
    <n v="0"/>
    <n v="0"/>
    <n v="0"/>
    <n v="3"/>
    <n v="3"/>
    <n v="0"/>
    <n v="0"/>
    <n v="6"/>
    <n v="0"/>
    <n v="0"/>
    <n v="0"/>
    <n v="0"/>
    <n v="0"/>
    <n v="0"/>
    <n v="0"/>
    <m/>
    <s v="&quot;KN &quot;"/>
    <x v="11"/>
    <n v="0"/>
    <n v="16"/>
    <n v="1"/>
    <n v="0"/>
    <n v="0"/>
    <n v="6"/>
    <n v="6"/>
    <n v="0"/>
    <n v="0"/>
    <n v="0"/>
  </r>
  <r>
    <x v="4"/>
    <n v="3"/>
    <n v="0"/>
    <n v="0"/>
    <n v="0"/>
    <n v="0"/>
    <n v="0"/>
    <n v="0"/>
    <n v="0"/>
    <n v="0"/>
    <n v="0"/>
    <n v="0"/>
    <n v="0"/>
    <n v="0"/>
    <n v="0"/>
    <n v="0"/>
    <n v="0"/>
    <n v="0"/>
    <n v="0"/>
    <n v="0"/>
    <n v="0"/>
    <n v="0"/>
    <n v="0"/>
    <n v="0"/>
    <n v="0"/>
    <n v="0"/>
    <n v="0"/>
    <n v="0"/>
    <n v="0"/>
    <n v="0"/>
    <n v="0"/>
    <n v="0"/>
    <n v="0"/>
    <m/>
    <s v="&quot;KV&quot;"/>
    <x v="12"/>
    <n v="0"/>
    <n v="0"/>
    <n v="0"/>
    <n v="0"/>
    <n v="1"/>
    <n v="0"/>
    <n v="0"/>
    <n v="0"/>
    <n v="0"/>
    <n v="0"/>
  </r>
  <r>
    <x v="4"/>
    <n v="3"/>
    <n v="2"/>
    <n v="0"/>
    <n v="0"/>
    <n v="0"/>
    <n v="0"/>
    <n v="1"/>
    <n v="0"/>
    <n v="2"/>
    <n v="7"/>
    <n v="0"/>
    <n v="0"/>
    <n v="0"/>
    <n v="0"/>
    <n v="0"/>
    <n v="0"/>
    <n v="0"/>
    <n v="0"/>
    <n v="0"/>
    <n v="0"/>
    <n v="0"/>
    <n v="0"/>
    <n v="0"/>
    <n v="0"/>
    <n v="0"/>
    <n v="0"/>
    <n v="0"/>
    <n v="0"/>
    <n v="0"/>
    <n v="0"/>
    <n v="0"/>
    <n v="0"/>
    <m/>
    <s v="&quot;MT&quot;"/>
    <x v="3"/>
    <n v="0"/>
    <n v="7"/>
    <n v="0"/>
    <n v="0"/>
    <n v="1"/>
    <n v="2"/>
    <n v="2"/>
    <n v="0"/>
    <n v="0"/>
    <n v="0"/>
  </r>
  <r>
    <x v="5"/>
    <n v="1"/>
    <n v="0"/>
    <n v="0"/>
    <n v="0"/>
    <n v="0"/>
    <n v="0"/>
    <n v="0"/>
    <n v="0"/>
    <n v="0"/>
    <n v="0"/>
    <n v="0"/>
    <n v="2"/>
    <n v="0"/>
    <n v="0"/>
    <n v="0"/>
    <n v="0"/>
    <n v="0"/>
    <n v="0"/>
    <n v="0"/>
    <n v="0"/>
    <n v="2"/>
    <n v="2"/>
    <n v="0"/>
    <n v="0"/>
    <n v="4"/>
    <n v="0"/>
    <n v="0"/>
    <n v="0"/>
    <n v="0"/>
    <n v="0"/>
    <n v="0"/>
    <n v="0"/>
    <m/>
    <s v="&quot;MT&quot;"/>
    <x v="3"/>
    <n v="0"/>
    <n v="4"/>
    <n v="1"/>
    <n v="0"/>
    <n v="0"/>
    <n v="2"/>
    <n v="2"/>
    <n v="0"/>
    <n v="0"/>
    <n v="0"/>
  </r>
  <r>
    <x v="5"/>
    <n v="1"/>
    <n v="2"/>
    <n v="0"/>
    <n v="0"/>
    <n v="0"/>
    <n v="0"/>
    <n v="1"/>
    <n v="0"/>
    <n v="2"/>
    <n v="7"/>
    <n v="0"/>
    <n v="0"/>
    <n v="4"/>
    <n v="0"/>
    <n v="0"/>
    <n v="0"/>
    <n v="0"/>
    <n v="0"/>
    <n v="0"/>
    <n v="0"/>
    <n v="4"/>
    <n v="4"/>
    <n v="0"/>
    <n v="0"/>
    <n v="4"/>
    <n v="1"/>
    <n v="0"/>
    <n v="0"/>
    <n v="0"/>
    <n v="0"/>
    <n v="0"/>
    <n v="0"/>
    <m/>
    <s v="&quot;KN&quot;"/>
    <x v="13"/>
    <n v="25"/>
    <n v="36"/>
    <n v="1"/>
    <n v="0"/>
    <n v="0"/>
    <n v="6"/>
    <n v="6"/>
    <n v="0"/>
    <n v="0"/>
    <n v="0"/>
  </r>
  <r>
    <x v="5"/>
    <n v="2"/>
    <n v="3"/>
    <n v="0"/>
    <n v="0"/>
    <n v="0"/>
    <n v="0"/>
    <n v="0"/>
    <n v="0"/>
    <n v="3"/>
    <n v="9"/>
    <n v="0"/>
    <n v="1"/>
    <n v="0"/>
    <n v="0"/>
    <n v="0"/>
    <n v="0"/>
    <n v="0"/>
    <n v="0"/>
    <n v="0"/>
    <n v="0"/>
    <n v="1"/>
    <n v="1"/>
    <n v="0"/>
    <n v="0"/>
    <n v="2"/>
    <n v="1"/>
    <n v="0"/>
    <n v="0"/>
    <n v="0"/>
    <n v="0"/>
    <n v="0"/>
    <n v="0"/>
    <m/>
    <s v="&quot;MB&quot;"/>
    <x v="3"/>
    <n v="25"/>
    <n v="36"/>
    <n v="0"/>
    <n v="1"/>
    <n v="0"/>
    <n v="4"/>
    <n v="4"/>
    <n v="0"/>
    <n v="0"/>
    <n v="0"/>
  </r>
  <r>
    <x v="5"/>
    <n v="1"/>
    <n v="3"/>
    <n v="0"/>
    <n v="0"/>
    <n v="0"/>
    <n v="0"/>
    <n v="1"/>
    <n v="0"/>
    <n v="3"/>
    <n v="10"/>
    <n v="0"/>
    <n v="3"/>
    <n v="0"/>
    <n v="0"/>
    <n v="0"/>
    <n v="0"/>
    <n v="0"/>
    <n v="0"/>
    <n v="0"/>
    <n v="0"/>
    <n v="3"/>
    <n v="3"/>
    <n v="0"/>
    <n v="0"/>
    <n v="6"/>
    <n v="1"/>
    <n v="0"/>
    <n v="0"/>
    <n v="0"/>
    <n v="0"/>
    <n v="0"/>
    <n v="0"/>
    <m/>
    <s v="&quot;MB&quot;"/>
    <x v="3"/>
    <n v="25"/>
    <n v="41"/>
    <n v="1"/>
    <n v="0"/>
    <n v="0"/>
    <n v="6"/>
    <n v="6"/>
    <n v="0"/>
    <n v="0"/>
    <n v="0"/>
  </r>
  <r>
    <x v="5"/>
    <n v="3"/>
    <n v="5"/>
    <n v="0"/>
    <n v="0"/>
    <n v="0"/>
    <n v="0"/>
    <n v="1"/>
    <n v="0"/>
    <n v="5"/>
    <n v="16"/>
    <n v="0"/>
    <n v="0"/>
    <n v="0"/>
    <n v="0"/>
    <n v="0"/>
    <n v="0"/>
    <n v="0"/>
    <n v="0"/>
    <n v="0"/>
    <n v="2.5"/>
    <n v="0"/>
    <n v="0"/>
    <n v="0"/>
    <n v="0"/>
    <n v="5"/>
    <n v="0"/>
    <n v="0"/>
    <n v="0"/>
    <n v="0"/>
    <n v="0"/>
    <n v="0"/>
    <n v="0"/>
    <m/>
    <s v="&quot;KV&quot;"/>
    <x v="14"/>
    <n v="0"/>
    <n v="21"/>
    <n v="0"/>
    <n v="0"/>
    <n v="1"/>
    <n v="5"/>
    <n v="5"/>
    <n v="0"/>
    <n v="0"/>
    <n v="0"/>
  </r>
  <r>
    <x v="5"/>
    <n v="3"/>
    <n v="4"/>
    <n v="0"/>
    <n v="0"/>
    <n v="0"/>
    <n v="0"/>
    <n v="1"/>
    <n v="0"/>
    <n v="4"/>
    <n v="13"/>
    <n v="0"/>
    <n v="7"/>
    <n v="0"/>
    <n v="0"/>
    <n v="0"/>
    <n v="0"/>
    <n v="0"/>
    <n v="0"/>
    <n v="0"/>
    <n v="0"/>
    <n v="7"/>
    <n v="7"/>
    <n v="0"/>
    <n v="0"/>
    <n v="14"/>
    <n v="0"/>
    <n v="0"/>
    <n v="0"/>
    <n v="0"/>
    <n v="0"/>
    <n v="0"/>
    <n v="0"/>
    <m/>
    <s v="&quot;KV&quot;"/>
    <x v="3"/>
    <n v="0"/>
    <n v="27"/>
    <n v="0"/>
    <n v="0"/>
    <n v="1"/>
    <n v="11"/>
    <n v="11"/>
    <n v="0"/>
    <n v="0"/>
    <n v="0"/>
  </r>
  <r>
    <x v="5"/>
    <n v="2"/>
    <n v="4"/>
    <n v="0"/>
    <n v="0"/>
    <n v="0"/>
    <n v="0"/>
    <n v="1"/>
    <n v="0"/>
    <n v="4"/>
    <n v="13"/>
    <n v="0"/>
    <n v="0"/>
    <n v="0"/>
    <n v="0"/>
    <n v="0"/>
    <n v="0"/>
    <n v="0"/>
    <n v="0"/>
    <n v="0"/>
    <n v="0"/>
    <n v="0"/>
    <n v="0"/>
    <n v="0"/>
    <n v="0"/>
    <n v="0"/>
    <n v="1"/>
    <n v="0"/>
    <n v="1"/>
    <n v="0"/>
    <n v="0"/>
    <n v="0"/>
    <n v="0"/>
    <m/>
    <s v="&quot;RS&quot;"/>
    <x v="15"/>
    <n v="40"/>
    <n v="53"/>
    <n v="0"/>
    <n v="1"/>
    <n v="0"/>
    <n v="4"/>
    <n v="4"/>
    <n v="0"/>
    <n v="0"/>
    <n v="0"/>
  </r>
  <r>
    <x v="6"/>
    <n v="1"/>
    <n v="1"/>
    <n v="0"/>
    <n v="0"/>
    <n v="0"/>
    <n v="0"/>
    <n v="0"/>
    <n v="0"/>
    <n v="1"/>
    <n v="3"/>
    <n v="0"/>
    <n v="0"/>
    <n v="0"/>
    <n v="0"/>
    <n v="0"/>
    <n v="0"/>
    <n v="0"/>
    <n v="0"/>
    <n v="0"/>
    <n v="0"/>
    <n v="0"/>
    <n v="0"/>
    <n v="0"/>
    <n v="0"/>
    <n v="0"/>
    <n v="0"/>
    <n v="0"/>
    <n v="0"/>
    <n v="0"/>
    <n v="0"/>
    <n v="1"/>
    <n v="1"/>
    <m/>
    <s v="&quot;LL&quot;"/>
    <x v="3"/>
    <n v="0"/>
    <n v="3"/>
    <n v="1"/>
    <n v="0"/>
    <n v="0"/>
    <n v="1"/>
    <n v="1"/>
    <n v="0"/>
    <n v="0"/>
    <n v="0"/>
  </r>
  <r>
    <x v="6"/>
    <n v="2"/>
    <n v="3"/>
    <n v="0"/>
    <n v="0"/>
    <n v="0"/>
    <n v="0"/>
    <n v="1"/>
    <n v="0"/>
    <n v="3"/>
    <n v="10"/>
    <n v="0"/>
    <n v="1"/>
    <n v="2"/>
    <n v="0"/>
    <n v="0"/>
    <n v="0"/>
    <n v="0"/>
    <n v="0"/>
    <n v="0"/>
    <n v="0"/>
    <n v="3"/>
    <n v="3"/>
    <n v="0"/>
    <n v="0"/>
    <n v="4"/>
    <n v="0"/>
    <n v="0"/>
    <n v="0"/>
    <n v="0"/>
    <n v="0"/>
    <n v="0"/>
    <n v="0"/>
    <m/>
    <s v="&quot;KN&quot;"/>
    <x v="16"/>
    <n v="0"/>
    <n v="14"/>
    <n v="0"/>
    <n v="1"/>
    <n v="0"/>
    <n v="6"/>
    <n v="6"/>
    <n v="0"/>
    <n v="0"/>
    <n v="0"/>
  </r>
  <r>
    <x v="6"/>
    <n v="3"/>
    <n v="3"/>
    <n v="0"/>
    <n v="0"/>
    <n v="0"/>
    <n v="0"/>
    <n v="0"/>
    <n v="0"/>
    <n v="3"/>
    <n v="9"/>
    <n v="0"/>
    <n v="0"/>
    <n v="3"/>
    <n v="0"/>
    <n v="0"/>
    <n v="0"/>
    <n v="0"/>
    <n v="0"/>
    <n v="0"/>
    <n v="0"/>
    <n v="3"/>
    <n v="3"/>
    <n v="0"/>
    <n v="0"/>
    <n v="3"/>
    <n v="0"/>
    <n v="0"/>
    <n v="0"/>
    <n v="0"/>
    <n v="0"/>
    <n v="0"/>
    <n v="0"/>
    <m/>
    <s v="&quot;MB&quot;"/>
    <x v="3"/>
    <n v="0"/>
    <n v="12"/>
    <n v="0"/>
    <n v="0"/>
    <n v="1"/>
    <n v="6"/>
    <n v="6"/>
    <n v="0"/>
    <n v="0"/>
    <n v="0"/>
  </r>
  <r>
    <x v="6"/>
    <n v="1"/>
    <n v="3"/>
    <n v="0"/>
    <n v="0"/>
    <n v="0"/>
    <n v="0"/>
    <n v="1"/>
    <n v="0"/>
    <n v="3"/>
    <n v="10"/>
    <n v="0"/>
    <n v="0"/>
    <n v="0"/>
    <n v="0"/>
    <n v="0"/>
    <n v="0"/>
    <n v="0"/>
    <n v="0"/>
    <n v="0"/>
    <n v="0"/>
    <n v="0"/>
    <n v="0"/>
    <n v="0"/>
    <n v="0"/>
    <n v="0"/>
    <n v="0"/>
    <n v="0"/>
    <n v="0"/>
    <n v="0"/>
    <n v="0"/>
    <n v="0"/>
    <n v="0"/>
    <m/>
    <s v="&quot;RS&quot;"/>
    <x v="3"/>
    <n v="0"/>
    <n v="10"/>
    <n v="1"/>
    <n v="0"/>
    <n v="0"/>
    <n v="3"/>
    <n v="3"/>
    <n v="0"/>
    <n v="0"/>
    <n v="0"/>
  </r>
  <r>
    <x v="6"/>
    <n v="2"/>
    <n v="2"/>
    <n v="0"/>
    <n v="0"/>
    <n v="0"/>
    <n v="0"/>
    <n v="1"/>
    <n v="0"/>
    <n v="2"/>
    <n v="7"/>
    <n v="0"/>
    <n v="0"/>
    <n v="0"/>
    <n v="0"/>
    <n v="0"/>
    <n v="0"/>
    <n v="0"/>
    <n v="0"/>
    <n v="0"/>
    <n v="0"/>
    <n v="0"/>
    <n v="0"/>
    <n v="0"/>
    <n v="0"/>
    <n v="0"/>
    <n v="0"/>
    <n v="0"/>
    <n v="0"/>
    <n v="0"/>
    <n v="0"/>
    <n v="0"/>
    <n v="0"/>
    <m/>
    <s v="&quot;RS&quot;"/>
    <x v="3"/>
    <n v="0"/>
    <n v="7"/>
    <n v="0"/>
    <n v="1"/>
    <n v="0"/>
    <n v="2"/>
    <n v="2"/>
    <n v="0"/>
    <n v="0"/>
    <n v="0"/>
  </r>
  <r>
    <x v="6"/>
    <n v="2"/>
    <n v="3"/>
    <n v="0"/>
    <n v="0"/>
    <n v="0"/>
    <n v="0"/>
    <n v="1"/>
    <n v="0"/>
    <n v="3"/>
    <n v="10"/>
    <n v="0"/>
    <n v="0"/>
    <n v="0"/>
    <n v="0"/>
    <n v="0"/>
    <n v="0"/>
    <n v="0"/>
    <n v="0"/>
    <n v="0"/>
    <n v="0"/>
    <n v="0"/>
    <n v="0"/>
    <n v="0"/>
    <n v="0"/>
    <n v="0"/>
    <n v="0"/>
    <n v="0"/>
    <n v="0"/>
    <n v="0"/>
    <n v="0"/>
    <n v="0"/>
    <n v="0"/>
    <m/>
    <s v="&quot;RS&quot;"/>
    <x v="3"/>
    <n v="0"/>
    <n v="10"/>
    <n v="0"/>
    <n v="1"/>
    <n v="0"/>
    <n v="3"/>
    <n v="3"/>
    <n v="0"/>
    <n v="0"/>
    <n v="0"/>
  </r>
  <r>
    <x v="7"/>
    <n v="1"/>
    <n v="0"/>
    <n v="0"/>
    <n v="0"/>
    <n v="0"/>
    <n v="0"/>
    <n v="1"/>
    <n v="0"/>
    <n v="0"/>
    <n v="1"/>
    <n v="0"/>
    <n v="0"/>
    <n v="0"/>
    <n v="0"/>
    <n v="0"/>
    <n v="0"/>
    <n v="0"/>
    <n v="0"/>
    <n v="0"/>
    <n v="1"/>
    <n v="0"/>
    <n v="0"/>
    <n v="0"/>
    <n v="0"/>
    <n v="2"/>
    <n v="0"/>
    <n v="0"/>
    <n v="0"/>
    <n v="0"/>
    <n v="0"/>
    <n v="0"/>
    <n v="0"/>
    <m/>
    <s v="&quot;RS&quot;"/>
    <x v="17"/>
    <n v="0"/>
    <n v="3"/>
    <n v="1"/>
    <n v="0"/>
    <n v="0"/>
    <n v="0"/>
    <n v="0"/>
    <n v="0"/>
    <n v="0"/>
    <n v="0"/>
  </r>
  <r>
    <x v="7"/>
    <n v="1"/>
    <n v="0"/>
    <n v="0"/>
    <n v="0"/>
    <n v="0"/>
    <n v="0"/>
    <n v="1"/>
    <n v="0"/>
    <n v="0"/>
    <n v="1"/>
    <n v="0"/>
    <n v="0"/>
    <n v="1"/>
    <n v="0"/>
    <n v="0"/>
    <n v="0"/>
    <n v="0"/>
    <n v="0"/>
    <n v="0"/>
    <n v="5"/>
    <n v="1"/>
    <n v="1"/>
    <n v="0"/>
    <n v="0"/>
    <n v="11"/>
    <n v="0"/>
    <n v="0"/>
    <n v="0"/>
    <n v="0"/>
    <n v="0"/>
    <n v="0"/>
    <n v="0"/>
    <m/>
    <s v="&quot;MB&quot;"/>
    <x v="3"/>
    <n v="0"/>
    <n v="12"/>
    <n v="1"/>
    <n v="0"/>
    <n v="0"/>
    <n v="1"/>
    <n v="1"/>
    <n v="0"/>
    <n v="0"/>
    <n v="0"/>
  </r>
  <r>
    <x v="7"/>
    <n v="1"/>
    <n v="0"/>
    <n v="0"/>
    <n v="0"/>
    <n v="0"/>
    <n v="0"/>
    <n v="1"/>
    <n v="0"/>
    <n v="0"/>
    <n v="1"/>
    <n v="0"/>
    <n v="0"/>
    <n v="0"/>
    <n v="0"/>
    <n v="0"/>
    <n v="0"/>
    <n v="0"/>
    <n v="0"/>
    <n v="0"/>
    <n v="0"/>
    <n v="0"/>
    <n v="0"/>
    <n v="0"/>
    <n v="0"/>
    <n v="0"/>
    <n v="0"/>
    <n v="0"/>
    <n v="0"/>
    <n v="0"/>
    <n v="0"/>
    <n v="0"/>
    <n v="0"/>
    <m/>
    <s v="&quot;RS&quot;"/>
    <x v="18"/>
    <n v="0"/>
    <n v="1"/>
    <n v="1"/>
    <n v="0"/>
    <n v="0"/>
    <n v="0"/>
    <n v="0"/>
    <n v="0"/>
    <n v="0"/>
    <n v="0"/>
  </r>
  <r>
    <x v="7"/>
    <n v="1"/>
    <n v="0"/>
    <n v="0"/>
    <n v="0"/>
    <n v="0"/>
    <n v="0"/>
    <n v="1"/>
    <n v="0"/>
    <n v="0"/>
    <n v="1"/>
    <n v="0"/>
    <n v="0"/>
    <n v="5"/>
    <n v="0"/>
    <n v="0"/>
    <n v="0"/>
    <n v="0"/>
    <n v="0"/>
    <n v="0"/>
    <n v="0"/>
    <n v="5"/>
    <n v="5"/>
    <n v="0"/>
    <n v="0"/>
    <n v="5"/>
    <n v="0"/>
    <n v="0"/>
    <n v="0"/>
    <n v="0"/>
    <n v="0"/>
    <n v="0"/>
    <n v="0"/>
    <m/>
    <s v="&quot;MB&quot;"/>
    <x v="3"/>
    <n v="0"/>
    <n v="6"/>
    <n v="1"/>
    <n v="0"/>
    <n v="0"/>
    <n v="5"/>
    <n v="5"/>
    <n v="0"/>
    <n v="0"/>
    <n v="0"/>
  </r>
  <r>
    <x v="7"/>
    <n v="2"/>
    <n v="0"/>
    <n v="0"/>
    <n v="0"/>
    <n v="0"/>
    <n v="0"/>
    <n v="1"/>
    <n v="0"/>
    <n v="0"/>
    <n v="1"/>
    <n v="0"/>
    <n v="0"/>
    <n v="11"/>
    <n v="0"/>
    <n v="0"/>
    <n v="0"/>
    <n v="0"/>
    <n v="0"/>
    <n v="0"/>
    <n v="0"/>
    <n v="11"/>
    <n v="11"/>
    <n v="0"/>
    <n v="0"/>
    <n v="11"/>
    <n v="0"/>
    <n v="0"/>
    <n v="0"/>
    <n v="0"/>
    <n v="0"/>
    <n v="0"/>
    <n v="0"/>
    <m/>
    <s v="&quot;KV&quot;"/>
    <x v="19"/>
    <n v="0"/>
    <n v="12"/>
    <n v="0"/>
    <n v="1"/>
    <n v="0"/>
    <n v="11"/>
    <n v="11"/>
    <n v="0"/>
    <n v="0"/>
    <n v="0"/>
  </r>
  <r>
    <x v="7"/>
    <n v="2"/>
    <n v="0"/>
    <n v="0"/>
    <n v="0"/>
    <n v="0"/>
    <n v="0"/>
    <n v="1"/>
    <n v="0"/>
    <n v="0"/>
    <n v="1"/>
    <n v="9"/>
    <n v="0"/>
    <n v="0"/>
    <n v="0"/>
    <n v="0"/>
    <n v="0"/>
    <n v="0"/>
    <n v="0"/>
    <n v="0"/>
    <n v="0"/>
    <n v="9"/>
    <n v="9"/>
    <n v="0"/>
    <n v="0"/>
    <n v="27"/>
    <n v="0"/>
    <n v="0"/>
    <n v="0"/>
    <n v="0"/>
    <n v="0"/>
    <n v="0"/>
    <n v="0"/>
    <m/>
    <s v="&quot;KV&quot;"/>
    <x v="3"/>
    <n v="0"/>
    <n v="28"/>
    <n v="0"/>
    <n v="1"/>
    <n v="0"/>
    <n v="9"/>
    <n v="9"/>
    <n v="0"/>
    <n v="0"/>
    <n v="0"/>
  </r>
  <r>
    <x v="8"/>
    <n v="2"/>
    <n v="1"/>
    <n v="0"/>
    <n v="0"/>
    <n v="0"/>
    <n v="0"/>
    <n v="0"/>
    <n v="0"/>
    <n v="1"/>
    <n v="3"/>
    <n v="0"/>
    <n v="1"/>
    <n v="0"/>
    <n v="0"/>
    <n v="0"/>
    <n v="0"/>
    <n v="0"/>
    <n v="0"/>
    <n v="0"/>
    <n v="1"/>
    <n v="1"/>
    <n v="1"/>
    <n v="0"/>
    <n v="0"/>
    <n v="4"/>
    <n v="0"/>
    <n v="0"/>
    <n v="0"/>
    <n v="0"/>
    <n v="0"/>
    <n v="0"/>
    <n v="0"/>
    <m/>
    <s v="&quot;RS&quot;"/>
    <x v="20"/>
    <n v="0"/>
    <n v="7"/>
    <n v="0"/>
    <n v="1"/>
    <n v="0"/>
    <n v="2"/>
    <n v="2"/>
    <n v="0"/>
    <n v="0"/>
    <n v="0"/>
  </r>
  <r>
    <x v="8"/>
    <n v="2"/>
    <n v="0"/>
    <n v="0"/>
    <n v="0"/>
    <n v="0"/>
    <n v="0"/>
    <n v="1"/>
    <n v="0"/>
    <n v="0"/>
    <n v="1"/>
    <n v="0"/>
    <n v="0"/>
    <n v="0"/>
    <n v="0"/>
    <n v="0"/>
    <n v="0"/>
    <n v="0"/>
    <n v="0"/>
    <n v="0"/>
    <n v="5"/>
    <n v="0"/>
    <n v="0"/>
    <n v="0"/>
    <n v="0"/>
    <n v="10"/>
    <n v="0"/>
    <n v="0"/>
    <n v="0"/>
    <n v="0"/>
    <n v="0"/>
    <n v="0"/>
    <n v="0"/>
    <m/>
    <s v="&quot;MB&quot;"/>
    <x v="21"/>
    <n v="0"/>
    <n v="11"/>
    <n v="0"/>
    <n v="1"/>
    <n v="0"/>
    <n v="0"/>
    <n v="0"/>
    <n v="0"/>
    <n v="0"/>
    <n v="0"/>
  </r>
  <r>
    <x v="8"/>
    <n v="1"/>
    <n v="3"/>
    <n v="0"/>
    <n v="0"/>
    <n v="0"/>
    <n v="0"/>
    <n v="1"/>
    <n v="0"/>
    <n v="3"/>
    <n v="10"/>
    <n v="0"/>
    <n v="0"/>
    <n v="0"/>
    <n v="0"/>
    <n v="0"/>
    <n v="0"/>
    <n v="0"/>
    <n v="0"/>
    <n v="0"/>
    <n v="0"/>
    <n v="0"/>
    <n v="0"/>
    <n v="0"/>
    <n v="0"/>
    <n v="0"/>
    <n v="0"/>
    <n v="0"/>
    <n v="0"/>
    <n v="0"/>
    <n v="0"/>
    <n v="0"/>
    <n v="0"/>
    <m/>
    <s v="&quot;MT&quot;"/>
    <x v="3"/>
    <n v="0"/>
    <n v="10"/>
    <n v="1"/>
    <n v="0"/>
    <n v="0"/>
    <n v="3"/>
    <n v="3"/>
    <n v="0"/>
    <n v="0"/>
    <n v="0"/>
  </r>
  <r>
    <x v="8"/>
    <n v="2"/>
    <n v="1"/>
    <n v="0"/>
    <n v="0"/>
    <n v="0"/>
    <n v="0"/>
    <n v="1"/>
    <n v="0"/>
    <n v="1"/>
    <n v="4"/>
    <n v="0"/>
    <n v="0"/>
    <n v="0"/>
    <n v="0"/>
    <n v="0"/>
    <n v="0"/>
    <n v="0"/>
    <n v="0"/>
    <n v="0"/>
    <n v="0"/>
    <n v="0"/>
    <n v="0"/>
    <n v="0"/>
    <n v="0"/>
    <n v="0"/>
    <n v="1"/>
    <n v="0"/>
    <n v="1"/>
    <n v="0"/>
    <n v="0"/>
    <n v="0"/>
    <n v="0"/>
    <m/>
    <s v="&quot;MT&quot;"/>
    <x v="3"/>
    <n v="40"/>
    <n v="44"/>
    <n v="0"/>
    <n v="1"/>
    <n v="0"/>
    <n v="1"/>
    <n v="1"/>
    <n v="0"/>
    <n v="0"/>
    <n v="0"/>
  </r>
  <r>
    <x v="8"/>
    <n v="3"/>
    <n v="3"/>
    <n v="0"/>
    <n v="0"/>
    <n v="0"/>
    <n v="0"/>
    <n v="1"/>
    <n v="0"/>
    <n v="3"/>
    <n v="10"/>
    <n v="0"/>
    <n v="0"/>
    <n v="0"/>
    <n v="0"/>
    <n v="0"/>
    <n v="0"/>
    <n v="0"/>
    <n v="0"/>
    <n v="0"/>
    <n v="2.5"/>
    <n v="0"/>
    <n v="0"/>
    <n v="0"/>
    <n v="0"/>
    <n v="5"/>
    <n v="0"/>
    <n v="0"/>
    <n v="0"/>
    <n v="0"/>
    <n v="0"/>
    <n v="0"/>
    <n v="0"/>
    <m/>
    <s v="&quot;MT&quot;"/>
    <x v="22"/>
    <n v="0"/>
    <n v="15"/>
    <n v="0"/>
    <n v="0"/>
    <n v="1"/>
    <n v="3"/>
    <n v="3"/>
    <n v="0"/>
    <n v="0"/>
    <n v="0"/>
  </r>
  <r>
    <x v="9"/>
    <n v="2"/>
    <n v="1"/>
    <n v="0"/>
    <n v="0"/>
    <n v="0"/>
    <n v="0"/>
    <n v="1"/>
    <n v="0"/>
    <n v="1"/>
    <n v="4"/>
    <n v="0"/>
    <n v="0"/>
    <n v="1"/>
    <n v="0"/>
    <n v="0"/>
    <n v="0"/>
    <n v="0"/>
    <n v="0"/>
    <n v="0"/>
    <n v="0"/>
    <n v="1"/>
    <n v="1"/>
    <n v="0"/>
    <n v="0"/>
    <n v="1"/>
    <n v="1"/>
    <n v="0"/>
    <n v="0"/>
    <n v="0"/>
    <n v="0"/>
    <n v="0"/>
    <n v="0"/>
    <m/>
    <s v="&quot;LL&quot;"/>
    <x v="3"/>
    <n v="25"/>
    <n v="30"/>
    <n v="0"/>
    <n v="1"/>
    <n v="0"/>
    <n v="2"/>
    <n v="2"/>
    <n v="0"/>
    <n v="0"/>
    <n v="0"/>
  </r>
  <r>
    <x v="9"/>
    <n v="2"/>
    <n v="2"/>
    <n v="0"/>
    <n v="0"/>
    <n v="0"/>
    <n v="0"/>
    <n v="1"/>
    <n v="0"/>
    <n v="2"/>
    <n v="7"/>
    <n v="0"/>
    <n v="6"/>
    <n v="0"/>
    <n v="0"/>
    <n v="0"/>
    <n v="0"/>
    <n v="0"/>
    <n v="0"/>
    <n v="0"/>
    <n v="0"/>
    <n v="6"/>
    <n v="6"/>
    <n v="0"/>
    <n v="0"/>
    <n v="12"/>
    <n v="0"/>
    <n v="0"/>
    <n v="0"/>
    <n v="0"/>
    <n v="0"/>
    <n v="0"/>
    <n v="0"/>
    <m/>
    <s v="&quot;RS&quot;"/>
    <x v="23"/>
    <n v="0"/>
    <n v="19"/>
    <n v="0"/>
    <n v="1"/>
    <n v="0"/>
    <n v="8"/>
    <n v="8"/>
    <n v="0"/>
    <n v="0"/>
    <n v="0"/>
  </r>
  <r>
    <x v="9"/>
    <n v="2"/>
    <n v="0"/>
    <n v="0"/>
    <n v="0"/>
    <n v="0"/>
    <n v="0"/>
    <n v="1"/>
    <n v="0"/>
    <n v="0"/>
    <n v="1"/>
    <n v="0"/>
    <n v="0"/>
    <n v="0"/>
    <n v="0"/>
    <n v="0"/>
    <n v="0"/>
    <n v="0"/>
    <n v="0"/>
    <n v="0"/>
    <n v="2.5"/>
    <n v="0"/>
    <n v="0"/>
    <n v="0"/>
    <n v="0"/>
    <n v="5"/>
    <n v="0"/>
    <n v="0"/>
    <n v="0"/>
    <n v="0"/>
    <n v="0"/>
    <n v="0"/>
    <n v="0"/>
    <m/>
    <s v="&quot;RS&quot;"/>
    <x v="24"/>
    <n v="0"/>
    <n v="6"/>
    <n v="0"/>
    <n v="1"/>
    <n v="0"/>
    <n v="0"/>
    <n v="0"/>
    <n v="0"/>
    <n v="0"/>
    <n v="0"/>
  </r>
  <r>
    <x v="9"/>
    <n v="3"/>
    <n v="3"/>
    <n v="0"/>
    <n v="0"/>
    <n v="0"/>
    <n v="0"/>
    <n v="1"/>
    <n v="0"/>
    <n v="3"/>
    <n v="10"/>
    <n v="0"/>
    <n v="0"/>
    <n v="1"/>
    <n v="0"/>
    <n v="0"/>
    <n v="0"/>
    <n v="0"/>
    <n v="0"/>
    <n v="0"/>
    <n v="1"/>
    <n v="1"/>
    <n v="1"/>
    <n v="0"/>
    <n v="0"/>
    <n v="3"/>
    <n v="0"/>
    <n v="0"/>
    <n v="0"/>
    <n v="0"/>
    <n v="1"/>
    <n v="0"/>
    <n v="0"/>
    <m/>
    <s v="&quot;KV&quot;"/>
    <x v="25"/>
    <n v="0"/>
    <n v="13"/>
    <n v="0"/>
    <n v="0"/>
    <n v="1"/>
    <n v="4"/>
    <n v="4"/>
    <n v="0"/>
    <n v="0"/>
    <n v="0"/>
  </r>
  <r>
    <x v="9"/>
    <n v="2"/>
    <n v="3"/>
    <n v="0"/>
    <n v="0"/>
    <n v="0"/>
    <n v="0"/>
    <n v="1"/>
    <n v="0"/>
    <n v="3"/>
    <n v="10"/>
    <n v="0"/>
    <n v="4"/>
    <n v="0"/>
    <n v="0"/>
    <n v="0"/>
    <n v="0"/>
    <n v="0"/>
    <n v="0"/>
    <n v="0"/>
    <n v="0"/>
    <n v="4"/>
    <n v="4"/>
    <n v="0"/>
    <n v="0"/>
    <n v="8"/>
    <n v="1"/>
    <n v="0"/>
    <n v="1"/>
    <n v="0"/>
    <n v="0"/>
    <n v="0"/>
    <n v="0"/>
    <m/>
    <s v="&quot;MB&quot;"/>
    <x v="26"/>
    <n v="40"/>
    <n v="58"/>
    <n v="0"/>
    <n v="1"/>
    <n v="0"/>
    <n v="7"/>
    <n v="7"/>
    <n v="0"/>
    <n v="0"/>
    <n v="0"/>
  </r>
  <r>
    <x v="9"/>
    <n v="2"/>
    <n v="2"/>
    <n v="0"/>
    <n v="0"/>
    <n v="0"/>
    <n v="0"/>
    <n v="1"/>
    <n v="0"/>
    <n v="2"/>
    <n v="7"/>
    <n v="0"/>
    <n v="5"/>
    <n v="2"/>
    <n v="0"/>
    <n v="0"/>
    <n v="0"/>
    <n v="0"/>
    <n v="0"/>
    <n v="0"/>
    <n v="0"/>
    <n v="7"/>
    <n v="7"/>
    <n v="0"/>
    <n v="0"/>
    <n v="12"/>
    <n v="1"/>
    <n v="0"/>
    <n v="1"/>
    <n v="0"/>
    <n v="0"/>
    <n v="0"/>
    <n v="0"/>
    <m/>
    <s v="&quot;MB&quot;"/>
    <x v="27"/>
    <n v="40"/>
    <n v="59"/>
    <n v="0"/>
    <n v="1"/>
    <n v="0"/>
    <n v="9"/>
    <n v="9"/>
    <n v="0"/>
    <n v="0"/>
    <n v="0"/>
  </r>
  <r>
    <x v="9"/>
    <n v="3"/>
    <n v="3"/>
    <n v="0"/>
    <n v="0"/>
    <n v="0"/>
    <n v="0"/>
    <n v="1"/>
    <n v="0"/>
    <n v="3"/>
    <n v="10"/>
    <n v="0"/>
    <n v="9"/>
    <n v="0"/>
    <n v="0"/>
    <n v="0"/>
    <n v="0"/>
    <n v="0"/>
    <n v="0"/>
    <n v="0"/>
    <n v="0"/>
    <n v="9"/>
    <n v="9"/>
    <n v="0"/>
    <n v="0"/>
    <n v="18"/>
    <n v="0"/>
    <n v="0"/>
    <n v="0"/>
    <n v="0"/>
    <n v="0"/>
    <n v="0"/>
    <n v="0"/>
    <m/>
    <s v="&quot;MT&quot;"/>
    <x v="3"/>
    <n v="0"/>
    <n v="28"/>
    <n v="0"/>
    <n v="0"/>
    <n v="1"/>
    <n v="12"/>
    <n v="12"/>
    <n v="0"/>
    <n v="0"/>
    <n v="0"/>
  </r>
  <r>
    <x v="10"/>
    <n v="1"/>
    <n v="0"/>
    <n v="0"/>
    <n v="0"/>
    <n v="0"/>
    <n v="0"/>
    <n v="1"/>
    <n v="0"/>
    <n v="0"/>
    <n v="1"/>
    <n v="0"/>
    <n v="0"/>
    <n v="0"/>
    <n v="3"/>
    <n v="0"/>
    <n v="0"/>
    <n v="0"/>
    <n v="0"/>
    <n v="0"/>
    <n v="0"/>
    <n v="0"/>
    <n v="3"/>
    <n v="0"/>
    <n v="0"/>
    <n v="3"/>
    <n v="0"/>
    <n v="0"/>
    <n v="0"/>
    <n v="0"/>
    <n v="0"/>
    <n v="0"/>
    <n v="0"/>
    <m/>
    <s v="&quot;LL&quot;"/>
    <x v="3"/>
    <n v="0"/>
    <n v="4"/>
    <n v="1"/>
    <n v="0"/>
    <n v="0"/>
    <n v="3"/>
    <n v="0"/>
    <n v="3"/>
    <n v="0"/>
    <n v="0"/>
  </r>
  <r>
    <x v="10"/>
    <n v="1"/>
    <n v="0"/>
    <n v="0"/>
    <n v="0"/>
    <n v="0"/>
    <n v="0"/>
    <n v="1"/>
    <n v="0"/>
    <n v="0"/>
    <n v="1"/>
    <n v="0"/>
    <n v="0"/>
    <n v="0"/>
    <n v="1"/>
    <n v="0"/>
    <n v="0"/>
    <n v="0"/>
    <n v="0"/>
    <n v="0"/>
    <n v="0"/>
    <n v="0"/>
    <n v="1"/>
    <n v="0"/>
    <n v="0"/>
    <n v="1"/>
    <n v="0"/>
    <n v="0"/>
    <n v="0"/>
    <n v="0"/>
    <n v="0"/>
    <n v="0"/>
    <n v="0"/>
    <m/>
    <s v="&quot;KV&quot;"/>
    <x v="28"/>
    <n v="0"/>
    <n v="2"/>
    <n v="1"/>
    <n v="0"/>
    <n v="0"/>
    <n v="1"/>
    <n v="0"/>
    <n v="1"/>
    <n v="0"/>
    <n v="0"/>
  </r>
  <r>
    <x v="10"/>
    <n v="1"/>
    <n v="0"/>
    <n v="0"/>
    <n v="0"/>
    <n v="0"/>
    <n v="0"/>
    <n v="1"/>
    <n v="0"/>
    <n v="0"/>
    <n v="1"/>
    <n v="0"/>
    <n v="0"/>
    <n v="0"/>
    <n v="2"/>
    <n v="0"/>
    <n v="0"/>
    <n v="0"/>
    <n v="0"/>
    <n v="0"/>
    <n v="0"/>
    <n v="0"/>
    <n v="2"/>
    <n v="0"/>
    <n v="0"/>
    <n v="2"/>
    <n v="0"/>
    <n v="0"/>
    <n v="0"/>
    <n v="0"/>
    <n v="0"/>
    <n v="0"/>
    <n v="0"/>
    <m/>
    <s v="&quot;MB&quot;"/>
    <x v="3"/>
    <n v="0"/>
    <n v="3"/>
    <n v="1"/>
    <n v="0"/>
    <n v="0"/>
    <n v="2"/>
    <n v="0"/>
    <n v="2"/>
    <n v="0"/>
    <n v="0"/>
  </r>
  <r>
    <x v="10"/>
    <n v="1"/>
    <n v="0"/>
    <n v="0"/>
    <n v="0"/>
    <n v="0"/>
    <n v="0"/>
    <n v="1"/>
    <n v="0"/>
    <n v="0"/>
    <n v="1"/>
    <n v="0"/>
    <n v="0"/>
    <n v="0"/>
    <n v="3"/>
    <n v="0"/>
    <n v="0"/>
    <n v="0"/>
    <n v="0"/>
    <n v="0"/>
    <n v="0"/>
    <n v="0"/>
    <n v="3"/>
    <n v="0"/>
    <n v="0"/>
    <n v="3"/>
    <n v="0"/>
    <n v="0"/>
    <n v="0"/>
    <n v="0"/>
    <n v="0"/>
    <n v="0"/>
    <n v="0"/>
    <m/>
    <s v="&quot;RS&quot;"/>
    <x v="3"/>
    <n v="0"/>
    <n v="4"/>
    <n v="1"/>
    <n v="0"/>
    <n v="0"/>
    <n v="3"/>
    <n v="0"/>
    <n v="3"/>
    <n v="0"/>
    <n v="0"/>
  </r>
  <r>
    <x v="10"/>
    <n v="1"/>
    <n v="0"/>
    <n v="0"/>
    <n v="0"/>
    <n v="0"/>
    <n v="0"/>
    <n v="1"/>
    <n v="0"/>
    <n v="0"/>
    <n v="1"/>
    <n v="0"/>
    <n v="0"/>
    <n v="0"/>
    <n v="1"/>
    <n v="0"/>
    <n v="0"/>
    <n v="0"/>
    <n v="0"/>
    <n v="0"/>
    <n v="1"/>
    <n v="0"/>
    <n v="1"/>
    <n v="0"/>
    <n v="0"/>
    <n v="3"/>
    <n v="1"/>
    <n v="0"/>
    <n v="0"/>
    <n v="0"/>
    <n v="0"/>
    <n v="0"/>
    <n v="0"/>
    <m/>
    <s v="&quot;RS&quot;"/>
    <x v="29"/>
    <n v="25"/>
    <n v="29"/>
    <n v="1"/>
    <n v="0"/>
    <n v="0"/>
    <n v="1"/>
    <n v="0"/>
    <n v="1"/>
    <n v="0"/>
    <n v="0"/>
  </r>
  <r>
    <x v="10"/>
    <n v="1"/>
    <n v="0"/>
    <n v="0"/>
    <n v="0"/>
    <n v="0"/>
    <n v="0"/>
    <n v="1"/>
    <n v="0"/>
    <n v="0"/>
    <n v="1"/>
    <n v="0"/>
    <n v="0"/>
    <n v="0"/>
    <n v="5"/>
    <n v="0"/>
    <n v="0"/>
    <n v="0"/>
    <n v="0"/>
    <n v="0"/>
    <n v="0"/>
    <n v="0"/>
    <n v="5"/>
    <n v="0"/>
    <n v="0"/>
    <n v="5"/>
    <n v="0"/>
    <n v="0"/>
    <n v="0"/>
    <n v="0"/>
    <n v="0"/>
    <n v="0"/>
    <n v="0"/>
    <m/>
    <s v="&quot;KN&quot;"/>
    <x v="30"/>
    <n v="0"/>
    <n v="6"/>
    <n v="1"/>
    <n v="0"/>
    <n v="0"/>
    <n v="5"/>
    <n v="0"/>
    <n v="5"/>
    <n v="0"/>
    <n v="0"/>
  </r>
  <r>
    <x v="10"/>
    <n v="2"/>
    <n v="0"/>
    <n v="0"/>
    <n v="0"/>
    <n v="0"/>
    <n v="0"/>
    <n v="1"/>
    <n v="0"/>
    <n v="0"/>
    <n v="1"/>
    <n v="0"/>
    <n v="0"/>
    <n v="0"/>
    <n v="0"/>
    <n v="0"/>
    <n v="0"/>
    <n v="0"/>
    <n v="0"/>
    <n v="0"/>
    <n v="2.5"/>
    <n v="0"/>
    <n v="0"/>
    <n v="0"/>
    <n v="0"/>
    <n v="5"/>
    <n v="0"/>
    <n v="0"/>
    <n v="0"/>
    <n v="0"/>
    <n v="0"/>
    <n v="0"/>
    <n v="0"/>
    <m/>
    <s v="&quot;KN&quot;"/>
    <x v="31"/>
    <n v="0"/>
    <n v="6"/>
    <n v="0"/>
    <n v="1"/>
    <n v="0"/>
    <n v="0"/>
    <n v="0"/>
    <n v="0"/>
    <n v="0"/>
    <n v="0"/>
  </r>
  <r>
    <x v="11"/>
    <n v="1"/>
    <n v="0"/>
    <n v="0"/>
    <n v="0"/>
    <n v="0"/>
    <n v="0"/>
    <n v="1"/>
    <n v="0"/>
    <n v="0"/>
    <n v="1"/>
    <n v="0"/>
    <n v="0"/>
    <n v="2"/>
    <n v="0"/>
    <n v="0"/>
    <n v="0"/>
    <n v="0"/>
    <n v="0"/>
    <n v="0"/>
    <n v="0"/>
    <n v="2"/>
    <n v="2"/>
    <n v="0"/>
    <n v="0"/>
    <n v="2"/>
    <n v="0"/>
    <n v="0"/>
    <n v="0"/>
    <n v="0"/>
    <n v="0"/>
    <n v="0"/>
    <n v="0"/>
    <m/>
    <s v="&quot;KN&quot;"/>
    <x v="32"/>
    <n v="0"/>
    <n v="3"/>
    <n v="1"/>
    <n v="0"/>
    <n v="0"/>
    <n v="2"/>
    <n v="2"/>
    <n v="0"/>
    <n v="0"/>
    <n v="0"/>
  </r>
  <r>
    <x v="11"/>
    <n v="1"/>
    <n v="0"/>
    <n v="0"/>
    <n v="0"/>
    <n v="0"/>
    <n v="0"/>
    <n v="1"/>
    <n v="0"/>
    <n v="0"/>
    <n v="1"/>
    <n v="0"/>
    <n v="4"/>
    <n v="0"/>
    <n v="0"/>
    <n v="0"/>
    <n v="0"/>
    <n v="0"/>
    <n v="0"/>
    <n v="0"/>
    <n v="0"/>
    <n v="4"/>
    <n v="4"/>
    <n v="0"/>
    <n v="0"/>
    <n v="8"/>
    <n v="0"/>
    <n v="0"/>
    <n v="0"/>
    <n v="0"/>
    <n v="0"/>
    <n v="0"/>
    <n v="0"/>
    <m/>
    <s v="&quot;MB&quot;"/>
    <x v="33"/>
    <n v="0"/>
    <n v="9"/>
    <n v="1"/>
    <n v="0"/>
    <n v="0"/>
    <n v="4"/>
    <n v="4"/>
    <n v="0"/>
    <n v="0"/>
    <n v="0"/>
  </r>
  <r>
    <x v="11"/>
    <n v="3"/>
    <n v="3"/>
    <n v="0"/>
    <n v="0"/>
    <n v="0"/>
    <n v="0"/>
    <n v="1"/>
    <n v="0"/>
    <n v="3"/>
    <n v="10"/>
    <n v="0"/>
    <n v="2"/>
    <n v="0"/>
    <n v="0"/>
    <n v="0"/>
    <n v="0"/>
    <n v="0"/>
    <n v="0"/>
    <n v="0"/>
    <n v="0"/>
    <n v="2"/>
    <n v="2"/>
    <n v="0"/>
    <n v="0"/>
    <n v="4"/>
    <n v="0"/>
    <n v="0"/>
    <n v="0"/>
    <n v="0"/>
    <n v="0"/>
    <n v="0"/>
    <n v="0"/>
    <m/>
    <s v="&quot;RS&quot;"/>
    <x v="3"/>
    <n v="0"/>
    <n v="14"/>
    <n v="0"/>
    <n v="0"/>
    <n v="1"/>
    <n v="5"/>
    <n v="5"/>
    <n v="0"/>
    <n v="0"/>
    <n v="0"/>
  </r>
  <r>
    <x v="11"/>
    <n v="2"/>
    <n v="0"/>
    <n v="0"/>
    <n v="0"/>
    <n v="0"/>
    <n v="0"/>
    <n v="0"/>
    <n v="0"/>
    <n v="0"/>
    <n v="0"/>
    <n v="0"/>
    <n v="0"/>
    <n v="0"/>
    <n v="0"/>
    <n v="0"/>
    <n v="0"/>
    <n v="0"/>
    <n v="0"/>
    <n v="0"/>
    <n v="0"/>
    <n v="0"/>
    <n v="0"/>
    <n v="0"/>
    <n v="0"/>
    <n v="0"/>
    <n v="0"/>
    <n v="0"/>
    <n v="0"/>
    <n v="0"/>
    <n v="0"/>
    <n v="0"/>
    <n v="0"/>
    <m/>
    <s v="&quot;KV&quot;"/>
    <x v="34"/>
    <n v="0"/>
    <n v="0"/>
    <n v="0"/>
    <n v="1"/>
    <n v="0"/>
    <n v="0"/>
    <n v="0"/>
    <n v="0"/>
    <n v="0"/>
    <n v="0"/>
  </r>
  <r>
    <x v="12"/>
    <n v="2"/>
    <n v="3"/>
    <n v="0"/>
    <n v="0"/>
    <n v="0"/>
    <n v="0"/>
    <n v="0"/>
    <n v="0"/>
    <n v="3"/>
    <n v="9"/>
    <n v="0"/>
    <n v="0"/>
    <n v="0"/>
    <n v="0"/>
    <n v="0"/>
    <n v="0"/>
    <n v="0"/>
    <n v="0"/>
    <n v="0"/>
    <n v="1"/>
    <n v="0"/>
    <n v="0"/>
    <n v="0"/>
    <n v="0"/>
    <n v="2"/>
    <n v="0"/>
    <n v="0"/>
    <n v="0"/>
    <n v="0"/>
    <n v="0"/>
    <n v="0"/>
    <n v="0"/>
    <m/>
    <s v="&quot;KV&quot;"/>
    <x v="35"/>
    <n v="0"/>
    <n v="11"/>
    <n v="0"/>
    <n v="1"/>
    <n v="0"/>
    <n v="3"/>
    <n v="3"/>
    <n v="0"/>
    <n v="0"/>
    <n v="0"/>
  </r>
  <r>
    <x v="12"/>
    <n v="3"/>
    <n v="0"/>
    <n v="0"/>
    <n v="0"/>
    <n v="0"/>
    <n v="0"/>
    <n v="1"/>
    <n v="0"/>
    <n v="0"/>
    <n v="1"/>
    <n v="0"/>
    <n v="0"/>
    <n v="0"/>
    <n v="0"/>
    <n v="0"/>
    <n v="0"/>
    <n v="0"/>
    <n v="0"/>
    <n v="0"/>
    <n v="0"/>
    <n v="0"/>
    <n v="0"/>
    <n v="0"/>
    <n v="0"/>
    <n v="0"/>
    <n v="0"/>
    <n v="0"/>
    <n v="0"/>
    <n v="0"/>
    <n v="0"/>
    <n v="0"/>
    <n v="0"/>
    <m/>
    <s v="&quot;KV&quot;"/>
    <x v="36"/>
    <n v="0"/>
    <n v="1"/>
    <n v="0"/>
    <n v="0"/>
    <n v="1"/>
    <n v="0"/>
    <n v="0"/>
    <n v="0"/>
    <n v="0"/>
    <n v="0"/>
  </r>
  <r>
    <x v="12"/>
    <n v="3"/>
    <n v="1"/>
    <n v="0"/>
    <n v="0"/>
    <n v="0"/>
    <n v="0"/>
    <n v="1"/>
    <n v="0"/>
    <n v="1"/>
    <n v="4"/>
    <n v="2"/>
    <n v="0"/>
    <n v="0"/>
    <n v="0"/>
    <n v="0"/>
    <n v="0"/>
    <n v="0"/>
    <n v="0"/>
    <n v="0"/>
    <n v="0"/>
    <n v="2"/>
    <n v="2"/>
    <n v="0"/>
    <n v="0"/>
    <n v="6"/>
    <n v="0"/>
    <n v="0"/>
    <n v="0"/>
    <n v="0"/>
    <n v="0"/>
    <n v="0"/>
    <n v="0"/>
    <m/>
    <s v="&quot;RS&quot;"/>
    <x v="3"/>
    <n v="0"/>
    <n v="10"/>
    <n v="0"/>
    <n v="0"/>
    <n v="1"/>
    <n v="3"/>
    <n v="3"/>
    <n v="0"/>
    <n v="0"/>
    <n v="0"/>
  </r>
  <r>
    <x v="12"/>
    <n v="3"/>
    <n v="0"/>
    <n v="0"/>
    <n v="0"/>
    <n v="0"/>
    <n v="0"/>
    <n v="1"/>
    <n v="0"/>
    <n v="0"/>
    <n v="1"/>
    <n v="1"/>
    <n v="0"/>
    <n v="0"/>
    <n v="0"/>
    <n v="0"/>
    <n v="0"/>
    <n v="0"/>
    <n v="0"/>
    <n v="0"/>
    <n v="0"/>
    <n v="1"/>
    <n v="1"/>
    <n v="0"/>
    <n v="0"/>
    <n v="3"/>
    <n v="0"/>
    <n v="0"/>
    <n v="0"/>
    <n v="0"/>
    <n v="0"/>
    <n v="0"/>
    <n v="0"/>
    <m/>
    <s v="&quot;KN &quot;"/>
    <x v="37"/>
    <n v="0"/>
    <n v="4"/>
    <n v="0"/>
    <n v="0"/>
    <n v="1"/>
    <n v="1"/>
    <n v="1"/>
    <n v="0"/>
    <n v="0"/>
    <n v="0"/>
  </r>
  <r>
    <x v="12"/>
    <n v="3"/>
    <n v="2"/>
    <n v="0"/>
    <n v="0"/>
    <n v="0"/>
    <n v="0"/>
    <n v="0"/>
    <n v="0"/>
    <n v="2"/>
    <n v="6"/>
    <n v="0"/>
    <n v="0"/>
    <n v="0"/>
    <n v="0"/>
    <n v="0"/>
    <n v="0"/>
    <n v="0"/>
    <n v="0"/>
    <n v="0"/>
    <n v="0"/>
    <n v="0"/>
    <n v="0"/>
    <n v="0"/>
    <n v="0"/>
    <n v="0"/>
    <n v="0"/>
    <n v="0"/>
    <n v="0"/>
    <n v="0"/>
    <n v="0"/>
    <n v="0"/>
    <n v="0"/>
    <m/>
    <s v="&quot;MT&quot;"/>
    <x v="38"/>
    <n v="0"/>
    <n v="6"/>
    <n v="0"/>
    <n v="0"/>
    <n v="1"/>
    <n v="2"/>
    <n v="2"/>
    <n v="0"/>
    <n v="0"/>
    <n v="0"/>
  </r>
  <r>
    <x v="12"/>
    <n v="3"/>
    <n v="3"/>
    <n v="0"/>
    <n v="0"/>
    <n v="0"/>
    <n v="0"/>
    <n v="1"/>
    <n v="0"/>
    <n v="3"/>
    <n v="10"/>
    <n v="0"/>
    <n v="1"/>
    <n v="0"/>
    <n v="0"/>
    <n v="0"/>
    <n v="0"/>
    <n v="0"/>
    <n v="0"/>
    <n v="0"/>
    <n v="0"/>
    <n v="1"/>
    <n v="1"/>
    <n v="0"/>
    <n v="0"/>
    <n v="2"/>
    <n v="0"/>
    <n v="0"/>
    <n v="0"/>
    <n v="0"/>
    <n v="0"/>
    <n v="0"/>
    <n v="0"/>
    <m/>
    <s v="&quot;KN&quot;"/>
    <x v="39"/>
    <n v="0"/>
    <n v="12"/>
    <n v="0"/>
    <n v="0"/>
    <n v="1"/>
    <n v="4"/>
    <n v="4"/>
    <n v="0"/>
    <n v="0"/>
    <n v="0"/>
  </r>
  <r>
    <x v="12"/>
    <n v="1"/>
    <n v="0"/>
    <n v="0"/>
    <n v="0"/>
    <n v="0"/>
    <n v="0"/>
    <n v="1"/>
    <n v="0"/>
    <n v="0"/>
    <n v="1"/>
    <n v="0"/>
    <n v="0"/>
    <n v="0"/>
    <n v="0"/>
    <n v="0"/>
    <n v="0"/>
    <n v="0"/>
    <n v="0"/>
    <n v="0"/>
    <n v="0"/>
    <n v="0"/>
    <n v="0"/>
    <n v="0"/>
    <n v="0"/>
    <n v="0"/>
    <n v="1"/>
    <n v="0"/>
    <n v="0"/>
    <n v="0"/>
    <n v="0"/>
    <n v="0"/>
    <n v="0"/>
    <m/>
    <s v="&quot;MT,&quot;"/>
    <x v="3"/>
    <n v="25"/>
    <n v="26"/>
    <n v="1"/>
    <n v="0"/>
    <n v="0"/>
    <n v="0"/>
    <n v="0"/>
    <n v="0"/>
    <n v="0"/>
    <n v="0"/>
  </r>
  <r>
    <x v="13"/>
    <n v="2"/>
    <n v="0"/>
    <n v="0"/>
    <n v="0"/>
    <n v="0"/>
    <n v="0"/>
    <n v="1"/>
    <n v="0"/>
    <n v="0"/>
    <n v="1"/>
    <n v="0"/>
    <n v="0"/>
    <n v="5"/>
    <n v="0"/>
    <n v="0"/>
    <n v="0"/>
    <n v="0"/>
    <n v="0"/>
    <n v="0"/>
    <n v="0"/>
    <n v="5"/>
    <n v="5"/>
    <n v="0"/>
    <n v="0"/>
    <n v="5"/>
    <n v="1"/>
    <n v="0"/>
    <n v="0"/>
    <n v="0"/>
    <n v="0"/>
    <n v="0"/>
    <n v="0"/>
    <m/>
    <s v="&quot;KN &quot;"/>
    <x v="40"/>
    <n v="25"/>
    <n v="31"/>
    <n v="0"/>
    <n v="1"/>
    <n v="0"/>
    <n v="5"/>
    <n v="5"/>
    <n v="0"/>
    <n v="0"/>
    <n v="0"/>
  </r>
  <r>
    <x v="13"/>
    <n v="2"/>
    <n v="3"/>
    <n v="0"/>
    <n v="0"/>
    <n v="0"/>
    <n v="0"/>
    <n v="1"/>
    <n v="0"/>
    <n v="3"/>
    <n v="10"/>
    <n v="0"/>
    <n v="0"/>
    <n v="8"/>
    <n v="0"/>
    <n v="0"/>
    <n v="0"/>
    <n v="0"/>
    <n v="0"/>
    <n v="0"/>
    <n v="0"/>
    <n v="8"/>
    <n v="8"/>
    <n v="0"/>
    <n v="0"/>
    <n v="8"/>
    <n v="1"/>
    <n v="0"/>
    <n v="1"/>
    <n v="0"/>
    <n v="0"/>
    <n v="0"/>
    <n v="0"/>
    <m/>
    <s v="&quot;KV&quot;"/>
    <x v="41"/>
    <n v="40"/>
    <n v="58"/>
    <n v="0"/>
    <n v="1"/>
    <n v="0"/>
    <n v="11"/>
    <n v="11"/>
    <n v="0"/>
    <n v="0"/>
    <n v="0"/>
  </r>
  <r>
    <x v="13"/>
    <n v="3"/>
    <n v="3"/>
    <n v="0"/>
    <n v="0"/>
    <n v="0"/>
    <n v="0"/>
    <n v="1"/>
    <n v="0"/>
    <n v="3"/>
    <n v="10"/>
    <n v="0"/>
    <n v="0"/>
    <n v="4"/>
    <n v="0"/>
    <n v="0"/>
    <n v="0"/>
    <n v="0"/>
    <n v="0"/>
    <n v="0"/>
    <n v="0"/>
    <n v="4"/>
    <n v="4"/>
    <n v="0"/>
    <n v="0"/>
    <n v="4"/>
    <n v="1"/>
    <n v="0"/>
    <n v="0"/>
    <n v="0"/>
    <n v="0"/>
    <n v="0"/>
    <n v="0"/>
    <m/>
    <s v="&quot;RS&quot;"/>
    <x v="42"/>
    <n v="25"/>
    <n v="39"/>
    <n v="0"/>
    <n v="0"/>
    <n v="1"/>
    <n v="7"/>
    <n v="7"/>
    <n v="0"/>
    <n v="0"/>
    <n v="0"/>
  </r>
  <r>
    <x v="13"/>
    <n v="3"/>
    <n v="2"/>
    <n v="0"/>
    <n v="0"/>
    <n v="0"/>
    <n v="0"/>
    <n v="1"/>
    <n v="0"/>
    <n v="2"/>
    <n v="7"/>
    <n v="4"/>
    <n v="0"/>
    <n v="0"/>
    <n v="0"/>
    <n v="0"/>
    <n v="0"/>
    <n v="0"/>
    <n v="0"/>
    <n v="0"/>
    <n v="0"/>
    <n v="4"/>
    <n v="4"/>
    <n v="0"/>
    <n v="0"/>
    <n v="12"/>
    <n v="1"/>
    <n v="0"/>
    <n v="0"/>
    <n v="0"/>
    <n v="0"/>
    <n v="0"/>
    <n v="0"/>
    <m/>
    <s v="&quot;KV&quot;"/>
    <x v="43"/>
    <n v="25"/>
    <n v="44"/>
    <n v="0"/>
    <n v="0"/>
    <n v="1"/>
    <n v="6"/>
    <n v="6"/>
    <n v="0"/>
    <n v="0"/>
    <n v="0"/>
  </r>
  <r>
    <x v="13"/>
    <n v="3"/>
    <n v="3"/>
    <n v="0"/>
    <n v="0"/>
    <n v="0"/>
    <n v="0"/>
    <n v="0"/>
    <n v="0"/>
    <n v="3"/>
    <n v="9"/>
    <n v="0"/>
    <n v="0"/>
    <n v="0"/>
    <n v="0"/>
    <n v="0"/>
    <n v="0"/>
    <n v="0"/>
    <n v="0"/>
    <n v="0"/>
    <n v="0"/>
    <n v="0"/>
    <n v="0"/>
    <n v="0"/>
    <n v="0"/>
    <n v="0"/>
    <n v="1"/>
    <n v="0"/>
    <n v="1"/>
    <n v="0"/>
    <n v="0"/>
    <n v="0"/>
    <n v="0"/>
    <m/>
    <s v="&quot;MT&quot;"/>
    <x v="3"/>
    <n v="40"/>
    <n v="49"/>
    <n v="0"/>
    <n v="0"/>
    <n v="1"/>
    <n v="3"/>
    <n v="3"/>
    <n v="0"/>
    <n v="0"/>
    <n v="0"/>
  </r>
  <r>
    <x v="13"/>
    <n v="3"/>
    <n v="3"/>
    <n v="0"/>
    <n v="0"/>
    <n v="0"/>
    <n v="0"/>
    <n v="1"/>
    <n v="0"/>
    <n v="3"/>
    <n v="10"/>
    <n v="0"/>
    <n v="0"/>
    <n v="2"/>
    <n v="0"/>
    <n v="0"/>
    <n v="0"/>
    <n v="0"/>
    <n v="0"/>
    <n v="0"/>
    <n v="0"/>
    <n v="2"/>
    <n v="2"/>
    <n v="0"/>
    <n v="0"/>
    <n v="2"/>
    <n v="1"/>
    <n v="0"/>
    <n v="0"/>
    <n v="0"/>
    <n v="0"/>
    <n v="0"/>
    <n v="0"/>
    <m/>
    <s v="&quot;KN&quot;"/>
    <x v="44"/>
    <n v="25"/>
    <n v="37"/>
    <n v="0"/>
    <n v="0"/>
    <n v="1"/>
    <n v="5"/>
    <n v="5"/>
    <n v="0"/>
    <n v="0"/>
    <n v="0"/>
  </r>
  <r>
    <x v="13"/>
    <n v="3"/>
    <n v="3"/>
    <n v="0"/>
    <n v="0"/>
    <n v="0"/>
    <n v="0"/>
    <n v="1"/>
    <n v="0"/>
    <n v="3"/>
    <n v="10"/>
    <n v="0"/>
    <n v="7"/>
    <n v="0"/>
    <n v="0"/>
    <n v="0"/>
    <n v="0"/>
    <n v="0"/>
    <n v="0"/>
    <n v="0"/>
    <n v="0"/>
    <n v="7"/>
    <n v="7"/>
    <n v="0"/>
    <n v="0"/>
    <n v="14"/>
    <n v="0"/>
    <n v="0"/>
    <n v="0"/>
    <n v="0"/>
    <n v="0"/>
    <n v="0"/>
    <n v="0"/>
    <m/>
    <s v="&quot;MT&quot;"/>
    <x v="3"/>
    <n v="0"/>
    <n v="24"/>
    <n v="0"/>
    <n v="0"/>
    <n v="1"/>
    <n v="10"/>
    <n v="10"/>
    <n v="0"/>
    <n v="0"/>
    <n v="0"/>
  </r>
  <r>
    <x v="14"/>
    <n v="3"/>
    <n v="2"/>
    <n v="0"/>
    <n v="0"/>
    <n v="0"/>
    <n v="0"/>
    <n v="0"/>
    <n v="0"/>
    <n v="2"/>
    <n v="6"/>
    <n v="0"/>
    <n v="0"/>
    <n v="0"/>
    <n v="0"/>
    <n v="0"/>
    <n v="0"/>
    <n v="0"/>
    <n v="0"/>
    <n v="0"/>
    <n v="0"/>
    <n v="0"/>
    <n v="0"/>
    <n v="0"/>
    <n v="0"/>
    <n v="0"/>
    <n v="0"/>
    <n v="0"/>
    <n v="0"/>
    <n v="0"/>
    <n v="0"/>
    <n v="0"/>
    <n v="0"/>
    <m/>
    <s v="&quot;RS&quot;"/>
    <x v="45"/>
    <n v="0"/>
    <n v="6"/>
    <n v="0"/>
    <n v="0"/>
    <n v="1"/>
    <n v="2"/>
    <n v="2"/>
    <n v="0"/>
    <n v="0"/>
    <n v="0"/>
  </r>
  <r>
    <x v="14"/>
    <n v="1"/>
    <n v="0"/>
    <n v="0"/>
    <n v="0"/>
    <n v="0"/>
    <n v="0"/>
    <n v="0"/>
    <n v="0"/>
    <n v="0"/>
    <n v="0"/>
    <n v="0"/>
    <n v="0"/>
    <n v="0"/>
    <n v="0"/>
    <n v="0"/>
    <n v="0"/>
    <n v="0"/>
    <n v="0"/>
    <n v="0"/>
    <n v="0"/>
    <n v="0"/>
    <n v="0"/>
    <n v="0"/>
    <n v="0"/>
    <n v="0"/>
    <n v="0"/>
    <n v="0"/>
    <n v="0"/>
    <n v="0"/>
    <n v="0"/>
    <n v="0"/>
    <n v="0"/>
    <m/>
    <s v="&quot;WR&quot;"/>
    <x v="46"/>
    <n v="0"/>
    <n v="0"/>
    <n v="1"/>
    <n v="0"/>
    <n v="0"/>
    <n v="0"/>
    <n v="0"/>
    <n v="0"/>
    <n v="0"/>
    <n v="0"/>
  </r>
  <r>
    <x v="14"/>
    <n v="2"/>
    <n v="3"/>
    <n v="0"/>
    <n v="0"/>
    <n v="0"/>
    <n v="0"/>
    <n v="1"/>
    <n v="0"/>
    <n v="3"/>
    <n v="10"/>
    <n v="0"/>
    <n v="0"/>
    <n v="0"/>
    <n v="0"/>
    <n v="0"/>
    <n v="0"/>
    <n v="0"/>
    <n v="0"/>
    <n v="0"/>
    <n v="1"/>
    <n v="0"/>
    <n v="0"/>
    <n v="0"/>
    <n v="0"/>
    <n v="2"/>
    <n v="1"/>
    <n v="0"/>
    <n v="1"/>
    <n v="0"/>
    <n v="0"/>
    <n v="0"/>
    <n v="0"/>
    <m/>
    <s v="&quot;MT&quot;"/>
    <x v="47"/>
    <n v="40"/>
    <n v="52"/>
    <n v="0"/>
    <n v="1"/>
    <n v="0"/>
    <n v="3"/>
    <n v="3"/>
    <n v="0"/>
    <n v="0"/>
    <n v="0"/>
  </r>
  <r>
    <x v="14"/>
    <n v="1"/>
    <n v="0"/>
    <n v="0"/>
    <n v="0"/>
    <n v="0"/>
    <n v="0"/>
    <n v="0"/>
    <n v="0"/>
    <n v="0"/>
    <n v="0"/>
    <n v="0"/>
    <n v="0"/>
    <n v="0"/>
    <n v="0"/>
    <n v="0"/>
    <n v="0"/>
    <n v="0"/>
    <n v="0"/>
    <n v="0"/>
    <n v="0"/>
    <n v="0"/>
    <n v="0"/>
    <n v="0"/>
    <n v="0"/>
    <n v="0"/>
    <n v="0"/>
    <n v="0"/>
    <n v="0"/>
    <n v="0"/>
    <n v="0"/>
    <n v="1"/>
    <n v="0"/>
    <m/>
    <s v="&quot;RS&quot;"/>
    <x v="48"/>
    <n v="0"/>
    <n v="0"/>
    <n v="1"/>
    <n v="0"/>
    <n v="0"/>
    <n v="0"/>
    <n v="0"/>
    <n v="0"/>
    <n v="0"/>
    <n v="0"/>
  </r>
  <r>
    <x v="14"/>
    <n v="1"/>
    <n v="0"/>
    <n v="0"/>
    <n v="0"/>
    <n v="0"/>
    <n v="0"/>
    <n v="1"/>
    <n v="0"/>
    <n v="0"/>
    <n v="1"/>
    <n v="0"/>
    <n v="0"/>
    <n v="0"/>
    <n v="0"/>
    <n v="0"/>
    <n v="0"/>
    <n v="0"/>
    <n v="0"/>
    <n v="0"/>
    <n v="0"/>
    <n v="0"/>
    <n v="0"/>
    <n v="0"/>
    <n v="0"/>
    <n v="0"/>
    <n v="0"/>
    <n v="0"/>
    <n v="0"/>
    <n v="0"/>
    <n v="0"/>
    <n v="0"/>
    <n v="0"/>
    <m/>
    <s v="&quot;KV&quot;"/>
    <x v="3"/>
    <n v="0"/>
    <n v="1"/>
    <n v="1"/>
    <n v="0"/>
    <n v="0"/>
    <n v="0"/>
    <n v="0"/>
    <n v="0"/>
    <n v="0"/>
    <n v="0"/>
  </r>
  <r>
    <x v="14"/>
    <n v="3"/>
    <n v="0"/>
    <n v="0"/>
    <n v="0"/>
    <n v="0"/>
    <n v="0"/>
    <n v="0"/>
    <n v="0"/>
    <n v="0"/>
    <n v="0"/>
    <n v="0"/>
    <n v="0"/>
    <n v="0"/>
    <n v="0"/>
    <n v="0"/>
    <n v="0"/>
    <n v="0"/>
    <n v="0"/>
    <n v="0"/>
    <n v="0"/>
    <n v="0"/>
    <n v="0"/>
    <n v="0"/>
    <n v="0"/>
    <n v="0"/>
    <n v="0"/>
    <n v="0"/>
    <n v="0"/>
    <n v="0"/>
    <n v="0"/>
    <n v="0"/>
    <n v="0"/>
    <m/>
    <s v="&quot;MT&quot;"/>
    <x v="49"/>
    <n v="0"/>
    <n v="0"/>
    <n v="0"/>
    <n v="0"/>
    <n v="1"/>
    <n v="0"/>
    <n v="0"/>
    <n v="0"/>
    <n v="0"/>
    <n v="0"/>
  </r>
  <r>
    <x v="14"/>
    <n v="1"/>
    <n v="0"/>
    <n v="0"/>
    <n v="0"/>
    <n v="0"/>
    <n v="0"/>
    <n v="1"/>
    <n v="0"/>
    <n v="0"/>
    <n v="1"/>
    <n v="0"/>
    <n v="0"/>
    <n v="3"/>
    <n v="0"/>
    <n v="0"/>
    <n v="0"/>
    <n v="0"/>
    <n v="0"/>
    <n v="0"/>
    <n v="0"/>
    <n v="3"/>
    <n v="3"/>
    <n v="0"/>
    <n v="0"/>
    <n v="3"/>
    <n v="0"/>
    <n v="0"/>
    <n v="0"/>
    <n v="0"/>
    <n v="0"/>
    <n v="1"/>
    <n v="1"/>
    <m/>
    <s v="&quot;KN&quot;"/>
    <x v="50"/>
    <n v="0"/>
    <n v="4"/>
    <n v="1"/>
    <n v="0"/>
    <n v="0"/>
    <n v="3"/>
    <n v="3"/>
    <n v="0"/>
    <n v="0"/>
    <n v="0"/>
  </r>
  <r>
    <x v="15"/>
    <n v="3"/>
    <n v="2"/>
    <n v="0"/>
    <n v="0"/>
    <n v="0"/>
    <n v="0"/>
    <n v="1"/>
    <n v="0"/>
    <n v="2"/>
    <n v="7"/>
    <n v="0"/>
    <n v="0"/>
    <n v="0"/>
    <n v="0"/>
    <n v="0"/>
    <n v="0"/>
    <n v="0"/>
    <n v="0"/>
    <n v="0"/>
    <n v="0"/>
    <n v="0"/>
    <n v="0"/>
    <n v="0"/>
    <n v="0"/>
    <n v="0"/>
    <n v="0"/>
    <n v="0"/>
    <n v="0"/>
    <n v="0"/>
    <n v="0"/>
    <n v="0"/>
    <n v="0"/>
    <m/>
    <s v="&quot;KV&quot;"/>
    <x v="51"/>
    <n v="0"/>
    <n v="7"/>
    <n v="0"/>
    <n v="0"/>
    <n v="1"/>
    <n v="2"/>
    <n v="2"/>
    <n v="0"/>
    <n v="0"/>
    <n v="0"/>
  </r>
  <r>
    <x v="15"/>
    <n v="3"/>
    <n v="0"/>
    <n v="0"/>
    <n v="0"/>
    <n v="0"/>
    <n v="0"/>
    <n v="1"/>
    <n v="0"/>
    <n v="0"/>
    <n v="1"/>
    <n v="0"/>
    <n v="0"/>
    <n v="2"/>
    <n v="0"/>
    <n v="0"/>
    <n v="0"/>
    <n v="0"/>
    <n v="0"/>
    <n v="0"/>
    <n v="0"/>
    <n v="2"/>
    <n v="2"/>
    <n v="0"/>
    <n v="0"/>
    <n v="2"/>
    <n v="0"/>
    <n v="0"/>
    <n v="0"/>
    <n v="0"/>
    <n v="0"/>
    <n v="0"/>
    <n v="0"/>
    <m/>
    <s v="&quot;KN&quot;"/>
    <x v="52"/>
    <n v="0"/>
    <n v="3"/>
    <n v="0"/>
    <n v="0"/>
    <n v="1"/>
    <n v="2"/>
    <n v="2"/>
    <n v="0"/>
    <n v="0"/>
    <n v="0"/>
  </r>
  <r>
    <x v="15"/>
    <n v="3"/>
    <n v="2"/>
    <n v="0"/>
    <n v="0"/>
    <n v="0"/>
    <n v="0"/>
    <n v="1"/>
    <n v="0"/>
    <n v="2"/>
    <n v="7"/>
    <n v="0"/>
    <n v="0"/>
    <n v="2"/>
    <n v="0"/>
    <n v="0"/>
    <n v="0"/>
    <n v="0"/>
    <n v="0"/>
    <n v="0"/>
    <n v="0"/>
    <n v="2"/>
    <n v="2"/>
    <n v="0"/>
    <n v="0"/>
    <n v="2"/>
    <n v="0"/>
    <n v="0"/>
    <n v="0"/>
    <n v="0"/>
    <n v="0"/>
    <n v="0"/>
    <n v="0"/>
    <m/>
    <s v="&quot;KN&quot;"/>
    <x v="53"/>
    <n v="0"/>
    <n v="9"/>
    <n v="0"/>
    <n v="0"/>
    <n v="1"/>
    <n v="4"/>
    <n v="4"/>
    <n v="0"/>
    <n v="0"/>
    <n v="0"/>
  </r>
  <r>
    <x v="15"/>
    <n v="1"/>
    <n v="2"/>
    <n v="0"/>
    <n v="0"/>
    <n v="0"/>
    <n v="0"/>
    <n v="1"/>
    <n v="0"/>
    <n v="2"/>
    <n v="7"/>
    <n v="0"/>
    <n v="0"/>
    <n v="1"/>
    <n v="0"/>
    <n v="0"/>
    <n v="0"/>
    <n v="0"/>
    <n v="0"/>
    <n v="0"/>
    <n v="0"/>
    <n v="1"/>
    <n v="1"/>
    <n v="0"/>
    <n v="0"/>
    <n v="1"/>
    <n v="0"/>
    <n v="0"/>
    <n v="0"/>
    <n v="0"/>
    <n v="0"/>
    <n v="0"/>
    <n v="0"/>
    <m/>
    <s v="&quot;RS&quot;"/>
    <x v="3"/>
    <n v="0"/>
    <n v="8"/>
    <n v="1"/>
    <n v="0"/>
    <n v="0"/>
    <n v="3"/>
    <n v="3"/>
    <n v="0"/>
    <n v="0"/>
    <n v="0"/>
  </r>
  <r>
    <x v="15"/>
    <n v="1"/>
    <n v="2"/>
    <n v="0"/>
    <n v="0"/>
    <n v="0"/>
    <n v="0"/>
    <n v="1"/>
    <n v="0"/>
    <n v="2"/>
    <n v="7"/>
    <n v="0"/>
    <n v="0"/>
    <n v="5"/>
    <n v="0"/>
    <n v="0"/>
    <n v="0"/>
    <n v="0"/>
    <n v="0"/>
    <n v="0"/>
    <n v="0"/>
    <n v="5"/>
    <n v="5"/>
    <n v="0"/>
    <n v="0"/>
    <n v="5"/>
    <n v="0"/>
    <n v="0"/>
    <n v="0"/>
    <n v="0"/>
    <n v="0"/>
    <n v="0"/>
    <n v="0"/>
    <m/>
    <s v="&quot;MB&quot;"/>
    <x v="54"/>
    <n v="0"/>
    <n v="12"/>
    <n v="1"/>
    <n v="0"/>
    <n v="0"/>
    <n v="7"/>
    <n v="7"/>
    <n v="0"/>
    <n v="0"/>
    <n v="0"/>
  </r>
  <r>
    <x v="15"/>
    <n v="3"/>
    <n v="2"/>
    <n v="0"/>
    <n v="0"/>
    <n v="0"/>
    <n v="0"/>
    <n v="1"/>
    <n v="0"/>
    <n v="2"/>
    <n v="7"/>
    <n v="0"/>
    <n v="0"/>
    <n v="1"/>
    <n v="0"/>
    <n v="0"/>
    <n v="0"/>
    <n v="0"/>
    <n v="0"/>
    <n v="0"/>
    <n v="0"/>
    <n v="1"/>
    <n v="1"/>
    <n v="0"/>
    <n v="0"/>
    <n v="1"/>
    <n v="0"/>
    <n v="0"/>
    <n v="0"/>
    <n v="0"/>
    <n v="0"/>
    <n v="0"/>
    <n v="0"/>
    <m/>
    <s v="&quot;RS&quot;"/>
    <x v="55"/>
    <n v="0"/>
    <n v="8"/>
    <n v="0"/>
    <n v="0"/>
    <n v="1"/>
    <n v="3"/>
    <n v="3"/>
    <n v="0"/>
    <n v="0"/>
    <n v="0"/>
  </r>
  <r>
    <x v="16"/>
    <n v="1"/>
    <n v="2"/>
    <n v="0"/>
    <n v="0"/>
    <n v="0"/>
    <n v="0"/>
    <n v="1"/>
    <n v="0"/>
    <n v="2"/>
    <n v="7"/>
    <n v="0"/>
    <n v="5"/>
    <n v="0"/>
    <n v="0"/>
    <n v="0"/>
    <n v="0"/>
    <n v="0"/>
    <n v="0"/>
    <n v="0"/>
    <n v="1"/>
    <n v="5"/>
    <n v="5"/>
    <n v="0"/>
    <n v="0"/>
    <n v="12"/>
    <n v="1"/>
    <n v="0"/>
    <n v="0"/>
    <n v="0"/>
    <n v="0"/>
    <n v="0"/>
    <n v="0"/>
    <m/>
    <s v="&quot;MB&quot;"/>
    <x v="56"/>
    <n v="25"/>
    <n v="44"/>
    <n v="1"/>
    <n v="0"/>
    <n v="0"/>
    <n v="7"/>
    <n v="7"/>
    <n v="0"/>
    <n v="0"/>
    <n v="0"/>
  </r>
  <r>
    <x v="16"/>
    <n v="2"/>
    <n v="3"/>
    <n v="0"/>
    <n v="0"/>
    <n v="0"/>
    <n v="0"/>
    <n v="1"/>
    <n v="0"/>
    <n v="3"/>
    <n v="10"/>
    <n v="0"/>
    <n v="0"/>
    <n v="0"/>
    <n v="0"/>
    <n v="0"/>
    <n v="0"/>
    <n v="0"/>
    <n v="0"/>
    <n v="0"/>
    <n v="0"/>
    <n v="0"/>
    <n v="0"/>
    <n v="0"/>
    <n v="0"/>
    <n v="0"/>
    <n v="1"/>
    <n v="0"/>
    <n v="0"/>
    <n v="0"/>
    <n v="0"/>
    <n v="0"/>
    <n v="0"/>
    <m/>
    <s v="&quot;KN&quot;"/>
    <x v="57"/>
    <n v="25"/>
    <n v="35"/>
    <n v="0"/>
    <n v="1"/>
    <n v="0"/>
    <n v="3"/>
    <n v="3"/>
    <n v="0"/>
    <n v="0"/>
    <n v="0"/>
  </r>
  <r>
    <x v="16"/>
    <n v="2"/>
    <n v="3"/>
    <n v="0"/>
    <n v="0"/>
    <n v="0"/>
    <n v="0"/>
    <n v="0"/>
    <n v="0"/>
    <n v="3"/>
    <n v="9"/>
    <n v="0"/>
    <n v="4"/>
    <n v="0"/>
    <n v="0"/>
    <n v="0"/>
    <n v="0"/>
    <n v="0"/>
    <n v="0"/>
    <n v="0"/>
    <n v="0"/>
    <n v="4"/>
    <n v="4"/>
    <n v="0"/>
    <n v="0"/>
    <n v="8"/>
    <n v="0"/>
    <n v="0"/>
    <n v="0"/>
    <n v="0"/>
    <n v="1"/>
    <n v="0"/>
    <n v="0"/>
    <m/>
    <s v="&quot;MB&quot;"/>
    <x v="58"/>
    <n v="0"/>
    <n v="17"/>
    <n v="0"/>
    <n v="1"/>
    <n v="0"/>
    <n v="7"/>
    <n v="7"/>
    <n v="0"/>
    <n v="0"/>
    <n v="0"/>
  </r>
  <r>
    <x v="16"/>
    <n v="2"/>
    <n v="3"/>
    <n v="0"/>
    <n v="0"/>
    <n v="0"/>
    <n v="0"/>
    <n v="1"/>
    <n v="0"/>
    <n v="3"/>
    <n v="10"/>
    <n v="0"/>
    <n v="0"/>
    <n v="5"/>
    <n v="0"/>
    <n v="0"/>
    <n v="0"/>
    <n v="0"/>
    <n v="0"/>
    <n v="0"/>
    <n v="0"/>
    <n v="5"/>
    <n v="5"/>
    <n v="0"/>
    <n v="0"/>
    <n v="5"/>
    <n v="1"/>
    <n v="0"/>
    <n v="0"/>
    <n v="0"/>
    <n v="0"/>
    <n v="0"/>
    <n v="0"/>
    <m/>
    <s v="&quot;&quot;"/>
    <x v="59"/>
    <n v="25"/>
    <n v="40"/>
    <n v="0"/>
    <n v="1"/>
    <n v="0"/>
    <n v="8"/>
    <n v="8"/>
    <n v="0"/>
    <n v="0"/>
    <n v="0"/>
  </r>
  <r>
    <x v="16"/>
    <n v="2"/>
    <n v="2"/>
    <n v="0"/>
    <n v="0"/>
    <n v="0"/>
    <n v="0"/>
    <n v="0"/>
    <n v="0"/>
    <n v="2"/>
    <n v="6"/>
    <n v="0"/>
    <n v="11"/>
    <n v="0"/>
    <n v="0"/>
    <n v="0"/>
    <n v="0"/>
    <n v="0"/>
    <n v="0"/>
    <n v="0"/>
    <n v="0"/>
    <n v="11"/>
    <n v="11"/>
    <n v="0"/>
    <n v="0"/>
    <n v="22"/>
    <n v="0"/>
    <n v="0"/>
    <n v="0"/>
    <n v="0"/>
    <n v="0"/>
    <n v="0"/>
    <n v="0"/>
    <m/>
    <s v="&quot;pp&quot;"/>
    <x v="60"/>
    <n v="0"/>
    <n v="28"/>
    <n v="0"/>
    <n v="1"/>
    <n v="0"/>
    <n v="13"/>
    <n v="13"/>
    <n v="0"/>
    <n v="0"/>
    <n v="0"/>
  </r>
  <r>
    <x v="16"/>
    <n v="2"/>
    <n v="2"/>
    <n v="0"/>
    <n v="0"/>
    <n v="0"/>
    <n v="0"/>
    <n v="1"/>
    <n v="0"/>
    <n v="2"/>
    <n v="7"/>
    <n v="0"/>
    <n v="2"/>
    <n v="0"/>
    <n v="0"/>
    <n v="0"/>
    <n v="0"/>
    <n v="0"/>
    <n v="0"/>
    <n v="0"/>
    <n v="0"/>
    <n v="2"/>
    <n v="2"/>
    <n v="0"/>
    <n v="0"/>
    <n v="4"/>
    <n v="1"/>
    <n v="0"/>
    <n v="0"/>
    <n v="0"/>
    <n v="0"/>
    <n v="0"/>
    <n v="0"/>
    <m/>
    <s v="&quot;KV&quot;"/>
    <x v="3"/>
    <n v="25"/>
    <n v="36"/>
    <n v="0"/>
    <n v="1"/>
    <n v="0"/>
    <n v="4"/>
    <n v="4"/>
    <n v="0"/>
    <n v="0"/>
    <n v="0"/>
  </r>
  <r>
    <x v="16"/>
    <n v="1"/>
    <n v="2"/>
    <n v="0"/>
    <n v="0"/>
    <n v="0"/>
    <n v="0"/>
    <n v="1"/>
    <n v="0"/>
    <n v="2"/>
    <n v="7"/>
    <n v="0"/>
    <n v="0"/>
    <n v="0"/>
    <n v="0"/>
    <n v="0"/>
    <n v="0"/>
    <n v="0"/>
    <n v="0"/>
    <n v="0"/>
    <n v="0"/>
    <n v="0"/>
    <n v="0"/>
    <n v="0"/>
    <n v="0"/>
    <n v="0"/>
    <n v="1"/>
    <n v="0"/>
    <n v="1"/>
    <n v="0"/>
    <n v="0"/>
    <n v="0"/>
    <n v="0"/>
    <m/>
    <s v="&quot;KN&quot;"/>
    <x v="61"/>
    <n v="40"/>
    <n v="47"/>
    <n v="1"/>
    <n v="0"/>
    <n v="0"/>
    <n v="2"/>
    <n v="2"/>
    <n v="0"/>
    <n v="0"/>
    <n v="0"/>
  </r>
  <r>
    <x v="17"/>
    <n v="3"/>
    <n v="3"/>
    <n v="0"/>
    <n v="0"/>
    <n v="0"/>
    <n v="0"/>
    <n v="1"/>
    <n v="0"/>
    <n v="3"/>
    <n v="10"/>
    <n v="0"/>
    <n v="3"/>
    <n v="0"/>
    <n v="0"/>
    <n v="0"/>
    <n v="0"/>
    <n v="0"/>
    <n v="0"/>
    <n v="0"/>
    <n v="0"/>
    <n v="3"/>
    <n v="3"/>
    <n v="0"/>
    <n v="0"/>
    <n v="6"/>
    <n v="0"/>
    <n v="0"/>
    <n v="0"/>
    <n v="0"/>
    <n v="0"/>
    <n v="0"/>
    <n v="0"/>
    <m/>
    <s v="&quot;KN&quot;"/>
    <x v="62"/>
    <n v="0"/>
    <n v="16"/>
    <n v="0"/>
    <n v="0"/>
    <n v="1"/>
    <n v="6"/>
    <n v="6"/>
    <n v="0"/>
    <n v="0"/>
    <n v="0"/>
  </r>
  <r>
    <x v="17"/>
    <n v="1"/>
    <n v="3"/>
    <n v="0"/>
    <n v="0"/>
    <n v="0"/>
    <n v="0"/>
    <n v="0"/>
    <n v="0"/>
    <n v="3"/>
    <n v="9"/>
    <n v="1"/>
    <n v="0"/>
    <n v="0"/>
    <n v="0"/>
    <n v="0"/>
    <n v="0"/>
    <n v="0"/>
    <n v="0"/>
    <n v="0"/>
    <n v="0"/>
    <n v="1"/>
    <n v="1"/>
    <n v="0"/>
    <n v="0"/>
    <n v="3"/>
    <n v="0"/>
    <n v="0"/>
    <n v="0"/>
    <n v="0"/>
    <n v="0"/>
    <n v="0"/>
    <n v="0"/>
    <m/>
    <s v="&quot;KN&quot;"/>
    <x v="63"/>
    <n v="0"/>
    <n v="12"/>
    <n v="1"/>
    <n v="0"/>
    <n v="0"/>
    <n v="4"/>
    <n v="4"/>
    <n v="0"/>
    <n v="0"/>
    <n v="0"/>
  </r>
  <r>
    <x v="17"/>
    <n v="3"/>
    <n v="0"/>
    <n v="0"/>
    <n v="0"/>
    <n v="0"/>
    <n v="0"/>
    <n v="1"/>
    <n v="0"/>
    <n v="0"/>
    <n v="1"/>
    <n v="0"/>
    <n v="0"/>
    <n v="0"/>
    <n v="0"/>
    <n v="0"/>
    <n v="0"/>
    <n v="0"/>
    <n v="0"/>
    <n v="0"/>
    <n v="0"/>
    <n v="0"/>
    <n v="0"/>
    <n v="0"/>
    <n v="0"/>
    <n v="0"/>
    <n v="0"/>
    <n v="0"/>
    <n v="0"/>
    <n v="0"/>
    <n v="0"/>
    <n v="1"/>
    <n v="1"/>
    <m/>
    <s v="&quot;RS&quot;"/>
    <x v="3"/>
    <n v="0"/>
    <n v="1"/>
    <n v="0"/>
    <n v="0"/>
    <n v="1"/>
    <n v="0"/>
    <n v="0"/>
    <n v="0"/>
    <n v="0"/>
    <n v="0"/>
  </r>
  <r>
    <x v="17"/>
    <n v="2"/>
    <n v="3"/>
    <n v="0"/>
    <n v="0"/>
    <n v="0"/>
    <n v="0"/>
    <n v="1"/>
    <n v="0"/>
    <n v="3"/>
    <n v="10"/>
    <n v="4"/>
    <n v="0"/>
    <n v="0"/>
    <n v="0"/>
    <n v="0"/>
    <n v="0"/>
    <n v="0"/>
    <n v="0"/>
    <n v="0"/>
    <n v="0"/>
    <n v="4"/>
    <n v="4"/>
    <n v="0"/>
    <n v="0"/>
    <n v="12"/>
    <n v="0"/>
    <n v="0"/>
    <n v="0"/>
    <n v="0"/>
    <n v="0"/>
    <n v="0"/>
    <n v="0"/>
    <m/>
    <s v="&quot;MT&quot;"/>
    <x v="64"/>
    <n v="0"/>
    <n v="22"/>
    <n v="0"/>
    <n v="1"/>
    <n v="0"/>
    <n v="7"/>
    <n v="7"/>
    <n v="0"/>
    <n v="0"/>
    <n v="0"/>
  </r>
  <r>
    <x v="17"/>
    <n v="2"/>
    <n v="3"/>
    <n v="0"/>
    <n v="0"/>
    <n v="0"/>
    <n v="0"/>
    <n v="1"/>
    <n v="0"/>
    <n v="3"/>
    <n v="10"/>
    <n v="0"/>
    <n v="1"/>
    <n v="0"/>
    <n v="0"/>
    <n v="0"/>
    <n v="0"/>
    <n v="0"/>
    <n v="0"/>
    <n v="0"/>
    <n v="1"/>
    <n v="1"/>
    <n v="1"/>
    <n v="0"/>
    <n v="0"/>
    <n v="4"/>
    <n v="0"/>
    <n v="0"/>
    <n v="0"/>
    <n v="0"/>
    <n v="0"/>
    <n v="0"/>
    <n v="0"/>
    <m/>
    <s v="&quot;RS&quot;"/>
    <x v="3"/>
    <n v="0"/>
    <n v="14"/>
    <n v="0"/>
    <n v="1"/>
    <n v="0"/>
    <n v="4"/>
    <n v="4"/>
    <n v="0"/>
    <n v="0"/>
    <n v="0"/>
  </r>
  <r>
    <x v="18"/>
    <n v="1"/>
    <n v="0"/>
    <n v="0"/>
    <n v="0"/>
    <n v="0"/>
    <n v="0"/>
    <n v="0"/>
    <n v="0"/>
    <n v="0"/>
    <n v="0"/>
    <n v="0"/>
    <n v="0"/>
    <n v="0"/>
    <n v="0"/>
    <n v="0"/>
    <n v="0"/>
    <n v="0"/>
    <n v="0"/>
    <n v="0"/>
    <n v="0"/>
    <n v="0"/>
    <n v="0"/>
    <n v="0"/>
    <n v="0"/>
    <n v="0"/>
    <n v="0"/>
    <n v="0"/>
    <n v="0"/>
    <n v="0"/>
    <n v="0"/>
    <n v="1"/>
    <n v="0"/>
    <m/>
    <s v="&quot;MB&quot;"/>
    <x v="65"/>
    <n v="0"/>
    <n v="0"/>
    <n v="1"/>
    <n v="0"/>
    <n v="0"/>
    <n v="0"/>
    <n v="0"/>
    <n v="0"/>
    <n v="0"/>
    <n v="0"/>
  </r>
  <r>
    <x v="18"/>
    <n v="1"/>
    <n v="0"/>
    <n v="0"/>
    <n v="0"/>
    <n v="0"/>
    <n v="0"/>
    <n v="1"/>
    <n v="0"/>
    <n v="0"/>
    <n v="1"/>
    <n v="0"/>
    <n v="0"/>
    <n v="0"/>
    <n v="0"/>
    <n v="0"/>
    <n v="0"/>
    <n v="0"/>
    <n v="0"/>
    <n v="0"/>
    <n v="0"/>
    <n v="0"/>
    <n v="0"/>
    <n v="0"/>
    <n v="0"/>
    <n v="0"/>
    <n v="0"/>
    <n v="0"/>
    <n v="0"/>
    <n v="0"/>
    <n v="0"/>
    <n v="0"/>
    <n v="0"/>
    <m/>
    <s v="&quot;MB&quot;"/>
    <x v="3"/>
    <n v="0"/>
    <n v="1"/>
    <n v="1"/>
    <n v="0"/>
    <n v="0"/>
    <n v="0"/>
    <n v="0"/>
    <n v="0"/>
    <n v="0"/>
    <n v="0"/>
  </r>
  <r>
    <x v="18"/>
    <n v="1"/>
    <n v="0"/>
    <n v="0"/>
    <n v="0"/>
    <n v="0"/>
    <n v="0"/>
    <n v="1"/>
    <n v="0"/>
    <n v="0"/>
    <n v="1"/>
    <n v="0"/>
    <n v="0"/>
    <n v="0"/>
    <n v="0"/>
    <n v="0"/>
    <n v="0"/>
    <n v="0"/>
    <n v="0"/>
    <n v="0"/>
    <n v="0"/>
    <n v="0"/>
    <n v="0"/>
    <n v="0"/>
    <n v="0"/>
    <n v="0"/>
    <n v="0"/>
    <n v="0"/>
    <n v="0"/>
    <n v="0"/>
    <n v="0"/>
    <n v="0"/>
    <n v="0"/>
    <m/>
    <s v="&quot;MT&quot;"/>
    <x v="66"/>
    <n v="0"/>
    <n v="1"/>
    <n v="1"/>
    <n v="0"/>
    <n v="0"/>
    <n v="0"/>
    <n v="0"/>
    <n v="0"/>
    <n v="0"/>
    <n v="0"/>
  </r>
  <r>
    <x v="18"/>
    <n v="1"/>
    <n v="0"/>
    <n v="0"/>
    <n v="0"/>
    <n v="0"/>
    <n v="0"/>
    <n v="1"/>
    <n v="0"/>
    <n v="0"/>
    <n v="1"/>
    <n v="0"/>
    <n v="0"/>
    <n v="2"/>
    <n v="0"/>
    <n v="0"/>
    <n v="0"/>
    <n v="0"/>
    <n v="0"/>
    <n v="0"/>
    <n v="2.5"/>
    <n v="2"/>
    <n v="2"/>
    <n v="0"/>
    <n v="0"/>
    <n v="7"/>
    <n v="0"/>
    <n v="0"/>
    <n v="0"/>
    <n v="0"/>
    <n v="0"/>
    <n v="0"/>
    <n v="0"/>
    <m/>
    <s v="&quot;KN&quot;"/>
    <x v="67"/>
    <n v="0"/>
    <n v="8"/>
    <n v="1"/>
    <n v="0"/>
    <n v="0"/>
    <n v="2"/>
    <n v="2"/>
    <n v="0"/>
    <n v="0"/>
    <n v="0"/>
  </r>
  <r>
    <x v="18"/>
    <n v="1"/>
    <n v="0"/>
    <n v="0"/>
    <n v="0"/>
    <n v="0"/>
    <n v="0"/>
    <n v="1"/>
    <n v="0"/>
    <n v="0"/>
    <n v="1"/>
    <n v="0"/>
    <n v="0"/>
    <n v="0"/>
    <n v="0"/>
    <n v="0"/>
    <n v="0"/>
    <n v="0"/>
    <n v="0"/>
    <n v="0"/>
    <n v="5"/>
    <n v="0"/>
    <n v="0"/>
    <n v="0"/>
    <n v="0"/>
    <n v="10"/>
    <n v="0"/>
    <n v="0"/>
    <n v="0"/>
    <n v="0"/>
    <n v="1"/>
    <n v="0"/>
    <n v="0"/>
    <m/>
    <s v="&quot;KV&quot;"/>
    <x v="68"/>
    <n v="0"/>
    <n v="11"/>
    <n v="1"/>
    <n v="0"/>
    <n v="0"/>
    <n v="0"/>
    <n v="0"/>
    <n v="0"/>
    <n v="0"/>
    <n v="0"/>
  </r>
  <r>
    <x v="18"/>
    <n v="1"/>
    <n v="0"/>
    <n v="0"/>
    <n v="0"/>
    <n v="0"/>
    <n v="0"/>
    <n v="1"/>
    <n v="0"/>
    <n v="0"/>
    <n v="1"/>
    <n v="0"/>
    <n v="0"/>
    <n v="0"/>
    <n v="0"/>
    <n v="0"/>
    <n v="0"/>
    <n v="0"/>
    <n v="0"/>
    <n v="0"/>
    <n v="2.5"/>
    <n v="0"/>
    <n v="0"/>
    <n v="0"/>
    <n v="0"/>
    <n v="5"/>
    <n v="0"/>
    <n v="0"/>
    <n v="0"/>
    <n v="0"/>
    <n v="0"/>
    <n v="0"/>
    <n v="0"/>
    <m/>
    <s v="&quot;RS&quot;"/>
    <x v="69"/>
    <n v="0"/>
    <n v="6"/>
    <n v="1"/>
    <n v="0"/>
    <n v="0"/>
    <n v="0"/>
    <n v="0"/>
    <n v="0"/>
    <n v="0"/>
    <n v="0"/>
  </r>
  <r>
    <x v="19"/>
    <n v="1"/>
    <n v="3"/>
    <n v="0"/>
    <n v="0"/>
    <n v="0"/>
    <n v="0"/>
    <n v="0"/>
    <n v="0"/>
    <n v="3"/>
    <n v="9"/>
    <n v="0"/>
    <n v="14"/>
    <n v="0"/>
    <n v="0"/>
    <n v="0"/>
    <n v="0"/>
    <n v="0"/>
    <n v="0"/>
    <n v="0"/>
    <n v="0"/>
    <n v="14"/>
    <n v="14"/>
    <n v="0"/>
    <n v="0"/>
    <n v="28"/>
    <n v="0"/>
    <n v="0"/>
    <n v="0"/>
    <n v="0"/>
    <n v="0"/>
    <n v="0"/>
    <n v="0"/>
    <m/>
    <s v="&quot;MT&quot;"/>
    <x v="70"/>
    <n v="0"/>
    <n v="37"/>
    <n v="1"/>
    <n v="0"/>
    <n v="0"/>
    <n v="17"/>
    <n v="17"/>
    <n v="0"/>
    <n v="0"/>
    <n v="0"/>
  </r>
  <r>
    <x v="19"/>
    <n v="3"/>
    <n v="0"/>
    <n v="0"/>
    <n v="0"/>
    <n v="0"/>
    <n v="0"/>
    <n v="1"/>
    <n v="0"/>
    <n v="0"/>
    <n v="1"/>
    <n v="0"/>
    <n v="0"/>
    <n v="0"/>
    <n v="0"/>
    <n v="0"/>
    <n v="0"/>
    <n v="0"/>
    <n v="0"/>
    <n v="0"/>
    <n v="0"/>
    <n v="0"/>
    <n v="0"/>
    <n v="0"/>
    <n v="0"/>
    <n v="0"/>
    <n v="1"/>
    <n v="0"/>
    <n v="1"/>
    <n v="0"/>
    <n v="1"/>
    <n v="0"/>
    <n v="0"/>
    <m/>
    <s v="&quot;RS&quot;"/>
    <x v="71"/>
    <n v="40"/>
    <n v="41"/>
    <n v="0"/>
    <n v="0"/>
    <n v="1"/>
    <n v="0"/>
    <n v="0"/>
    <n v="0"/>
    <n v="0"/>
    <n v="0"/>
  </r>
  <r>
    <x v="19"/>
    <n v="1"/>
    <n v="0"/>
    <n v="0"/>
    <n v="0"/>
    <n v="0"/>
    <n v="0"/>
    <n v="1"/>
    <n v="0"/>
    <n v="0"/>
    <n v="1"/>
    <n v="0"/>
    <n v="0"/>
    <n v="0"/>
    <n v="0"/>
    <n v="0"/>
    <n v="0"/>
    <n v="0"/>
    <n v="0"/>
    <n v="0"/>
    <n v="0"/>
    <n v="0"/>
    <n v="0"/>
    <n v="0"/>
    <n v="0"/>
    <n v="0"/>
    <n v="1"/>
    <n v="0"/>
    <n v="0"/>
    <n v="0"/>
    <n v="0"/>
    <n v="0"/>
    <n v="0"/>
    <m/>
    <s v="&quot;MB&quot;"/>
    <x v="3"/>
    <n v="25"/>
    <n v="26"/>
    <n v="1"/>
    <n v="0"/>
    <n v="0"/>
    <n v="0"/>
    <n v="0"/>
    <n v="0"/>
    <n v="0"/>
    <n v="0"/>
  </r>
  <r>
    <x v="19"/>
    <n v="3"/>
    <n v="0"/>
    <n v="0"/>
    <n v="0"/>
    <n v="0"/>
    <n v="0"/>
    <n v="1"/>
    <n v="0"/>
    <n v="0"/>
    <n v="1"/>
    <n v="0"/>
    <n v="0"/>
    <n v="6"/>
    <n v="0"/>
    <n v="0"/>
    <n v="0"/>
    <n v="0"/>
    <n v="0"/>
    <n v="0"/>
    <n v="0"/>
    <n v="6"/>
    <n v="6"/>
    <n v="0"/>
    <n v="0"/>
    <n v="6"/>
    <n v="1"/>
    <n v="0"/>
    <n v="1"/>
    <n v="0"/>
    <n v="0"/>
    <n v="0"/>
    <n v="0"/>
    <m/>
    <s v="&quot;KN&quot;"/>
    <x v="72"/>
    <n v="40"/>
    <n v="47"/>
    <n v="0"/>
    <n v="0"/>
    <n v="1"/>
    <n v="6"/>
    <n v="6"/>
    <n v="0"/>
    <n v="0"/>
    <n v="0"/>
  </r>
  <r>
    <x v="19"/>
    <n v="2"/>
    <n v="0"/>
    <n v="0"/>
    <n v="0"/>
    <n v="0"/>
    <n v="0"/>
    <n v="0"/>
    <n v="0"/>
    <n v="0"/>
    <n v="0"/>
    <n v="1"/>
    <n v="1"/>
    <n v="0"/>
    <n v="0"/>
    <n v="0"/>
    <n v="0"/>
    <n v="0"/>
    <n v="0"/>
    <n v="0"/>
    <n v="0"/>
    <n v="2"/>
    <n v="2"/>
    <n v="0"/>
    <n v="0"/>
    <n v="5"/>
    <n v="1"/>
    <n v="0"/>
    <n v="1"/>
    <n v="0"/>
    <n v="0"/>
    <n v="0"/>
    <n v="0"/>
    <m/>
    <s v="&quot;MT&quot;"/>
    <x v="3"/>
    <n v="40"/>
    <n v="45"/>
    <n v="0"/>
    <n v="1"/>
    <n v="0"/>
    <n v="2"/>
    <n v="2"/>
    <n v="0"/>
    <n v="0"/>
    <n v="0"/>
  </r>
  <r>
    <x v="20"/>
    <n v="2"/>
    <n v="1"/>
    <n v="0"/>
    <n v="0"/>
    <n v="0"/>
    <n v="0"/>
    <n v="1"/>
    <n v="0"/>
    <n v="1"/>
    <n v="4"/>
    <n v="0"/>
    <n v="0"/>
    <n v="10"/>
    <n v="0"/>
    <n v="0"/>
    <n v="0"/>
    <n v="0"/>
    <n v="0"/>
    <n v="0"/>
    <n v="0"/>
    <n v="10"/>
    <n v="10"/>
    <n v="0"/>
    <n v="0"/>
    <n v="10"/>
    <n v="1"/>
    <n v="0"/>
    <n v="0"/>
    <n v="0"/>
    <n v="0"/>
    <n v="0"/>
    <n v="0"/>
    <m/>
    <s v="&quot;RS&quot;"/>
    <x v="73"/>
    <n v="25"/>
    <n v="39"/>
    <n v="0"/>
    <n v="1"/>
    <n v="0"/>
    <n v="11"/>
    <n v="11"/>
    <n v="0"/>
    <n v="0"/>
    <n v="0"/>
  </r>
  <r>
    <x v="20"/>
    <n v="3"/>
    <n v="2"/>
    <n v="0"/>
    <n v="0"/>
    <n v="0"/>
    <n v="0"/>
    <n v="1"/>
    <n v="0"/>
    <n v="2"/>
    <n v="7"/>
    <n v="0"/>
    <n v="0"/>
    <n v="5"/>
    <n v="0"/>
    <n v="0"/>
    <n v="0"/>
    <n v="0"/>
    <n v="0"/>
    <n v="0"/>
    <n v="0"/>
    <n v="5"/>
    <n v="5"/>
    <n v="0"/>
    <n v="0"/>
    <n v="5"/>
    <n v="0"/>
    <n v="0"/>
    <n v="0"/>
    <n v="0"/>
    <n v="0"/>
    <n v="0"/>
    <n v="0"/>
    <m/>
    <s v="&quot;KV&quot;"/>
    <x v="74"/>
    <n v="0"/>
    <n v="12"/>
    <n v="0"/>
    <n v="0"/>
    <n v="1"/>
    <n v="7"/>
    <n v="7"/>
    <n v="0"/>
    <n v="0"/>
    <n v="0"/>
  </r>
  <r>
    <x v="20"/>
    <n v="2"/>
    <n v="2"/>
    <n v="0"/>
    <n v="0"/>
    <n v="0"/>
    <n v="0"/>
    <n v="1"/>
    <n v="0"/>
    <n v="2"/>
    <n v="7"/>
    <n v="0"/>
    <n v="0"/>
    <n v="5"/>
    <n v="0"/>
    <n v="0"/>
    <n v="0"/>
    <n v="0"/>
    <n v="0"/>
    <n v="0"/>
    <n v="0"/>
    <n v="5"/>
    <n v="5"/>
    <n v="0"/>
    <n v="0"/>
    <n v="5"/>
    <n v="0"/>
    <n v="0"/>
    <n v="0"/>
    <n v="0"/>
    <n v="0"/>
    <n v="0"/>
    <n v="0"/>
    <m/>
    <s v="&quot;MB&quot;"/>
    <x v="3"/>
    <n v="0"/>
    <n v="12"/>
    <n v="0"/>
    <n v="1"/>
    <n v="0"/>
    <n v="7"/>
    <n v="7"/>
    <n v="0"/>
    <n v="0"/>
    <n v="0"/>
  </r>
  <r>
    <x v="20"/>
    <n v="3"/>
    <n v="2"/>
    <n v="0"/>
    <n v="0"/>
    <n v="0"/>
    <n v="0"/>
    <n v="1"/>
    <n v="0"/>
    <n v="2"/>
    <n v="7"/>
    <n v="0"/>
    <n v="0"/>
    <n v="4"/>
    <n v="0"/>
    <n v="0"/>
    <n v="0"/>
    <n v="0"/>
    <n v="0"/>
    <n v="0"/>
    <n v="0"/>
    <n v="4"/>
    <n v="4"/>
    <n v="0"/>
    <n v="0"/>
    <n v="4"/>
    <n v="1"/>
    <n v="0"/>
    <n v="0"/>
    <n v="0"/>
    <n v="0"/>
    <n v="0"/>
    <n v="0"/>
    <m/>
    <s v="&quot;SS&quot;"/>
    <x v="75"/>
    <n v="25"/>
    <n v="36"/>
    <n v="0"/>
    <n v="0"/>
    <n v="1"/>
    <n v="6"/>
    <n v="6"/>
    <n v="0"/>
    <n v="0"/>
    <n v="0"/>
  </r>
  <r>
    <x v="20"/>
    <n v="2"/>
    <n v="3"/>
    <n v="0"/>
    <n v="0"/>
    <n v="0"/>
    <n v="0"/>
    <n v="1"/>
    <n v="0"/>
    <n v="3"/>
    <n v="10"/>
    <n v="0"/>
    <n v="0"/>
    <n v="9"/>
    <n v="0"/>
    <n v="0"/>
    <n v="0"/>
    <n v="0"/>
    <n v="0"/>
    <n v="0"/>
    <n v="0"/>
    <n v="9"/>
    <n v="9"/>
    <n v="0"/>
    <n v="0"/>
    <n v="9"/>
    <n v="1"/>
    <n v="0"/>
    <n v="0"/>
    <n v="0"/>
    <n v="0"/>
    <n v="0"/>
    <n v="0"/>
    <m/>
    <s v="&quot;RS&quot;"/>
    <x v="76"/>
    <n v="25"/>
    <n v="44"/>
    <n v="0"/>
    <n v="1"/>
    <n v="0"/>
    <n v="12"/>
    <n v="12"/>
    <n v="0"/>
    <n v="0"/>
    <n v="0"/>
  </r>
  <r>
    <x v="20"/>
    <n v="2"/>
    <n v="2"/>
    <n v="0"/>
    <n v="0"/>
    <n v="0"/>
    <n v="0"/>
    <n v="1"/>
    <n v="0"/>
    <n v="2"/>
    <n v="7"/>
    <n v="0"/>
    <n v="0"/>
    <n v="9"/>
    <n v="0"/>
    <n v="0"/>
    <n v="0"/>
    <n v="0"/>
    <n v="0"/>
    <n v="0"/>
    <n v="0"/>
    <n v="9"/>
    <n v="9"/>
    <n v="0"/>
    <n v="0"/>
    <n v="9"/>
    <n v="1"/>
    <n v="0"/>
    <n v="0"/>
    <n v="0"/>
    <n v="0"/>
    <n v="0"/>
    <n v="0"/>
    <m/>
    <s v="&quot;KN&quot;"/>
    <x v="77"/>
    <n v="25"/>
    <n v="41"/>
    <n v="0"/>
    <n v="1"/>
    <n v="0"/>
    <n v="11"/>
    <n v="11"/>
    <n v="0"/>
    <n v="0"/>
    <n v="0"/>
  </r>
  <r>
    <x v="21"/>
    <n v="3"/>
    <n v="1"/>
    <n v="0"/>
    <n v="0"/>
    <n v="0"/>
    <n v="0"/>
    <n v="1"/>
    <n v="0"/>
    <n v="1"/>
    <n v="4"/>
    <n v="0"/>
    <n v="0"/>
    <n v="0"/>
    <n v="0"/>
    <n v="0"/>
    <n v="0"/>
    <n v="0"/>
    <n v="0"/>
    <n v="0"/>
    <n v="0"/>
    <n v="0"/>
    <n v="0"/>
    <n v="0"/>
    <n v="0"/>
    <n v="0"/>
    <n v="0"/>
    <n v="0"/>
    <n v="0"/>
    <n v="0"/>
    <n v="0"/>
    <n v="0"/>
    <n v="0"/>
    <m/>
    <s v="&quot;KV&quot;"/>
    <x v="78"/>
    <n v="0"/>
    <n v="4"/>
    <n v="0"/>
    <n v="0"/>
    <n v="1"/>
    <n v="1"/>
    <n v="1"/>
    <n v="0"/>
    <n v="0"/>
    <n v="0"/>
  </r>
  <r>
    <x v="21"/>
    <n v="3"/>
    <n v="3"/>
    <n v="0"/>
    <n v="0"/>
    <n v="0"/>
    <n v="0"/>
    <n v="1"/>
    <n v="0"/>
    <n v="3"/>
    <n v="10"/>
    <n v="0"/>
    <n v="0"/>
    <n v="0"/>
    <n v="0"/>
    <n v="0"/>
    <n v="0"/>
    <n v="0"/>
    <n v="0"/>
    <n v="0"/>
    <n v="0"/>
    <n v="0"/>
    <n v="0"/>
    <n v="0"/>
    <n v="0"/>
    <n v="0"/>
    <n v="1"/>
    <n v="0"/>
    <n v="1"/>
    <n v="0"/>
    <n v="0"/>
    <n v="0"/>
    <n v="0"/>
    <m/>
    <s v="&quot;WR&quot;"/>
    <x v="3"/>
    <n v="40"/>
    <n v="50"/>
    <n v="0"/>
    <n v="0"/>
    <n v="1"/>
    <n v="3"/>
    <n v="3"/>
    <n v="0"/>
    <n v="0"/>
    <n v="0"/>
  </r>
  <r>
    <x v="21"/>
    <n v="3"/>
    <n v="0"/>
    <n v="0"/>
    <n v="0"/>
    <n v="0"/>
    <n v="0"/>
    <n v="1"/>
    <n v="0"/>
    <n v="0"/>
    <n v="1"/>
    <n v="0"/>
    <n v="0"/>
    <n v="0"/>
    <n v="0"/>
    <n v="0"/>
    <n v="0"/>
    <n v="0"/>
    <n v="0"/>
    <n v="0"/>
    <n v="0"/>
    <n v="0"/>
    <n v="0"/>
    <n v="0"/>
    <n v="0"/>
    <n v="0"/>
    <n v="0"/>
    <n v="0"/>
    <n v="0"/>
    <n v="0"/>
    <n v="0"/>
    <n v="0"/>
    <n v="0"/>
    <m/>
    <s v="&quot;MB&quot;"/>
    <x v="3"/>
    <n v="0"/>
    <n v="1"/>
    <n v="0"/>
    <n v="0"/>
    <n v="1"/>
    <n v="0"/>
    <n v="0"/>
    <n v="0"/>
    <n v="0"/>
    <n v="0"/>
  </r>
  <r>
    <x v="21"/>
    <n v="2"/>
    <n v="1"/>
    <n v="0"/>
    <n v="0"/>
    <n v="0"/>
    <n v="0"/>
    <n v="1"/>
    <n v="0"/>
    <n v="1"/>
    <n v="4"/>
    <n v="0"/>
    <n v="0"/>
    <n v="1"/>
    <n v="0"/>
    <n v="0"/>
    <n v="0"/>
    <n v="0"/>
    <n v="0"/>
    <n v="0"/>
    <n v="0"/>
    <n v="1"/>
    <n v="1"/>
    <n v="0"/>
    <n v="0"/>
    <n v="1"/>
    <n v="0"/>
    <n v="1"/>
    <n v="0"/>
    <n v="0"/>
    <n v="0"/>
    <n v="0"/>
    <n v="0"/>
    <m/>
    <s v="&quot;MT&quot;"/>
    <x v="79"/>
    <n v="10"/>
    <n v="15"/>
    <n v="0"/>
    <n v="1"/>
    <n v="0"/>
    <n v="2"/>
    <n v="2"/>
    <n v="0"/>
    <n v="0"/>
    <n v="0"/>
  </r>
  <r>
    <x v="21"/>
    <n v="2"/>
    <n v="2"/>
    <n v="0"/>
    <n v="0"/>
    <n v="0"/>
    <n v="0"/>
    <n v="1"/>
    <n v="0"/>
    <n v="2"/>
    <n v="7"/>
    <n v="0"/>
    <n v="0"/>
    <n v="0"/>
    <n v="0"/>
    <n v="0"/>
    <n v="0"/>
    <n v="0"/>
    <n v="0"/>
    <n v="0"/>
    <n v="0"/>
    <n v="0"/>
    <n v="0"/>
    <n v="0"/>
    <n v="0"/>
    <n v="0"/>
    <n v="1"/>
    <n v="0"/>
    <n v="0"/>
    <n v="0"/>
    <n v="0"/>
    <n v="0"/>
    <n v="0"/>
    <m/>
    <s v="&quot;MB&quot;"/>
    <x v="3"/>
    <n v="25"/>
    <n v="32"/>
    <n v="0"/>
    <n v="1"/>
    <n v="0"/>
    <n v="2"/>
    <n v="2"/>
    <n v="0"/>
    <n v="0"/>
    <n v="0"/>
  </r>
  <r>
    <x v="21"/>
    <n v="2"/>
    <n v="0"/>
    <n v="0"/>
    <n v="0"/>
    <n v="0"/>
    <n v="0"/>
    <n v="1"/>
    <n v="0"/>
    <n v="0"/>
    <n v="1"/>
    <n v="0"/>
    <n v="0"/>
    <n v="0"/>
    <n v="0"/>
    <n v="0"/>
    <n v="0"/>
    <n v="0"/>
    <n v="0"/>
    <n v="0"/>
    <n v="2.5"/>
    <n v="0"/>
    <n v="0"/>
    <n v="0"/>
    <n v="0"/>
    <n v="5"/>
    <n v="0"/>
    <n v="0"/>
    <n v="0"/>
    <n v="0"/>
    <n v="0"/>
    <n v="0"/>
    <n v="0"/>
    <m/>
    <s v="&quot;KN&quot;"/>
    <x v="80"/>
    <n v="0"/>
    <n v="6"/>
    <n v="0"/>
    <n v="1"/>
    <n v="0"/>
    <n v="0"/>
    <n v="0"/>
    <n v="0"/>
    <n v="0"/>
    <n v="0"/>
  </r>
  <r>
    <x v="21"/>
    <n v="2"/>
    <n v="0"/>
    <n v="0"/>
    <n v="0"/>
    <n v="0"/>
    <n v="0"/>
    <n v="1"/>
    <n v="0"/>
    <n v="0"/>
    <n v="1"/>
    <n v="0"/>
    <n v="0"/>
    <n v="0"/>
    <n v="0"/>
    <n v="0"/>
    <n v="0"/>
    <n v="0"/>
    <n v="0"/>
    <n v="0"/>
    <n v="2.5"/>
    <n v="0"/>
    <n v="0"/>
    <n v="0"/>
    <n v="0"/>
    <n v="5"/>
    <n v="0"/>
    <n v="0"/>
    <n v="0"/>
    <n v="0"/>
    <n v="0"/>
    <n v="0"/>
    <n v="0"/>
    <m/>
    <s v="&quot;&quot;"/>
    <x v="81"/>
    <n v="0"/>
    <n v="6"/>
    <n v="0"/>
    <n v="1"/>
    <n v="0"/>
    <n v="0"/>
    <n v="0"/>
    <n v="0"/>
    <n v="0"/>
    <n v="0"/>
  </r>
  <r>
    <x v="21"/>
    <n v="2"/>
    <n v="1"/>
    <n v="0"/>
    <n v="0"/>
    <n v="0"/>
    <n v="0"/>
    <n v="1"/>
    <n v="0"/>
    <n v="1"/>
    <n v="4"/>
    <n v="0"/>
    <n v="0"/>
    <n v="2"/>
    <n v="0"/>
    <n v="0"/>
    <n v="0"/>
    <n v="0"/>
    <n v="0"/>
    <n v="0"/>
    <n v="0"/>
    <n v="2"/>
    <n v="2"/>
    <n v="0"/>
    <n v="0"/>
    <n v="2"/>
    <n v="1"/>
    <n v="0"/>
    <n v="1"/>
    <n v="0"/>
    <n v="0"/>
    <n v="0"/>
    <n v="0"/>
    <m/>
    <s v="&quot;RS&quot;"/>
    <x v="3"/>
    <n v="40"/>
    <n v="46"/>
    <n v="0"/>
    <n v="1"/>
    <n v="0"/>
    <n v="3"/>
    <n v="3"/>
    <n v="0"/>
    <n v="0"/>
    <n v="0"/>
  </r>
  <r>
    <x v="22"/>
    <n v="1"/>
    <n v="0"/>
    <n v="0"/>
    <n v="0"/>
    <n v="0"/>
    <n v="0"/>
    <n v="0"/>
    <n v="0"/>
    <n v="0"/>
    <n v="0"/>
    <n v="0"/>
    <n v="0"/>
    <n v="0"/>
    <n v="0"/>
    <n v="0"/>
    <n v="0"/>
    <n v="0"/>
    <n v="0"/>
    <n v="0"/>
    <n v="0"/>
    <n v="0"/>
    <n v="0"/>
    <n v="0"/>
    <n v="0"/>
    <n v="0"/>
    <n v="0"/>
    <n v="0"/>
    <n v="0"/>
    <n v="0"/>
    <n v="0"/>
    <n v="0"/>
    <n v="0"/>
    <m/>
    <s v="&quot;LL&quot;"/>
    <x v="3"/>
    <n v="0"/>
    <n v="0"/>
    <n v="1"/>
    <n v="0"/>
    <n v="0"/>
    <n v="0"/>
    <n v="0"/>
    <n v="0"/>
    <n v="0"/>
    <n v="0"/>
  </r>
  <r>
    <x v="22"/>
    <n v="1"/>
    <n v="3"/>
    <n v="0"/>
    <n v="0"/>
    <n v="0"/>
    <n v="0"/>
    <n v="0"/>
    <n v="0"/>
    <n v="3"/>
    <n v="9"/>
    <n v="2"/>
    <n v="1"/>
    <n v="0"/>
    <n v="0"/>
    <n v="0"/>
    <n v="0"/>
    <n v="0"/>
    <n v="0"/>
    <n v="0"/>
    <n v="0"/>
    <n v="3"/>
    <n v="3"/>
    <n v="0"/>
    <n v="0"/>
    <n v="8"/>
    <n v="0"/>
    <n v="0"/>
    <n v="0"/>
    <n v="0"/>
    <n v="0"/>
    <n v="0"/>
    <n v="0"/>
    <m/>
    <s v="&quot;MB&quot;"/>
    <x v="82"/>
    <n v="0"/>
    <n v="17"/>
    <n v="1"/>
    <n v="0"/>
    <n v="0"/>
    <n v="6"/>
    <n v="6"/>
    <n v="0"/>
    <n v="0"/>
    <n v="0"/>
  </r>
  <r>
    <x v="22"/>
    <n v="2"/>
    <n v="3"/>
    <n v="0"/>
    <n v="0"/>
    <n v="0"/>
    <n v="0"/>
    <n v="1"/>
    <n v="0"/>
    <n v="3"/>
    <n v="10"/>
    <n v="0"/>
    <n v="7"/>
    <n v="0"/>
    <n v="0"/>
    <n v="0"/>
    <n v="0"/>
    <n v="0"/>
    <n v="0"/>
    <n v="0"/>
    <n v="0"/>
    <n v="7"/>
    <n v="7"/>
    <n v="0"/>
    <n v="0"/>
    <n v="14"/>
    <n v="1"/>
    <n v="0"/>
    <n v="1"/>
    <n v="0"/>
    <n v="0"/>
    <n v="0"/>
    <n v="0"/>
    <m/>
    <s v="&quot;MT&quot;"/>
    <x v="83"/>
    <n v="40"/>
    <n v="64"/>
    <n v="0"/>
    <n v="1"/>
    <n v="0"/>
    <n v="10"/>
    <n v="10"/>
    <n v="0"/>
    <n v="0"/>
    <n v="0"/>
  </r>
  <r>
    <x v="22"/>
    <n v="2"/>
    <n v="3"/>
    <n v="0"/>
    <n v="0"/>
    <n v="0"/>
    <n v="0"/>
    <n v="1"/>
    <n v="0"/>
    <n v="3"/>
    <n v="10"/>
    <n v="0"/>
    <n v="5"/>
    <n v="0"/>
    <n v="0"/>
    <n v="0"/>
    <n v="0"/>
    <n v="0"/>
    <n v="0"/>
    <n v="0"/>
    <n v="0"/>
    <n v="5"/>
    <n v="5"/>
    <n v="0"/>
    <n v="0"/>
    <n v="10"/>
    <n v="1"/>
    <n v="0"/>
    <n v="0"/>
    <n v="0"/>
    <n v="0"/>
    <n v="0"/>
    <n v="0"/>
    <m/>
    <s v="&quot;MB&quot;"/>
    <x v="1"/>
    <n v="25"/>
    <n v="45"/>
    <n v="0"/>
    <n v="1"/>
    <n v="0"/>
    <n v="8"/>
    <n v="8"/>
    <n v="0"/>
    <n v="0"/>
    <n v="0"/>
  </r>
  <r>
    <x v="22"/>
    <n v="1"/>
    <n v="2"/>
    <n v="0"/>
    <n v="0"/>
    <n v="0"/>
    <n v="0"/>
    <n v="1"/>
    <n v="0"/>
    <n v="2"/>
    <n v="7"/>
    <n v="0"/>
    <n v="5"/>
    <n v="0"/>
    <n v="0"/>
    <n v="0"/>
    <n v="0"/>
    <n v="0"/>
    <n v="0"/>
    <n v="0"/>
    <n v="0"/>
    <n v="5"/>
    <n v="5"/>
    <n v="0"/>
    <n v="0"/>
    <n v="10"/>
    <n v="1"/>
    <n v="0"/>
    <n v="0"/>
    <n v="0"/>
    <n v="0"/>
    <n v="0"/>
    <n v="0"/>
    <m/>
    <s v="&quot;pp&quot;"/>
    <x v="84"/>
    <n v="25"/>
    <n v="42"/>
    <n v="1"/>
    <n v="0"/>
    <n v="0"/>
    <n v="7"/>
    <n v="7"/>
    <n v="0"/>
    <n v="0"/>
    <n v="0"/>
  </r>
  <r>
    <x v="22"/>
    <n v="2"/>
    <n v="3"/>
    <n v="0"/>
    <n v="0"/>
    <n v="0"/>
    <n v="0"/>
    <n v="1"/>
    <n v="0"/>
    <n v="3"/>
    <n v="10"/>
    <n v="3"/>
    <n v="0"/>
    <n v="0"/>
    <n v="0"/>
    <n v="0"/>
    <n v="0"/>
    <n v="0"/>
    <n v="0"/>
    <n v="0"/>
    <n v="0"/>
    <n v="3"/>
    <n v="3"/>
    <n v="0"/>
    <n v="0"/>
    <n v="9"/>
    <n v="1"/>
    <n v="0"/>
    <n v="1"/>
    <n v="0"/>
    <n v="0"/>
    <n v="0"/>
    <n v="0"/>
    <m/>
    <s v="&quot;RS&quot;"/>
    <x v="3"/>
    <n v="40"/>
    <n v="59"/>
    <n v="0"/>
    <n v="1"/>
    <n v="0"/>
    <n v="6"/>
    <n v="6"/>
    <n v="0"/>
    <n v="0"/>
    <n v="0"/>
  </r>
  <r>
    <x v="22"/>
    <n v="3"/>
    <n v="3"/>
    <n v="0"/>
    <n v="0"/>
    <n v="0"/>
    <n v="0"/>
    <n v="1"/>
    <n v="0"/>
    <n v="3"/>
    <n v="10"/>
    <n v="3"/>
    <n v="0"/>
    <n v="3"/>
    <n v="0"/>
    <n v="0"/>
    <n v="0"/>
    <n v="0"/>
    <n v="0"/>
    <n v="0"/>
    <n v="0"/>
    <n v="6"/>
    <n v="6"/>
    <n v="0"/>
    <n v="0"/>
    <n v="12"/>
    <n v="0"/>
    <n v="0"/>
    <n v="0"/>
    <n v="0"/>
    <n v="1"/>
    <n v="0"/>
    <n v="0"/>
    <m/>
    <s v="&quot;KV&quot;"/>
    <x v="85"/>
    <n v="0"/>
    <n v="22"/>
    <n v="0"/>
    <n v="0"/>
    <n v="1"/>
    <n v="9"/>
    <n v="9"/>
    <n v="0"/>
    <n v="0"/>
    <n v="0"/>
  </r>
  <r>
    <x v="23"/>
    <n v="2"/>
    <n v="3"/>
    <n v="0"/>
    <n v="0"/>
    <n v="0"/>
    <n v="0"/>
    <n v="0"/>
    <n v="0"/>
    <n v="3"/>
    <n v="9"/>
    <n v="0"/>
    <n v="4"/>
    <n v="0"/>
    <n v="0"/>
    <n v="0"/>
    <n v="0"/>
    <n v="0"/>
    <n v="0"/>
    <n v="0"/>
    <n v="0"/>
    <n v="4"/>
    <n v="4"/>
    <n v="0"/>
    <n v="0"/>
    <n v="8"/>
    <n v="1"/>
    <n v="1"/>
    <n v="1"/>
    <n v="0"/>
    <n v="0"/>
    <n v="0"/>
    <n v="0"/>
    <m/>
    <s v="&quot;MT&quot;"/>
    <x v="86"/>
    <n v="50"/>
    <n v="67"/>
    <n v="0"/>
    <n v="1"/>
    <n v="0"/>
    <n v="7"/>
    <n v="7"/>
    <n v="0"/>
    <n v="0"/>
    <n v="0"/>
  </r>
  <r>
    <x v="23"/>
    <n v="2"/>
    <n v="1"/>
    <n v="0"/>
    <n v="0"/>
    <n v="0"/>
    <n v="0"/>
    <n v="1"/>
    <n v="0"/>
    <n v="1"/>
    <n v="4"/>
    <n v="0"/>
    <n v="1"/>
    <n v="0"/>
    <n v="0"/>
    <n v="0"/>
    <n v="0"/>
    <n v="0"/>
    <n v="0"/>
    <n v="0"/>
    <n v="0"/>
    <n v="1"/>
    <n v="1"/>
    <n v="0"/>
    <n v="0"/>
    <n v="2"/>
    <n v="1"/>
    <n v="0"/>
    <n v="0"/>
    <n v="0"/>
    <n v="0"/>
    <n v="0"/>
    <n v="0"/>
    <m/>
    <s v="&quot;KV&quot;"/>
    <x v="87"/>
    <n v="25"/>
    <n v="31"/>
    <n v="0"/>
    <n v="1"/>
    <n v="0"/>
    <n v="2"/>
    <n v="2"/>
    <n v="0"/>
    <n v="0"/>
    <n v="0"/>
  </r>
  <r>
    <x v="23"/>
    <n v="3"/>
    <n v="2"/>
    <n v="0"/>
    <n v="0"/>
    <n v="0"/>
    <n v="0"/>
    <n v="1"/>
    <n v="0"/>
    <n v="2"/>
    <n v="7"/>
    <n v="1"/>
    <n v="1"/>
    <n v="0"/>
    <n v="0"/>
    <n v="0"/>
    <n v="0"/>
    <n v="0"/>
    <n v="0"/>
    <n v="0"/>
    <n v="0"/>
    <n v="2"/>
    <n v="2"/>
    <n v="0"/>
    <n v="0"/>
    <n v="5"/>
    <n v="1"/>
    <n v="0"/>
    <n v="0"/>
    <n v="0"/>
    <n v="0"/>
    <n v="0"/>
    <n v="0"/>
    <m/>
    <s v="&quot;MB&quot;"/>
    <x v="88"/>
    <n v="25"/>
    <n v="37"/>
    <n v="0"/>
    <n v="0"/>
    <n v="1"/>
    <n v="4"/>
    <n v="4"/>
    <n v="0"/>
    <n v="0"/>
    <n v="0"/>
  </r>
  <r>
    <x v="23"/>
    <n v="2"/>
    <n v="2"/>
    <n v="0"/>
    <n v="0"/>
    <n v="0"/>
    <n v="0"/>
    <n v="0"/>
    <n v="0"/>
    <n v="2"/>
    <n v="6"/>
    <n v="0"/>
    <n v="0"/>
    <n v="0"/>
    <n v="0"/>
    <n v="0"/>
    <n v="0"/>
    <n v="0"/>
    <n v="0"/>
    <n v="0"/>
    <n v="0"/>
    <n v="0"/>
    <n v="0"/>
    <n v="0"/>
    <n v="0"/>
    <n v="0"/>
    <n v="0"/>
    <n v="0"/>
    <n v="0"/>
    <n v="0"/>
    <n v="0"/>
    <n v="1"/>
    <n v="0"/>
    <m/>
    <s v="&quot;MB&quot;"/>
    <x v="89"/>
    <n v="0"/>
    <n v="6"/>
    <n v="0"/>
    <n v="1"/>
    <n v="0"/>
    <n v="2"/>
    <n v="2"/>
    <n v="0"/>
    <n v="0"/>
    <n v="0"/>
  </r>
  <r>
    <x v="23"/>
    <n v="1"/>
    <n v="2"/>
    <n v="0"/>
    <n v="0"/>
    <n v="0"/>
    <n v="0"/>
    <n v="0"/>
    <n v="0"/>
    <n v="2"/>
    <n v="6"/>
    <n v="0"/>
    <n v="0"/>
    <n v="0"/>
    <n v="0"/>
    <n v="0"/>
    <n v="0"/>
    <n v="0"/>
    <n v="0"/>
    <n v="0"/>
    <n v="5"/>
    <n v="0"/>
    <n v="0"/>
    <n v="0"/>
    <n v="0"/>
    <n v="10"/>
    <n v="0"/>
    <n v="0"/>
    <n v="0"/>
    <n v="0"/>
    <n v="1"/>
    <n v="0"/>
    <n v="0"/>
    <m/>
    <s v="&quot;MB&quot;"/>
    <x v="90"/>
    <n v="0"/>
    <n v="16"/>
    <n v="1"/>
    <n v="0"/>
    <n v="0"/>
    <n v="2"/>
    <n v="2"/>
    <n v="0"/>
    <n v="0"/>
    <n v="0"/>
  </r>
  <r>
    <x v="23"/>
    <n v="2"/>
    <n v="3"/>
    <n v="0"/>
    <n v="0"/>
    <n v="0"/>
    <n v="0"/>
    <n v="1"/>
    <n v="0"/>
    <n v="3"/>
    <n v="10"/>
    <n v="0"/>
    <n v="1"/>
    <n v="0"/>
    <n v="0"/>
    <n v="0"/>
    <n v="0"/>
    <n v="0"/>
    <n v="0"/>
    <n v="0"/>
    <n v="0"/>
    <n v="1"/>
    <n v="1"/>
    <n v="0"/>
    <n v="0"/>
    <n v="2"/>
    <n v="1"/>
    <n v="0"/>
    <n v="0"/>
    <n v="0"/>
    <n v="0"/>
    <n v="0"/>
    <n v="0"/>
    <m/>
    <s v="&quot;RS&quot;"/>
    <x v="3"/>
    <n v="25"/>
    <n v="37"/>
    <n v="0"/>
    <n v="1"/>
    <n v="0"/>
    <n v="4"/>
    <n v="4"/>
    <n v="0"/>
    <n v="0"/>
    <n v="0"/>
  </r>
  <r>
    <x v="23"/>
    <n v="3"/>
    <n v="2"/>
    <n v="0"/>
    <n v="0"/>
    <n v="0"/>
    <n v="0"/>
    <n v="1"/>
    <n v="0"/>
    <n v="2"/>
    <n v="7"/>
    <n v="0"/>
    <n v="0"/>
    <n v="0"/>
    <n v="0"/>
    <n v="0"/>
    <n v="0"/>
    <n v="0"/>
    <n v="0"/>
    <n v="0"/>
    <n v="2.5"/>
    <n v="0"/>
    <n v="0"/>
    <n v="0"/>
    <n v="0"/>
    <n v="5"/>
    <n v="1"/>
    <n v="0"/>
    <n v="0"/>
    <n v="0"/>
    <n v="1"/>
    <n v="0"/>
    <n v="0"/>
    <m/>
    <s v="&quot;KV&quot;"/>
    <x v="91"/>
    <n v="25"/>
    <n v="37"/>
    <n v="0"/>
    <n v="0"/>
    <n v="1"/>
    <n v="2"/>
    <n v="2"/>
    <n v="0"/>
    <n v="0"/>
    <n v="0"/>
  </r>
  <r>
    <x v="24"/>
    <n v="3"/>
    <n v="0"/>
    <n v="0"/>
    <n v="0"/>
    <n v="0"/>
    <n v="0"/>
    <n v="0"/>
    <n v="0"/>
    <n v="0"/>
    <n v="0"/>
    <n v="0"/>
    <n v="0"/>
    <n v="6"/>
    <n v="0"/>
    <n v="0"/>
    <n v="0"/>
    <n v="0"/>
    <n v="0"/>
    <n v="0"/>
    <n v="0"/>
    <n v="6"/>
    <n v="6"/>
    <n v="0"/>
    <n v="0"/>
    <n v="6"/>
    <n v="0"/>
    <n v="0"/>
    <n v="0"/>
    <n v="0"/>
    <n v="0"/>
    <n v="0"/>
    <n v="0"/>
    <m/>
    <s v="&quot;KV&quot;"/>
    <x v="92"/>
    <n v="0"/>
    <n v="6"/>
    <n v="0"/>
    <n v="0"/>
    <n v="1"/>
    <n v="6"/>
    <n v="6"/>
    <n v="0"/>
    <n v="0"/>
    <n v="0"/>
  </r>
  <r>
    <x v="24"/>
    <n v="3"/>
    <n v="2"/>
    <n v="0"/>
    <n v="0"/>
    <n v="0"/>
    <n v="0"/>
    <n v="0"/>
    <n v="0"/>
    <n v="2"/>
    <n v="6"/>
    <n v="0"/>
    <n v="0"/>
    <n v="3"/>
    <n v="0"/>
    <n v="0"/>
    <n v="0"/>
    <n v="0"/>
    <n v="0"/>
    <n v="0"/>
    <n v="0"/>
    <n v="3"/>
    <n v="3"/>
    <n v="0"/>
    <n v="0"/>
    <n v="3"/>
    <n v="0"/>
    <n v="0"/>
    <n v="0"/>
    <n v="0"/>
    <n v="0"/>
    <n v="1"/>
    <n v="1"/>
    <m/>
    <s v="&quot;KN&quot;"/>
    <x v="93"/>
    <n v="0"/>
    <n v="9"/>
    <n v="0"/>
    <n v="0"/>
    <n v="1"/>
    <n v="5"/>
    <n v="5"/>
    <n v="0"/>
    <n v="0"/>
    <n v="0"/>
  </r>
  <r>
    <x v="24"/>
    <n v="3"/>
    <n v="0"/>
    <n v="0"/>
    <n v="0"/>
    <n v="0"/>
    <n v="0"/>
    <n v="0"/>
    <n v="0"/>
    <n v="0"/>
    <n v="0"/>
    <n v="0"/>
    <n v="0"/>
    <n v="0"/>
    <n v="0"/>
    <n v="0"/>
    <n v="0"/>
    <n v="0"/>
    <n v="0"/>
    <n v="0"/>
    <n v="0"/>
    <n v="0"/>
    <n v="0"/>
    <n v="0"/>
    <n v="0"/>
    <n v="0"/>
    <n v="0"/>
    <n v="0"/>
    <n v="0"/>
    <n v="0"/>
    <n v="0"/>
    <n v="1"/>
    <n v="0"/>
    <m/>
    <s v="&quot;SS&quot;"/>
    <x v="94"/>
    <n v="0"/>
    <n v="0"/>
    <n v="0"/>
    <n v="0"/>
    <n v="1"/>
    <n v="0"/>
    <n v="0"/>
    <n v="0"/>
    <n v="0"/>
    <n v="0"/>
  </r>
  <r>
    <x v="24"/>
    <n v="3"/>
    <n v="0"/>
    <n v="0"/>
    <n v="0"/>
    <n v="0"/>
    <n v="0"/>
    <n v="0"/>
    <n v="0"/>
    <n v="0"/>
    <n v="0"/>
    <n v="0"/>
    <n v="0"/>
    <n v="0"/>
    <n v="0"/>
    <n v="0"/>
    <n v="0"/>
    <n v="0"/>
    <n v="0"/>
    <n v="0"/>
    <n v="0"/>
    <n v="0"/>
    <n v="0"/>
    <n v="0"/>
    <n v="0"/>
    <n v="0"/>
    <n v="0"/>
    <n v="0"/>
    <n v="0"/>
    <n v="0"/>
    <n v="0"/>
    <n v="1"/>
    <n v="0"/>
    <m/>
    <s v="&quot;MT&quot;"/>
    <x v="95"/>
    <n v="0"/>
    <n v="0"/>
    <n v="0"/>
    <n v="0"/>
    <n v="1"/>
    <n v="0"/>
    <n v="0"/>
    <n v="0"/>
    <n v="0"/>
    <n v="0"/>
  </r>
  <r>
    <x v="24"/>
    <n v="3"/>
    <n v="0"/>
    <n v="0"/>
    <n v="0"/>
    <n v="0"/>
    <n v="0"/>
    <n v="0"/>
    <n v="0"/>
    <n v="0"/>
    <n v="0"/>
    <n v="0"/>
    <n v="0"/>
    <n v="3"/>
    <n v="0"/>
    <n v="0"/>
    <n v="0"/>
    <n v="0"/>
    <n v="0"/>
    <n v="0"/>
    <n v="0"/>
    <n v="3"/>
    <n v="3"/>
    <n v="0"/>
    <n v="0"/>
    <n v="3"/>
    <n v="0"/>
    <n v="0"/>
    <n v="0"/>
    <n v="0"/>
    <n v="0"/>
    <n v="0"/>
    <n v="0"/>
    <m/>
    <s v="&quot;KN&quot;"/>
    <x v="96"/>
    <n v="0"/>
    <n v="3"/>
    <n v="0"/>
    <n v="0"/>
    <n v="1"/>
    <n v="3"/>
    <n v="3"/>
    <n v="0"/>
    <n v="0"/>
    <n v="0"/>
  </r>
  <r>
    <x v="24"/>
    <n v="3"/>
    <n v="0"/>
    <n v="0"/>
    <n v="0"/>
    <n v="0"/>
    <n v="0"/>
    <n v="0"/>
    <n v="0"/>
    <n v="0"/>
    <n v="0"/>
    <n v="0"/>
    <n v="0"/>
    <n v="0"/>
    <n v="0"/>
    <n v="0"/>
    <n v="0"/>
    <n v="0"/>
    <n v="0"/>
    <n v="0"/>
    <n v="0"/>
    <n v="0"/>
    <n v="0"/>
    <n v="0"/>
    <n v="0"/>
    <n v="0"/>
    <n v="0"/>
    <n v="0"/>
    <n v="0"/>
    <n v="0"/>
    <n v="1"/>
    <n v="0"/>
    <n v="0"/>
    <m/>
    <s v="&quot;KN&quot;"/>
    <x v="97"/>
    <n v="0"/>
    <n v="0"/>
    <n v="0"/>
    <n v="0"/>
    <n v="1"/>
    <n v="0"/>
    <n v="0"/>
    <n v="0"/>
    <n v="0"/>
    <n v="0"/>
  </r>
  <r>
    <x v="24"/>
    <n v="1"/>
    <n v="1"/>
    <n v="0"/>
    <n v="0"/>
    <n v="0"/>
    <n v="0"/>
    <n v="1"/>
    <n v="0"/>
    <n v="1"/>
    <n v="4"/>
    <n v="0"/>
    <n v="0"/>
    <n v="5"/>
    <n v="0"/>
    <n v="0"/>
    <n v="0"/>
    <n v="0"/>
    <n v="0"/>
    <n v="0"/>
    <n v="0"/>
    <n v="5"/>
    <n v="5"/>
    <n v="0"/>
    <n v="0"/>
    <n v="5"/>
    <n v="0"/>
    <n v="0"/>
    <n v="0"/>
    <n v="0"/>
    <n v="0"/>
    <n v="0"/>
    <n v="0"/>
    <m/>
    <s v="&quot;MT&quot;"/>
    <x v="3"/>
    <n v="0"/>
    <n v="9"/>
    <n v="1"/>
    <n v="0"/>
    <n v="0"/>
    <n v="6"/>
    <n v="6"/>
    <n v="0"/>
    <n v="0"/>
    <n v="0"/>
  </r>
  <r>
    <x v="24"/>
    <n v="3"/>
    <n v="0"/>
    <n v="0"/>
    <n v="0"/>
    <n v="0"/>
    <n v="0"/>
    <n v="1"/>
    <n v="0"/>
    <n v="0"/>
    <n v="1"/>
    <n v="2"/>
    <n v="0"/>
    <n v="0"/>
    <n v="0"/>
    <n v="0"/>
    <n v="0"/>
    <n v="0"/>
    <n v="0"/>
    <n v="0"/>
    <n v="0"/>
    <n v="2"/>
    <n v="2"/>
    <n v="0"/>
    <n v="0"/>
    <n v="6"/>
    <n v="0"/>
    <n v="0"/>
    <n v="0"/>
    <n v="0"/>
    <n v="0"/>
    <n v="0"/>
    <n v="0"/>
    <m/>
    <s v="&quot;MT&quot;"/>
    <x v="3"/>
    <n v="0"/>
    <n v="7"/>
    <n v="0"/>
    <n v="0"/>
    <n v="1"/>
    <n v="2"/>
    <n v="2"/>
    <n v="0"/>
    <n v="0"/>
    <n v="0"/>
  </r>
  <r>
    <x v="25"/>
    <n v="1"/>
    <n v="2"/>
    <n v="0"/>
    <n v="0"/>
    <n v="0"/>
    <n v="0"/>
    <n v="1"/>
    <n v="0"/>
    <n v="2"/>
    <n v="7"/>
    <n v="0"/>
    <n v="0"/>
    <n v="0"/>
    <n v="0"/>
    <n v="0"/>
    <n v="0"/>
    <n v="0"/>
    <n v="0"/>
    <n v="0"/>
    <n v="0"/>
    <n v="0"/>
    <n v="0"/>
    <n v="0"/>
    <n v="0"/>
    <n v="0"/>
    <n v="0"/>
    <n v="0"/>
    <n v="0"/>
    <n v="0"/>
    <n v="0"/>
    <n v="0"/>
    <n v="0"/>
    <m/>
    <s v="&quot;KN&quot;"/>
    <x v="98"/>
    <n v="0"/>
    <n v="7"/>
    <n v="1"/>
    <n v="0"/>
    <n v="0"/>
    <n v="2"/>
    <n v="2"/>
    <n v="0"/>
    <n v="0"/>
    <n v="0"/>
  </r>
  <r>
    <x v="25"/>
    <n v="2"/>
    <n v="0"/>
    <n v="0"/>
    <n v="0"/>
    <n v="0"/>
    <n v="0"/>
    <n v="1"/>
    <n v="0"/>
    <n v="0"/>
    <n v="1"/>
    <n v="0"/>
    <n v="0"/>
    <n v="0"/>
    <n v="0"/>
    <n v="0"/>
    <n v="0"/>
    <n v="0"/>
    <n v="0"/>
    <n v="0"/>
    <n v="0"/>
    <n v="0"/>
    <n v="0"/>
    <n v="0"/>
    <n v="0"/>
    <n v="0"/>
    <n v="0"/>
    <n v="0"/>
    <n v="0"/>
    <n v="0"/>
    <n v="0"/>
    <n v="0"/>
    <n v="0"/>
    <m/>
    <s v="&quot;KN&quot;"/>
    <x v="99"/>
    <n v="0"/>
    <n v="1"/>
    <n v="0"/>
    <n v="1"/>
    <n v="0"/>
    <n v="0"/>
    <n v="0"/>
    <n v="0"/>
    <n v="0"/>
    <n v="0"/>
  </r>
  <r>
    <x v="25"/>
    <n v="3"/>
    <n v="2"/>
    <n v="0"/>
    <n v="0"/>
    <n v="0"/>
    <n v="0"/>
    <n v="0"/>
    <n v="0"/>
    <n v="2"/>
    <n v="6"/>
    <n v="0"/>
    <n v="0"/>
    <n v="1"/>
    <n v="0"/>
    <n v="0"/>
    <n v="0"/>
    <n v="0"/>
    <n v="0"/>
    <n v="0"/>
    <n v="0"/>
    <n v="1"/>
    <n v="1"/>
    <n v="0"/>
    <n v="0"/>
    <n v="1"/>
    <n v="0"/>
    <n v="0"/>
    <n v="0"/>
    <n v="0"/>
    <n v="0"/>
    <n v="0"/>
    <n v="0"/>
    <m/>
    <s v="&quot;MB&quot;"/>
    <x v="3"/>
    <n v="0"/>
    <n v="7"/>
    <n v="0"/>
    <n v="0"/>
    <n v="1"/>
    <n v="3"/>
    <n v="3"/>
    <n v="0"/>
    <n v="0"/>
    <n v="0"/>
  </r>
  <r>
    <x v="25"/>
    <n v="2"/>
    <n v="3"/>
    <n v="0"/>
    <n v="0"/>
    <n v="0"/>
    <n v="0"/>
    <n v="1"/>
    <n v="0"/>
    <n v="3"/>
    <n v="10"/>
    <n v="0"/>
    <n v="0"/>
    <n v="1"/>
    <n v="0"/>
    <n v="0"/>
    <n v="0"/>
    <n v="0"/>
    <n v="0"/>
    <n v="0"/>
    <n v="0"/>
    <n v="1"/>
    <n v="1"/>
    <n v="0"/>
    <n v="0"/>
    <n v="1"/>
    <n v="0"/>
    <n v="0"/>
    <n v="0"/>
    <n v="0"/>
    <n v="0"/>
    <n v="0"/>
    <n v="0"/>
    <m/>
    <s v="&quot;KV&quot;"/>
    <x v="3"/>
    <n v="0"/>
    <n v="11"/>
    <n v="0"/>
    <n v="1"/>
    <n v="0"/>
    <n v="4"/>
    <n v="4"/>
    <n v="0"/>
    <n v="0"/>
    <n v="0"/>
  </r>
  <r>
    <x v="25"/>
    <n v="3"/>
    <n v="2"/>
    <n v="0"/>
    <n v="0"/>
    <n v="0"/>
    <n v="0"/>
    <n v="1"/>
    <n v="0"/>
    <n v="2"/>
    <n v="7"/>
    <n v="0"/>
    <n v="0"/>
    <n v="2"/>
    <n v="0"/>
    <n v="0"/>
    <n v="0"/>
    <n v="0"/>
    <n v="0"/>
    <n v="0"/>
    <n v="0"/>
    <n v="2"/>
    <n v="2"/>
    <n v="0"/>
    <n v="0"/>
    <n v="2"/>
    <n v="0"/>
    <n v="0"/>
    <n v="0"/>
    <n v="0"/>
    <n v="0"/>
    <n v="0"/>
    <n v="0"/>
    <m/>
    <s v="&quot;RS&quot;"/>
    <x v="100"/>
    <n v="0"/>
    <n v="9"/>
    <n v="0"/>
    <n v="0"/>
    <n v="1"/>
    <n v="4"/>
    <n v="4"/>
    <n v="0"/>
    <n v="0"/>
    <n v="0"/>
  </r>
  <r>
    <x v="26"/>
    <n v="2"/>
    <n v="0"/>
    <n v="0"/>
    <n v="0"/>
    <n v="0"/>
    <n v="0"/>
    <n v="1"/>
    <n v="0"/>
    <n v="0"/>
    <n v="1"/>
    <n v="0"/>
    <n v="0"/>
    <n v="0"/>
    <n v="0"/>
    <n v="0"/>
    <n v="0"/>
    <n v="0"/>
    <n v="0"/>
    <n v="0"/>
    <n v="0"/>
    <n v="0"/>
    <n v="0"/>
    <n v="0"/>
    <n v="0"/>
    <n v="0"/>
    <n v="0"/>
    <n v="0"/>
    <n v="0"/>
    <n v="0"/>
    <n v="0"/>
    <n v="1"/>
    <n v="0"/>
    <m/>
    <s v="&quot;KN&quot;"/>
    <x v="101"/>
    <n v="0"/>
    <n v="1"/>
    <n v="0"/>
    <n v="1"/>
    <n v="0"/>
    <n v="0"/>
    <n v="0"/>
    <n v="0"/>
    <n v="0"/>
    <n v="0"/>
  </r>
  <r>
    <x v="26"/>
    <n v="2"/>
    <n v="0"/>
    <n v="0"/>
    <n v="0"/>
    <n v="0"/>
    <n v="0"/>
    <n v="1"/>
    <n v="0"/>
    <n v="0"/>
    <n v="1"/>
    <n v="0"/>
    <n v="0"/>
    <n v="0"/>
    <n v="0"/>
    <n v="0"/>
    <n v="1"/>
    <n v="0"/>
    <n v="0"/>
    <n v="0"/>
    <n v="2.5"/>
    <n v="0"/>
    <n v="0"/>
    <n v="0"/>
    <n v="1"/>
    <n v="7"/>
    <n v="0"/>
    <n v="0"/>
    <n v="0"/>
    <n v="0"/>
    <n v="1"/>
    <n v="0"/>
    <n v="0"/>
    <m/>
    <s v="&quot;KV&quot;"/>
    <x v="102"/>
    <n v="0"/>
    <n v="8"/>
    <n v="0"/>
    <n v="1"/>
    <n v="0"/>
    <n v="0"/>
    <n v="0"/>
    <n v="0"/>
    <n v="0"/>
    <n v="0"/>
  </r>
  <r>
    <x v="26"/>
    <n v="3"/>
    <n v="3"/>
    <n v="0"/>
    <n v="0"/>
    <n v="0"/>
    <n v="0"/>
    <n v="1"/>
    <n v="0"/>
    <n v="3"/>
    <n v="10"/>
    <n v="0"/>
    <n v="0"/>
    <n v="2"/>
    <n v="0"/>
    <n v="0"/>
    <n v="0"/>
    <n v="0"/>
    <n v="0"/>
    <n v="0"/>
    <n v="0"/>
    <n v="2"/>
    <n v="2"/>
    <n v="0"/>
    <n v="0"/>
    <n v="2"/>
    <n v="0"/>
    <n v="0"/>
    <n v="0"/>
    <n v="0"/>
    <n v="0"/>
    <n v="0"/>
    <n v="0"/>
    <m/>
    <s v="&quot;KV&quot;"/>
    <x v="3"/>
    <n v="0"/>
    <n v="12"/>
    <n v="0"/>
    <n v="0"/>
    <n v="1"/>
    <n v="5"/>
    <n v="5"/>
    <n v="0"/>
    <n v="0"/>
    <n v="0"/>
  </r>
  <r>
    <x v="26"/>
    <n v="2"/>
    <n v="0"/>
    <n v="0"/>
    <n v="0"/>
    <n v="0"/>
    <n v="0"/>
    <n v="1"/>
    <n v="0"/>
    <n v="0"/>
    <n v="1"/>
    <n v="0"/>
    <n v="1"/>
    <n v="3"/>
    <n v="0"/>
    <n v="0"/>
    <n v="0"/>
    <n v="0"/>
    <n v="0"/>
    <n v="0"/>
    <n v="0"/>
    <n v="4"/>
    <n v="4"/>
    <n v="0"/>
    <n v="0"/>
    <n v="5"/>
    <n v="0"/>
    <n v="0"/>
    <n v="0"/>
    <n v="0"/>
    <n v="0"/>
    <n v="0"/>
    <n v="0"/>
    <m/>
    <s v="&quot;RS&quot;"/>
    <x v="3"/>
    <n v="0"/>
    <n v="6"/>
    <n v="0"/>
    <n v="1"/>
    <n v="0"/>
    <n v="4"/>
    <n v="4"/>
    <n v="0"/>
    <n v="0"/>
    <n v="0"/>
  </r>
  <r>
    <x v="26"/>
    <n v="2"/>
    <n v="2"/>
    <n v="0"/>
    <n v="0"/>
    <n v="0"/>
    <n v="0"/>
    <n v="1"/>
    <n v="0"/>
    <n v="2"/>
    <n v="7"/>
    <n v="0"/>
    <n v="0"/>
    <n v="2"/>
    <n v="0"/>
    <n v="0"/>
    <n v="0"/>
    <n v="0"/>
    <n v="0"/>
    <n v="0"/>
    <n v="0"/>
    <n v="2"/>
    <n v="2"/>
    <n v="0"/>
    <n v="0"/>
    <n v="2"/>
    <n v="0"/>
    <n v="0"/>
    <n v="0"/>
    <n v="0"/>
    <n v="0"/>
    <n v="0"/>
    <n v="0"/>
    <m/>
    <s v="&quot;RS&quot;"/>
    <x v="3"/>
    <n v="0"/>
    <n v="9"/>
    <n v="0"/>
    <n v="1"/>
    <n v="0"/>
    <n v="4"/>
    <n v="4"/>
    <n v="0"/>
    <n v="0"/>
    <n v="0"/>
  </r>
  <r>
    <x v="26"/>
    <n v="1"/>
    <n v="2"/>
    <n v="0"/>
    <n v="0"/>
    <n v="0"/>
    <n v="0"/>
    <n v="1"/>
    <n v="0"/>
    <n v="2"/>
    <n v="7"/>
    <n v="0"/>
    <n v="0"/>
    <n v="0"/>
    <n v="0"/>
    <n v="0"/>
    <n v="0"/>
    <n v="0"/>
    <n v="0"/>
    <n v="0"/>
    <n v="0"/>
    <n v="0"/>
    <n v="0"/>
    <n v="0"/>
    <n v="0"/>
    <n v="0"/>
    <n v="0"/>
    <n v="0"/>
    <n v="0"/>
    <n v="0"/>
    <n v="0"/>
    <n v="0"/>
    <n v="0"/>
    <m/>
    <s v="&quot;MT&quot;"/>
    <x v="3"/>
    <n v="0"/>
    <n v="7"/>
    <n v="1"/>
    <n v="0"/>
    <n v="0"/>
    <n v="2"/>
    <n v="2"/>
    <n v="0"/>
    <n v="0"/>
    <n v="0"/>
  </r>
  <r>
    <x v="26"/>
    <n v="3"/>
    <n v="0"/>
    <n v="0"/>
    <n v="0"/>
    <n v="0"/>
    <n v="0"/>
    <n v="1"/>
    <n v="0"/>
    <n v="0"/>
    <n v="1"/>
    <n v="0"/>
    <n v="0"/>
    <n v="0"/>
    <n v="0"/>
    <n v="0"/>
    <n v="0"/>
    <n v="0"/>
    <n v="0"/>
    <n v="0"/>
    <n v="2.5"/>
    <n v="0"/>
    <n v="0"/>
    <n v="0"/>
    <n v="0"/>
    <n v="5"/>
    <n v="0"/>
    <n v="0"/>
    <n v="0"/>
    <n v="0"/>
    <n v="0"/>
    <n v="0"/>
    <n v="0"/>
    <m/>
    <s v="&quot;MT&quot;"/>
    <x v="103"/>
    <n v="0"/>
    <n v="6"/>
    <n v="0"/>
    <n v="0"/>
    <n v="1"/>
    <n v="0"/>
    <n v="0"/>
    <n v="0"/>
    <n v="0"/>
    <n v="0"/>
  </r>
  <r>
    <x v="27"/>
    <n v="2"/>
    <n v="0"/>
    <n v="0"/>
    <n v="0"/>
    <n v="0"/>
    <n v="0"/>
    <n v="0"/>
    <n v="0"/>
    <n v="0"/>
    <n v="0"/>
    <n v="0"/>
    <n v="0"/>
    <n v="0"/>
    <n v="0"/>
    <n v="0"/>
    <n v="0"/>
    <n v="0"/>
    <n v="0"/>
    <n v="0"/>
    <n v="0"/>
    <n v="0"/>
    <n v="0"/>
    <n v="0"/>
    <n v="0"/>
    <n v="0"/>
    <n v="0"/>
    <n v="0"/>
    <n v="0"/>
    <n v="0"/>
    <n v="0"/>
    <n v="0"/>
    <n v="0"/>
    <m/>
    <s v="&quot;MT&quot;"/>
    <x v="104"/>
    <n v="0"/>
    <n v="0"/>
    <n v="0"/>
    <n v="1"/>
    <n v="0"/>
    <n v="0"/>
    <n v="0"/>
    <n v="0"/>
    <n v="0"/>
    <n v="0"/>
  </r>
  <r>
    <x v="27"/>
    <n v="1"/>
    <n v="0"/>
    <n v="0"/>
    <n v="0"/>
    <n v="0"/>
    <n v="0"/>
    <n v="0"/>
    <n v="0"/>
    <n v="0"/>
    <n v="0"/>
    <n v="0"/>
    <n v="0"/>
    <n v="0"/>
    <n v="0"/>
    <n v="0"/>
    <n v="0"/>
    <n v="0"/>
    <n v="0"/>
    <n v="0"/>
    <n v="1"/>
    <n v="0"/>
    <n v="0"/>
    <n v="0"/>
    <n v="0"/>
    <n v="2"/>
    <n v="0"/>
    <n v="0"/>
    <n v="0"/>
    <n v="0"/>
    <n v="0"/>
    <n v="0"/>
    <n v="0"/>
    <m/>
    <s v="&quot;&quot;"/>
    <x v="3"/>
    <n v="0"/>
    <n v="2"/>
    <n v="1"/>
    <n v="0"/>
    <n v="0"/>
    <n v="0"/>
    <n v="0"/>
    <n v="0"/>
    <n v="0"/>
    <n v="0"/>
  </r>
  <r>
    <x v="27"/>
    <n v="1"/>
    <n v="0"/>
    <n v="0"/>
    <n v="0"/>
    <n v="0"/>
    <n v="0"/>
    <n v="0"/>
    <n v="0"/>
    <n v="0"/>
    <n v="0"/>
    <n v="0"/>
    <n v="1"/>
    <n v="0"/>
    <n v="0"/>
    <n v="0"/>
    <n v="0"/>
    <n v="0"/>
    <n v="0"/>
    <n v="0"/>
    <n v="0"/>
    <n v="1"/>
    <n v="1"/>
    <n v="0"/>
    <n v="0"/>
    <n v="2"/>
    <n v="0"/>
    <n v="0"/>
    <n v="0"/>
    <n v="0"/>
    <n v="0"/>
    <n v="0"/>
    <n v="0"/>
    <m/>
    <s v="&quot;MB&quot;"/>
    <x v="105"/>
    <n v="0"/>
    <n v="2"/>
    <n v="1"/>
    <n v="0"/>
    <n v="0"/>
    <n v="1"/>
    <n v="1"/>
    <n v="0"/>
    <n v="0"/>
    <n v="0"/>
  </r>
  <r>
    <x v="27"/>
    <n v="1"/>
    <n v="0"/>
    <n v="0"/>
    <n v="0"/>
    <n v="0"/>
    <n v="0"/>
    <n v="0"/>
    <n v="0"/>
    <n v="0"/>
    <n v="0"/>
    <n v="0"/>
    <n v="0"/>
    <n v="1"/>
    <n v="0"/>
    <n v="0"/>
    <n v="0"/>
    <n v="0"/>
    <n v="0"/>
    <n v="0"/>
    <n v="0"/>
    <n v="1"/>
    <n v="1"/>
    <n v="0"/>
    <n v="0"/>
    <n v="1"/>
    <n v="0"/>
    <n v="0"/>
    <n v="0"/>
    <n v="0"/>
    <n v="0"/>
    <n v="0"/>
    <n v="0"/>
    <m/>
    <s v="&quot;KN &quot;"/>
    <x v="106"/>
    <n v="0"/>
    <n v="1"/>
    <n v="1"/>
    <n v="0"/>
    <n v="0"/>
    <n v="1"/>
    <n v="1"/>
    <n v="0"/>
    <n v="0"/>
    <n v="0"/>
  </r>
  <r>
    <x v="27"/>
    <n v="1"/>
    <n v="0"/>
    <n v="0"/>
    <n v="0"/>
    <n v="0"/>
    <n v="0"/>
    <n v="0"/>
    <n v="0"/>
    <n v="0"/>
    <n v="0"/>
    <n v="0"/>
    <n v="0"/>
    <n v="0"/>
    <n v="0"/>
    <n v="0"/>
    <n v="0"/>
    <n v="0"/>
    <n v="0"/>
    <n v="0"/>
    <n v="0"/>
    <n v="0"/>
    <n v="0"/>
    <n v="0"/>
    <n v="0"/>
    <n v="0"/>
    <n v="0"/>
    <n v="0"/>
    <n v="0"/>
    <n v="0"/>
    <n v="0"/>
    <n v="0"/>
    <n v="0"/>
    <m/>
    <s v="&quot;MT&quot;"/>
    <x v="3"/>
    <n v="0"/>
    <n v="0"/>
    <n v="1"/>
    <n v="0"/>
    <n v="0"/>
    <n v="0"/>
    <n v="0"/>
    <n v="0"/>
    <n v="0"/>
    <n v="0"/>
  </r>
  <r>
    <x v="28"/>
    <n v="1"/>
    <n v="0"/>
    <n v="0"/>
    <n v="0"/>
    <n v="0"/>
    <n v="0"/>
    <n v="0"/>
    <n v="0"/>
    <n v="0"/>
    <n v="0"/>
    <n v="0"/>
    <n v="0"/>
    <n v="0"/>
    <n v="0"/>
    <n v="0"/>
    <n v="0"/>
    <n v="0"/>
    <n v="0"/>
    <n v="0"/>
    <n v="0"/>
    <n v="0"/>
    <n v="0"/>
    <n v="0"/>
    <n v="0"/>
    <n v="0"/>
    <n v="0"/>
    <n v="0"/>
    <n v="0"/>
    <n v="0"/>
    <n v="0"/>
    <n v="1"/>
    <n v="0"/>
    <m/>
    <s v="&quot;LL&quot;"/>
    <x v="3"/>
    <n v="0"/>
    <n v="0"/>
    <n v="1"/>
    <n v="0"/>
    <n v="0"/>
    <n v="0"/>
    <n v="0"/>
    <n v="0"/>
    <n v="0"/>
    <n v="0"/>
  </r>
  <r>
    <x v="28"/>
    <n v="1"/>
    <n v="0"/>
    <n v="0"/>
    <n v="0"/>
    <n v="0"/>
    <n v="0"/>
    <n v="0"/>
    <n v="0"/>
    <n v="0"/>
    <n v="0"/>
    <n v="0"/>
    <n v="0"/>
    <n v="2"/>
    <n v="0"/>
    <n v="0"/>
    <n v="0"/>
    <n v="0"/>
    <n v="0"/>
    <n v="0"/>
    <n v="0"/>
    <n v="2"/>
    <n v="2"/>
    <n v="0"/>
    <n v="0"/>
    <n v="2"/>
    <n v="0"/>
    <n v="0"/>
    <n v="0"/>
    <n v="0"/>
    <n v="1"/>
    <n v="0"/>
    <n v="0"/>
    <m/>
    <s v="&quot;KV&quot;"/>
    <x v="107"/>
    <n v="0"/>
    <n v="2"/>
    <n v="1"/>
    <n v="0"/>
    <n v="0"/>
    <n v="2"/>
    <n v="2"/>
    <n v="0"/>
    <n v="0"/>
    <n v="0"/>
  </r>
  <r>
    <x v="28"/>
    <n v="1"/>
    <n v="0"/>
    <n v="0"/>
    <n v="0"/>
    <n v="0"/>
    <n v="0"/>
    <n v="1"/>
    <n v="0"/>
    <n v="0"/>
    <n v="1"/>
    <n v="0"/>
    <n v="0"/>
    <n v="0"/>
    <n v="0"/>
    <n v="0"/>
    <n v="0"/>
    <n v="0"/>
    <n v="0"/>
    <n v="0"/>
    <n v="0"/>
    <n v="0"/>
    <n v="0"/>
    <n v="0"/>
    <n v="0"/>
    <n v="0"/>
    <n v="0"/>
    <n v="0"/>
    <n v="0"/>
    <n v="0"/>
    <n v="0"/>
    <n v="1"/>
    <n v="0"/>
    <m/>
    <s v="&quot;KV&quot;"/>
    <x v="108"/>
    <n v="0"/>
    <n v="1"/>
    <n v="1"/>
    <n v="0"/>
    <n v="0"/>
    <n v="0"/>
    <n v="0"/>
    <n v="0"/>
    <n v="0"/>
    <n v="0"/>
  </r>
  <r>
    <x v="28"/>
    <n v="2"/>
    <n v="0"/>
    <n v="0"/>
    <n v="0"/>
    <n v="0"/>
    <n v="0"/>
    <n v="1"/>
    <n v="0"/>
    <n v="0"/>
    <n v="1"/>
    <n v="0"/>
    <n v="3"/>
    <n v="0"/>
    <n v="0"/>
    <n v="0"/>
    <n v="0"/>
    <n v="0"/>
    <n v="0"/>
    <n v="0"/>
    <n v="0"/>
    <n v="3"/>
    <n v="3"/>
    <n v="0"/>
    <n v="0"/>
    <n v="6"/>
    <n v="0"/>
    <n v="0"/>
    <n v="0"/>
    <n v="0"/>
    <n v="0"/>
    <n v="0"/>
    <n v="0"/>
    <m/>
    <s v="&quot;KV&quot;"/>
    <x v="3"/>
    <n v="0"/>
    <n v="7"/>
    <n v="0"/>
    <n v="1"/>
    <n v="0"/>
    <n v="3"/>
    <n v="3"/>
    <n v="0"/>
    <n v="0"/>
    <n v="0"/>
  </r>
  <r>
    <x v="28"/>
    <n v="1"/>
    <n v="0"/>
    <n v="0"/>
    <n v="0"/>
    <n v="0"/>
    <n v="0"/>
    <n v="0"/>
    <n v="0"/>
    <n v="0"/>
    <n v="0"/>
    <n v="0"/>
    <n v="0"/>
    <n v="0"/>
    <n v="0"/>
    <n v="0"/>
    <n v="0"/>
    <n v="0"/>
    <n v="0"/>
    <n v="0"/>
    <n v="0"/>
    <n v="0"/>
    <n v="0"/>
    <n v="0"/>
    <n v="0"/>
    <n v="0"/>
    <n v="0"/>
    <n v="0"/>
    <n v="0"/>
    <n v="0"/>
    <n v="0"/>
    <n v="1"/>
    <n v="0"/>
    <m/>
    <s v="&quot;MB&quot;"/>
    <x v="109"/>
    <n v="0"/>
    <n v="0"/>
    <n v="1"/>
    <n v="0"/>
    <n v="0"/>
    <n v="0"/>
    <n v="0"/>
    <n v="0"/>
    <n v="0"/>
    <n v="0"/>
  </r>
  <r>
    <x v="28"/>
    <n v="2"/>
    <n v="0"/>
    <n v="0"/>
    <n v="0"/>
    <n v="0"/>
    <n v="0"/>
    <n v="1"/>
    <n v="0"/>
    <n v="0"/>
    <n v="1"/>
    <n v="0"/>
    <n v="3"/>
    <n v="2"/>
    <n v="0"/>
    <n v="0"/>
    <n v="0"/>
    <n v="0"/>
    <n v="0"/>
    <n v="0"/>
    <n v="0"/>
    <n v="5"/>
    <n v="5"/>
    <n v="0"/>
    <n v="0"/>
    <n v="8"/>
    <n v="0"/>
    <n v="0"/>
    <n v="0"/>
    <n v="0"/>
    <n v="0"/>
    <n v="0"/>
    <n v="0"/>
    <m/>
    <s v="&quot;RS&quot;"/>
    <x v="110"/>
    <n v="0"/>
    <n v="9"/>
    <n v="0"/>
    <n v="1"/>
    <n v="0"/>
    <n v="5"/>
    <n v="5"/>
    <n v="0"/>
    <n v="0"/>
    <n v="0"/>
  </r>
  <r>
    <x v="28"/>
    <n v="1"/>
    <n v="0"/>
    <n v="0"/>
    <n v="0"/>
    <n v="0"/>
    <n v="0"/>
    <n v="1"/>
    <n v="0"/>
    <n v="0"/>
    <n v="1"/>
    <n v="0"/>
    <n v="0"/>
    <n v="8"/>
    <n v="0"/>
    <n v="0"/>
    <n v="0"/>
    <n v="0"/>
    <n v="0"/>
    <n v="0"/>
    <n v="0"/>
    <n v="8"/>
    <n v="8"/>
    <n v="0"/>
    <n v="0"/>
    <n v="8"/>
    <n v="0"/>
    <n v="0"/>
    <n v="0"/>
    <n v="0"/>
    <n v="0"/>
    <n v="0"/>
    <n v="0"/>
    <m/>
    <s v="&quot;KN&quot;"/>
    <x v="111"/>
    <n v="0"/>
    <n v="9"/>
    <n v="1"/>
    <n v="0"/>
    <n v="0"/>
    <n v="8"/>
    <n v="8"/>
    <n v="0"/>
    <n v="0"/>
    <n v="0"/>
  </r>
  <r>
    <x v="29"/>
    <n v="1"/>
    <n v="0"/>
    <n v="0"/>
    <n v="0"/>
    <n v="0"/>
    <n v="0"/>
    <n v="0"/>
    <n v="0"/>
    <n v="0"/>
    <n v="0"/>
    <n v="0"/>
    <n v="0"/>
    <n v="0"/>
    <n v="0"/>
    <n v="0"/>
    <n v="0"/>
    <n v="0"/>
    <n v="0"/>
    <n v="0"/>
    <n v="0"/>
    <n v="0"/>
    <n v="0"/>
    <n v="0"/>
    <n v="0"/>
    <n v="0"/>
    <n v="0"/>
    <n v="0"/>
    <n v="0"/>
    <n v="0"/>
    <n v="0"/>
    <n v="1"/>
    <n v="0"/>
    <m/>
    <s v="&quot;RS&quot;"/>
    <x v="112"/>
    <n v="0"/>
    <n v="0"/>
    <n v="1"/>
    <n v="0"/>
    <n v="0"/>
    <n v="0"/>
    <n v="0"/>
    <n v="0"/>
    <n v="0"/>
    <n v="0"/>
  </r>
  <r>
    <x v="29"/>
    <n v="1"/>
    <n v="3"/>
    <n v="0"/>
    <n v="0"/>
    <n v="0"/>
    <n v="0"/>
    <n v="1"/>
    <n v="0"/>
    <n v="3"/>
    <n v="10"/>
    <n v="0"/>
    <n v="2"/>
    <n v="0"/>
    <n v="0"/>
    <n v="0"/>
    <n v="0"/>
    <n v="0"/>
    <n v="0"/>
    <n v="0"/>
    <n v="0"/>
    <n v="2"/>
    <n v="2"/>
    <n v="0"/>
    <n v="0"/>
    <n v="4"/>
    <n v="0"/>
    <n v="0"/>
    <n v="0"/>
    <n v="0"/>
    <n v="0"/>
    <n v="0"/>
    <n v="0"/>
    <m/>
    <s v="&quot;RS&quot;"/>
    <x v="3"/>
    <n v="0"/>
    <n v="14"/>
    <n v="1"/>
    <n v="0"/>
    <n v="0"/>
    <n v="5"/>
    <n v="5"/>
    <n v="0"/>
    <n v="0"/>
    <n v="0"/>
  </r>
  <r>
    <x v="29"/>
    <n v="1"/>
    <n v="1"/>
    <n v="0"/>
    <n v="0"/>
    <n v="0"/>
    <n v="0"/>
    <n v="1"/>
    <n v="0"/>
    <n v="1"/>
    <n v="4"/>
    <n v="0"/>
    <n v="0"/>
    <n v="0"/>
    <n v="0"/>
    <n v="0"/>
    <n v="0"/>
    <n v="0"/>
    <n v="0"/>
    <n v="0"/>
    <n v="0"/>
    <n v="0"/>
    <n v="0"/>
    <n v="0"/>
    <n v="0"/>
    <n v="0"/>
    <n v="0"/>
    <n v="0"/>
    <n v="0"/>
    <n v="0"/>
    <n v="0"/>
    <n v="0"/>
    <n v="0"/>
    <m/>
    <s v="&quot;MT&quot;"/>
    <x v="113"/>
    <n v="0"/>
    <n v="4"/>
    <n v="1"/>
    <n v="0"/>
    <n v="0"/>
    <n v="1"/>
    <n v="1"/>
    <n v="0"/>
    <n v="0"/>
    <n v="0"/>
  </r>
  <r>
    <x v="29"/>
    <n v="2"/>
    <n v="0"/>
    <n v="0"/>
    <n v="0"/>
    <n v="0"/>
    <n v="0"/>
    <n v="0"/>
    <n v="0"/>
    <n v="0"/>
    <n v="0"/>
    <n v="0"/>
    <n v="0"/>
    <n v="0"/>
    <n v="0"/>
    <n v="0"/>
    <n v="0"/>
    <n v="0"/>
    <n v="0"/>
    <n v="0"/>
    <n v="0"/>
    <n v="0"/>
    <n v="0"/>
    <n v="0"/>
    <n v="0"/>
    <n v="0"/>
    <n v="0"/>
    <n v="0"/>
    <n v="0"/>
    <n v="0"/>
    <n v="0"/>
    <n v="0"/>
    <n v="0"/>
    <m/>
    <s v="&quot;KV&quot;"/>
    <x v="114"/>
    <n v="0"/>
    <n v="0"/>
    <n v="0"/>
    <n v="1"/>
    <n v="0"/>
    <n v="0"/>
    <n v="0"/>
    <n v="0"/>
    <n v="0"/>
    <n v="0"/>
  </r>
  <r>
    <x v="29"/>
    <n v="1"/>
    <n v="1"/>
    <n v="0"/>
    <n v="0"/>
    <n v="0"/>
    <n v="0"/>
    <n v="1"/>
    <n v="0"/>
    <n v="1"/>
    <n v="4"/>
    <n v="0"/>
    <n v="1"/>
    <n v="0"/>
    <n v="0"/>
    <n v="0"/>
    <n v="0"/>
    <n v="0"/>
    <n v="0"/>
    <n v="0"/>
    <n v="0"/>
    <n v="1"/>
    <n v="1"/>
    <n v="0"/>
    <n v="0"/>
    <n v="2"/>
    <n v="0"/>
    <n v="0"/>
    <n v="0"/>
    <n v="0"/>
    <n v="0"/>
    <n v="0"/>
    <n v="0"/>
    <m/>
    <s v="&quot;MT&quot;"/>
    <x v="115"/>
    <n v="0"/>
    <n v="6"/>
    <n v="1"/>
    <n v="0"/>
    <n v="0"/>
    <n v="2"/>
    <n v="2"/>
    <n v="0"/>
    <n v="0"/>
    <n v="0"/>
  </r>
  <r>
    <x v="29"/>
    <n v="1"/>
    <n v="3"/>
    <n v="0"/>
    <n v="0"/>
    <n v="0"/>
    <n v="0"/>
    <n v="1"/>
    <n v="0"/>
    <n v="3"/>
    <n v="10"/>
    <n v="0"/>
    <n v="0"/>
    <n v="0"/>
    <n v="0"/>
    <n v="0"/>
    <n v="0"/>
    <n v="0"/>
    <n v="0"/>
    <n v="0"/>
    <n v="0"/>
    <n v="0"/>
    <n v="0"/>
    <n v="0"/>
    <n v="0"/>
    <n v="0"/>
    <n v="0"/>
    <n v="0"/>
    <n v="0"/>
    <n v="0"/>
    <n v="0"/>
    <n v="0"/>
    <n v="0"/>
    <m/>
    <s v="&quot;KN&quot;"/>
    <x v="116"/>
    <n v="0"/>
    <n v="10"/>
    <n v="1"/>
    <n v="0"/>
    <n v="0"/>
    <n v="3"/>
    <n v="3"/>
    <n v="0"/>
    <n v="0"/>
    <n v="0"/>
  </r>
  <r>
    <x v="30"/>
    <n v="2"/>
    <n v="0"/>
    <n v="0"/>
    <n v="0"/>
    <n v="0"/>
    <n v="0"/>
    <n v="1"/>
    <n v="0"/>
    <n v="0"/>
    <n v="1"/>
    <n v="0"/>
    <n v="0"/>
    <n v="0"/>
    <n v="0"/>
    <n v="0"/>
    <n v="0"/>
    <n v="0"/>
    <n v="0"/>
    <n v="0"/>
    <n v="0"/>
    <n v="0"/>
    <n v="0"/>
    <n v="0"/>
    <n v="0"/>
    <n v="0"/>
    <n v="0"/>
    <n v="0"/>
    <n v="0"/>
    <n v="0"/>
    <n v="0"/>
    <n v="0"/>
    <n v="0"/>
    <m/>
    <s v="&quot;MB&quot;"/>
    <x v="34"/>
    <n v="0"/>
    <n v="1"/>
    <n v="0"/>
    <n v="1"/>
    <n v="0"/>
    <n v="0"/>
    <n v="0"/>
    <n v="0"/>
    <n v="0"/>
    <n v="0"/>
  </r>
  <r>
    <x v="30"/>
    <n v="2"/>
    <n v="3"/>
    <n v="0"/>
    <n v="0"/>
    <n v="0"/>
    <n v="0"/>
    <n v="1"/>
    <n v="0"/>
    <n v="3"/>
    <n v="10"/>
    <n v="0"/>
    <n v="0"/>
    <n v="0"/>
    <n v="0"/>
    <n v="0"/>
    <n v="0"/>
    <n v="0"/>
    <n v="0"/>
    <n v="0"/>
    <n v="0"/>
    <n v="0"/>
    <n v="0"/>
    <n v="0"/>
    <n v="0"/>
    <n v="0"/>
    <n v="0"/>
    <n v="0"/>
    <n v="0"/>
    <n v="0"/>
    <n v="0"/>
    <n v="0"/>
    <n v="0"/>
    <m/>
    <s v="&quot;MT&quot;"/>
    <x v="3"/>
    <n v="0"/>
    <n v="10"/>
    <n v="0"/>
    <n v="1"/>
    <n v="0"/>
    <n v="3"/>
    <n v="3"/>
    <n v="0"/>
    <n v="0"/>
    <n v="0"/>
  </r>
  <r>
    <x v="30"/>
    <n v="2"/>
    <n v="3"/>
    <n v="0"/>
    <n v="0"/>
    <n v="0"/>
    <n v="0"/>
    <n v="1"/>
    <n v="0"/>
    <n v="3"/>
    <n v="10"/>
    <n v="0"/>
    <n v="0"/>
    <n v="0"/>
    <n v="0"/>
    <n v="0"/>
    <n v="0"/>
    <n v="0"/>
    <n v="0"/>
    <n v="0"/>
    <n v="0"/>
    <n v="0"/>
    <n v="0"/>
    <n v="0"/>
    <n v="0"/>
    <n v="0"/>
    <n v="0"/>
    <n v="0"/>
    <n v="0"/>
    <n v="0"/>
    <n v="0"/>
    <n v="0"/>
    <n v="0"/>
    <m/>
    <s v="&quot;RS&quot;"/>
    <x v="3"/>
    <n v="0"/>
    <n v="10"/>
    <n v="0"/>
    <n v="1"/>
    <n v="0"/>
    <n v="3"/>
    <n v="3"/>
    <n v="0"/>
    <n v="0"/>
    <n v="0"/>
  </r>
  <r>
    <x v="30"/>
    <n v="3"/>
    <n v="3"/>
    <n v="0"/>
    <n v="0"/>
    <n v="0"/>
    <n v="0"/>
    <n v="1"/>
    <n v="0"/>
    <n v="3"/>
    <n v="10"/>
    <n v="3"/>
    <n v="0"/>
    <n v="0"/>
    <n v="0"/>
    <n v="0"/>
    <n v="0"/>
    <n v="0"/>
    <n v="0"/>
    <n v="0"/>
    <n v="0"/>
    <n v="3"/>
    <n v="3"/>
    <n v="0"/>
    <n v="0"/>
    <n v="9"/>
    <n v="0"/>
    <n v="0"/>
    <n v="0"/>
    <n v="0"/>
    <n v="0"/>
    <n v="0"/>
    <n v="0"/>
    <m/>
    <s v="&quot;MB&quot;"/>
    <x v="3"/>
    <n v="0"/>
    <n v="19"/>
    <n v="0"/>
    <n v="0"/>
    <n v="1"/>
    <n v="6"/>
    <n v="6"/>
    <n v="0"/>
    <n v="0"/>
    <n v="0"/>
  </r>
  <r>
    <x v="30"/>
    <n v="3"/>
    <n v="2"/>
    <n v="0"/>
    <n v="0"/>
    <n v="0"/>
    <n v="0"/>
    <n v="1"/>
    <n v="0"/>
    <n v="2"/>
    <n v="7"/>
    <n v="0"/>
    <n v="4"/>
    <n v="0"/>
    <n v="0"/>
    <n v="0"/>
    <n v="0"/>
    <n v="0"/>
    <n v="0"/>
    <n v="0"/>
    <n v="0"/>
    <n v="4"/>
    <n v="4"/>
    <n v="0"/>
    <n v="0"/>
    <n v="8"/>
    <n v="0"/>
    <n v="0"/>
    <n v="0"/>
    <n v="0"/>
    <n v="0"/>
    <n v="0"/>
    <n v="0"/>
    <m/>
    <s v="&quot;SS&quot;"/>
    <x v="3"/>
    <n v="0"/>
    <n v="15"/>
    <n v="0"/>
    <n v="0"/>
    <n v="1"/>
    <n v="6"/>
    <n v="6"/>
    <n v="0"/>
    <n v="0"/>
    <n v="0"/>
  </r>
  <r>
    <x v="30"/>
    <n v="2"/>
    <n v="3"/>
    <n v="0"/>
    <n v="0"/>
    <n v="0"/>
    <n v="0"/>
    <n v="1"/>
    <n v="0"/>
    <n v="3"/>
    <n v="10"/>
    <n v="3"/>
    <n v="3"/>
    <n v="0"/>
    <n v="0"/>
    <n v="0"/>
    <n v="0"/>
    <n v="0"/>
    <n v="0"/>
    <n v="0"/>
    <n v="0"/>
    <n v="6"/>
    <n v="6"/>
    <n v="0"/>
    <n v="0"/>
    <n v="15"/>
    <n v="0"/>
    <n v="0"/>
    <n v="0"/>
    <n v="0"/>
    <n v="0"/>
    <n v="0"/>
    <n v="0"/>
    <m/>
    <s v="&quot;KV&quot;"/>
    <x v="117"/>
    <n v="0"/>
    <n v="25"/>
    <n v="0"/>
    <n v="1"/>
    <n v="0"/>
    <n v="9"/>
    <n v="9"/>
    <n v="0"/>
    <n v="0"/>
    <n v="0"/>
  </r>
  <r>
    <x v="31"/>
    <n v="3"/>
    <n v="0"/>
    <n v="0"/>
    <n v="0"/>
    <n v="0"/>
    <n v="0"/>
    <n v="1"/>
    <n v="0"/>
    <n v="0"/>
    <n v="1"/>
    <n v="2"/>
    <n v="0"/>
    <n v="2"/>
    <n v="0"/>
    <n v="0"/>
    <n v="0"/>
    <n v="0"/>
    <n v="0"/>
    <n v="0"/>
    <n v="0"/>
    <n v="4"/>
    <n v="4"/>
    <n v="0"/>
    <n v="0"/>
    <n v="8"/>
    <n v="0"/>
    <n v="0"/>
    <n v="0"/>
    <n v="0"/>
    <n v="0"/>
    <n v="0"/>
    <n v="0"/>
    <m/>
    <s v="&quot;RS&quot;"/>
    <x v="118"/>
    <n v="0"/>
    <n v="9"/>
    <n v="0"/>
    <n v="0"/>
    <n v="1"/>
    <n v="4"/>
    <n v="4"/>
    <n v="0"/>
    <n v="0"/>
    <n v="0"/>
  </r>
  <r>
    <x v="31"/>
    <n v="1"/>
    <n v="0"/>
    <n v="0"/>
    <n v="0"/>
    <n v="0"/>
    <n v="0"/>
    <n v="1"/>
    <n v="0"/>
    <n v="0"/>
    <n v="1"/>
    <n v="0"/>
    <n v="0"/>
    <n v="0"/>
    <n v="0"/>
    <n v="0"/>
    <n v="0"/>
    <n v="0"/>
    <n v="0"/>
    <n v="0"/>
    <n v="0"/>
    <n v="0"/>
    <n v="0"/>
    <n v="0"/>
    <n v="0"/>
    <n v="0"/>
    <n v="0"/>
    <n v="0"/>
    <n v="0"/>
    <n v="0"/>
    <n v="0"/>
    <n v="0"/>
    <n v="0"/>
    <m/>
    <s v="&quot;RS&quot;"/>
    <x v="119"/>
    <n v="0"/>
    <n v="1"/>
    <n v="1"/>
    <n v="0"/>
    <n v="0"/>
    <n v="0"/>
    <n v="0"/>
    <n v="0"/>
    <n v="0"/>
    <n v="0"/>
  </r>
  <r>
    <x v="31"/>
    <n v="2"/>
    <n v="0"/>
    <n v="0"/>
    <n v="0"/>
    <n v="0"/>
    <n v="0"/>
    <n v="1"/>
    <n v="0"/>
    <n v="0"/>
    <n v="1"/>
    <n v="0"/>
    <n v="0"/>
    <n v="0"/>
    <n v="0"/>
    <n v="0"/>
    <n v="0"/>
    <n v="0"/>
    <n v="0"/>
    <n v="0"/>
    <n v="0"/>
    <n v="0"/>
    <n v="0"/>
    <n v="0"/>
    <n v="0"/>
    <n v="0"/>
    <n v="0"/>
    <n v="0"/>
    <n v="0"/>
    <n v="0"/>
    <n v="0"/>
    <n v="0"/>
    <n v="0"/>
    <m/>
    <s v="&quot;MT&quot;"/>
    <x v="120"/>
    <n v="0"/>
    <n v="1"/>
    <n v="0"/>
    <n v="1"/>
    <n v="0"/>
    <n v="0"/>
    <n v="0"/>
    <n v="0"/>
    <n v="0"/>
    <n v="0"/>
  </r>
  <r>
    <x v="31"/>
    <n v="3"/>
    <n v="4"/>
    <n v="0"/>
    <n v="0"/>
    <n v="0"/>
    <n v="0"/>
    <n v="0"/>
    <n v="0"/>
    <n v="4"/>
    <n v="12"/>
    <n v="0"/>
    <n v="0"/>
    <n v="1"/>
    <n v="0"/>
    <n v="0"/>
    <n v="0"/>
    <n v="0"/>
    <n v="0"/>
    <n v="0"/>
    <n v="0"/>
    <n v="1"/>
    <n v="1"/>
    <n v="0"/>
    <n v="0"/>
    <n v="1"/>
    <n v="0"/>
    <n v="0"/>
    <n v="0"/>
    <n v="0"/>
    <n v="0"/>
    <n v="0"/>
    <n v="0"/>
    <m/>
    <s v="&quot;KV&quot;"/>
    <x v="3"/>
    <n v="0"/>
    <n v="13"/>
    <n v="0"/>
    <n v="0"/>
    <n v="1"/>
    <n v="5"/>
    <n v="5"/>
    <n v="0"/>
    <n v="0"/>
    <n v="0"/>
  </r>
  <r>
    <x v="31"/>
    <n v="2"/>
    <n v="3"/>
    <n v="0"/>
    <n v="0"/>
    <n v="0"/>
    <n v="0"/>
    <n v="0"/>
    <n v="0"/>
    <n v="3"/>
    <n v="9"/>
    <n v="0"/>
    <n v="0"/>
    <n v="3"/>
    <n v="0"/>
    <n v="0"/>
    <n v="0"/>
    <n v="0"/>
    <n v="0"/>
    <n v="0"/>
    <n v="0"/>
    <n v="3"/>
    <n v="3"/>
    <n v="0"/>
    <n v="0"/>
    <n v="3"/>
    <n v="0"/>
    <n v="0"/>
    <n v="0"/>
    <n v="0"/>
    <n v="0"/>
    <n v="0"/>
    <n v="0"/>
    <m/>
    <s v="&quot;KN&quot;"/>
    <x v="121"/>
    <n v="0"/>
    <n v="12"/>
    <n v="0"/>
    <n v="1"/>
    <n v="0"/>
    <n v="6"/>
    <n v="6"/>
    <n v="0"/>
    <n v="0"/>
    <n v="0"/>
  </r>
  <r>
    <x v="32"/>
    <n v="2"/>
    <n v="0"/>
    <n v="1"/>
    <n v="0"/>
    <n v="0"/>
    <n v="0"/>
    <n v="1"/>
    <n v="0"/>
    <n v="1"/>
    <n v="2"/>
    <n v="0"/>
    <n v="0"/>
    <n v="0"/>
    <n v="3"/>
    <n v="0"/>
    <n v="0"/>
    <n v="0"/>
    <n v="0"/>
    <n v="0"/>
    <n v="0"/>
    <n v="0"/>
    <n v="3"/>
    <n v="0"/>
    <n v="0"/>
    <n v="3"/>
    <n v="0"/>
    <n v="0"/>
    <n v="0"/>
    <n v="0"/>
    <n v="0"/>
    <n v="0"/>
    <n v="0"/>
    <m/>
    <s v="&quot;KN&quot;"/>
    <x v="122"/>
    <n v="0"/>
    <n v="5"/>
    <n v="0"/>
    <n v="1"/>
    <n v="0"/>
    <n v="4"/>
    <n v="0"/>
    <n v="4"/>
    <n v="0"/>
    <n v="0"/>
  </r>
  <r>
    <x v="32"/>
    <n v="2"/>
    <n v="0"/>
    <n v="0"/>
    <n v="0"/>
    <n v="0"/>
    <n v="0"/>
    <n v="1"/>
    <n v="0"/>
    <n v="0"/>
    <n v="1"/>
    <n v="0"/>
    <n v="0"/>
    <n v="0"/>
    <n v="5"/>
    <n v="0"/>
    <n v="0"/>
    <n v="0"/>
    <n v="0"/>
    <n v="0"/>
    <n v="0"/>
    <n v="0"/>
    <n v="5"/>
    <n v="0"/>
    <n v="0"/>
    <n v="5"/>
    <n v="0"/>
    <n v="0"/>
    <n v="0"/>
    <n v="0"/>
    <n v="0"/>
    <n v="0"/>
    <n v="0"/>
    <m/>
    <s v="&quot;RS&quot;"/>
    <x v="123"/>
    <n v="0"/>
    <n v="6"/>
    <n v="0"/>
    <n v="1"/>
    <n v="0"/>
    <n v="5"/>
    <n v="0"/>
    <n v="5"/>
    <n v="0"/>
    <n v="0"/>
  </r>
  <r>
    <x v="32"/>
    <n v="2"/>
    <n v="0"/>
    <n v="1"/>
    <n v="0"/>
    <n v="0"/>
    <n v="0"/>
    <n v="1"/>
    <n v="0"/>
    <n v="1"/>
    <n v="2"/>
    <n v="0"/>
    <n v="0"/>
    <n v="0"/>
    <n v="3"/>
    <n v="0"/>
    <n v="0"/>
    <n v="0"/>
    <n v="0"/>
    <n v="0"/>
    <n v="0"/>
    <n v="0"/>
    <n v="3"/>
    <n v="0"/>
    <n v="0"/>
    <n v="3"/>
    <n v="0"/>
    <n v="0"/>
    <n v="0"/>
    <n v="0"/>
    <n v="0"/>
    <n v="0"/>
    <n v="0"/>
    <m/>
    <s v="&quot;RS&quot;"/>
    <x v="124"/>
    <n v="0"/>
    <n v="5"/>
    <n v="0"/>
    <n v="1"/>
    <n v="0"/>
    <n v="4"/>
    <n v="0"/>
    <n v="4"/>
    <n v="0"/>
    <n v="0"/>
  </r>
  <r>
    <x v="32"/>
    <n v="2"/>
    <n v="0"/>
    <n v="0"/>
    <n v="0"/>
    <n v="0"/>
    <n v="0"/>
    <n v="0"/>
    <n v="0"/>
    <n v="0"/>
    <n v="0"/>
    <n v="0"/>
    <n v="0"/>
    <n v="0"/>
    <n v="3"/>
    <n v="0"/>
    <n v="0"/>
    <n v="0"/>
    <n v="0"/>
    <n v="0"/>
    <n v="1"/>
    <n v="0"/>
    <n v="3"/>
    <n v="0"/>
    <n v="0"/>
    <n v="5"/>
    <n v="0"/>
    <n v="0"/>
    <n v="0"/>
    <n v="0"/>
    <n v="0"/>
    <n v="0"/>
    <n v="0"/>
    <m/>
    <s v="&quot;MT&quot;"/>
    <x v="125"/>
    <n v="0"/>
    <n v="5"/>
    <n v="0"/>
    <n v="1"/>
    <n v="0"/>
    <n v="3"/>
    <n v="0"/>
    <n v="3"/>
    <n v="0"/>
    <n v="0"/>
  </r>
  <r>
    <x v="32"/>
    <n v="3"/>
    <n v="0"/>
    <n v="0"/>
    <n v="0"/>
    <n v="0"/>
    <n v="0"/>
    <n v="1"/>
    <n v="0"/>
    <n v="0"/>
    <n v="1"/>
    <n v="0"/>
    <n v="0"/>
    <n v="0"/>
    <n v="0"/>
    <n v="0"/>
    <n v="0"/>
    <n v="0"/>
    <n v="0"/>
    <n v="0"/>
    <n v="0"/>
    <n v="0"/>
    <n v="0"/>
    <n v="0"/>
    <n v="0"/>
    <n v="0"/>
    <n v="0"/>
    <n v="0"/>
    <n v="0"/>
    <n v="0"/>
    <n v="0"/>
    <n v="0"/>
    <n v="0"/>
    <m/>
    <s v="&quot;KV&quot;"/>
    <x v="126"/>
    <n v="0"/>
    <n v="1"/>
    <n v="0"/>
    <n v="0"/>
    <n v="1"/>
    <n v="0"/>
    <n v="0"/>
    <n v="0"/>
    <n v="0"/>
    <n v="0"/>
  </r>
  <r>
    <x v="33"/>
    <n v="3"/>
    <n v="0"/>
    <n v="0"/>
    <n v="0"/>
    <n v="0"/>
    <n v="0"/>
    <n v="0"/>
    <n v="0"/>
    <n v="0"/>
    <n v="0"/>
    <n v="0"/>
    <n v="0"/>
    <n v="0"/>
    <n v="4"/>
    <n v="3"/>
    <n v="0"/>
    <n v="0"/>
    <n v="0"/>
    <n v="0"/>
    <n v="0"/>
    <n v="0"/>
    <n v="4"/>
    <n v="0"/>
    <n v="0"/>
    <n v="7"/>
    <n v="0"/>
    <n v="0"/>
    <n v="0"/>
    <n v="0"/>
    <n v="0"/>
    <n v="0"/>
    <n v="0"/>
    <m/>
    <s v="&quot;MB&quot;"/>
    <x v="127"/>
    <n v="0"/>
    <n v="7"/>
    <n v="0"/>
    <n v="0"/>
    <n v="1"/>
    <n v="4"/>
    <n v="0"/>
    <n v="4"/>
    <n v="0"/>
    <n v="0"/>
  </r>
  <r>
    <x v="33"/>
    <n v="3"/>
    <n v="0"/>
    <n v="0"/>
    <n v="0"/>
    <n v="0"/>
    <n v="0"/>
    <n v="1"/>
    <n v="0"/>
    <n v="0"/>
    <n v="1"/>
    <n v="0"/>
    <n v="0"/>
    <n v="0"/>
    <n v="4"/>
    <n v="0"/>
    <n v="0"/>
    <n v="0"/>
    <n v="0"/>
    <n v="0"/>
    <n v="0"/>
    <n v="0"/>
    <n v="4"/>
    <n v="0"/>
    <n v="0"/>
    <n v="4"/>
    <n v="0"/>
    <n v="0"/>
    <n v="0"/>
    <n v="0"/>
    <n v="0"/>
    <n v="0"/>
    <n v="0"/>
    <m/>
    <s v="&quot;MT&quot;"/>
    <x v="3"/>
    <n v="0"/>
    <n v="5"/>
    <n v="0"/>
    <n v="0"/>
    <n v="1"/>
    <n v="4"/>
    <n v="0"/>
    <n v="4"/>
    <n v="0"/>
    <n v="0"/>
  </r>
  <r>
    <x v="33"/>
    <n v="1"/>
    <n v="0"/>
    <n v="0"/>
    <n v="0"/>
    <n v="0"/>
    <n v="0"/>
    <n v="0"/>
    <n v="0"/>
    <n v="0"/>
    <n v="0"/>
    <n v="0"/>
    <n v="0"/>
    <n v="0"/>
    <n v="7"/>
    <n v="0"/>
    <n v="0"/>
    <n v="0"/>
    <n v="0"/>
    <n v="0"/>
    <n v="0"/>
    <n v="0"/>
    <n v="7"/>
    <n v="0"/>
    <n v="0"/>
    <n v="7"/>
    <n v="0"/>
    <n v="0"/>
    <n v="0"/>
    <n v="0"/>
    <n v="0"/>
    <n v="0"/>
    <n v="0"/>
    <m/>
    <s v="&quot;MT&quot;"/>
    <x v="128"/>
    <n v="0"/>
    <n v="7"/>
    <n v="1"/>
    <n v="0"/>
    <n v="0"/>
    <n v="7"/>
    <n v="0"/>
    <n v="7"/>
    <n v="0"/>
    <n v="0"/>
  </r>
  <r>
    <x v="33"/>
    <n v="1"/>
    <n v="0"/>
    <n v="0"/>
    <n v="0"/>
    <n v="0"/>
    <n v="0"/>
    <n v="1"/>
    <n v="0"/>
    <n v="0"/>
    <n v="1"/>
    <n v="0"/>
    <n v="0"/>
    <n v="0"/>
    <n v="3"/>
    <n v="0"/>
    <n v="0"/>
    <n v="0"/>
    <n v="0"/>
    <n v="0"/>
    <n v="0"/>
    <n v="0"/>
    <n v="3"/>
    <n v="0"/>
    <n v="0"/>
    <n v="3"/>
    <n v="0"/>
    <n v="0"/>
    <n v="0"/>
    <n v="0"/>
    <n v="0"/>
    <n v="0"/>
    <n v="0"/>
    <m/>
    <s v="&quot;KN&quot;"/>
    <x v="129"/>
    <n v="0"/>
    <n v="4"/>
    <n v="1"/>
    <n v="0"/>
    <n v="0"/>
    <n v="3"/>
    <n v="0"/>
    <n v="3"/>
    <n v="0"/>
    <n v="0"/>
  </r>
  <r>
    <x v="34"/>
    <n v="3"/>
    <n v="0"/>
    <n v="0"/>
    <n v="0"/>
    <n v="0"/>
    <n v="0"/>
    <n v="1"/>
    <n v="0"/>
    <n v="0"/>
    <n v="1"/>
    <n v="0"/>
    <n v="9"/>
    <n v="0"/>
    <n v="0"/>
    <n v="0"/>
    <n v="0"/>
    <n v="0"/>
    <n v="0"/>
    <n v="0"/>
    <n v="0"/>
    <n v="9"/>
    <n v="9"/>
    <n v="0"/>
    <n v="0"/>
    <n v="18"/>
    <n v="0"/>
    <n v="0"/>
    <n v="0"/>
    <n v="0"/>
    <n v="0"/>
    <n v="0"/>
    <n v="0"/>
    <m/>
    <s v="&quot;MT&quot;"/>
    <x v="130"/>
    <n v="0"/>
    <n v="19"/>
    <n v="0"/>
    <n v="0"/>
    <n v="1"/>
    <n v="9"/>
    <n v="9"/>
    <n v="0"/>
    <n v="0"/>
    <n v="0"/>
  </r>
  <r>
    <x v="34"/>
    <n v="3"/>
    <n v="2"/>
    <n v="0"/>
    <n v="0"/>
    <n v="0"/>
    <n v="0"/>
    <n v="0"/>
    <n v="0"/>
    <n v="2"/>
    <n v="6"/>
    <n v="0"/>
    <n v="9"/>
    <n v="0"/>
    <n v="0"/>
    <n v="0"/>
    <n v="0"/>
    <n v="0"/>
    <n v="0"/>
    <n v="0"/>
    <n v="0"/>
    <n v="9"/>
    <n v="9"/>
    <n v="0"/>
    <n v="0"/>
    <n v="18"/>
    <n v="0"/>
    <n v="0"/>
    <n v="0"/>
    <n v="0"/>
    <n v="0"/>
    <n v="0"/>
    <n v="0"/>
    <m/>
    <s v="&quot;MT&quot;"/>
    <x v="130"/>
    <n v="0"/>
    <n v="24"/>
    <n v="0"/>
    <n v="0"/>
    <n v="1"/>
    <n v="11"/>
    <n v="11"/>
    <n v="0"/>
    <n v="0"/>
    <n v="0"/>
  </r>
  <r>
    <x v="34"/>
    <n v="3"/>
    <n v="3"/>
    <n v="0"/>
    <n v="0"/>
    <n v="0"/>
    <n v="0"/>
    <n v="1"/>
    <n v="0"/>
    <n v="3"/>
    <n v="10"/>
    <n v="0"/>
    <n v="14"/>
    <n v="0"/>
    <n v="0"/>
    <n v="1"/>
    <n v="0"/>
    <n v="0"/>
    <n v="0"/>
    <n v="0"/>
    <n v="0"/>
    <n v="14"/>
    <n v="14"/>
    <n v="0"/>
    <n v="0"/>
    <n v="29"/>
    <n v="0"/>
    <n v="0"/>
    <n v="0"/>
    <n v="0"/>
    <n v="0"/>
    <n v="0"/>
    <n v="0"/>
    <m/>
    <s v="&quot;KV&quot;"/>
    <x v="131"/>
    <n v="0"/>
    <n v="39"/>
    <n v="0"/>
    <n v="0"/>
    <n v="1"/>
    <n v="17"/>
    <n v="17"/>
    <n v="0"/>
    <n v="0"/>
    <n v="0"/>
  </r>
  <r>
    <x v="34"/>
    <n v="3"/>
    <n v="2"/>
    <n v="0"/>
    <n v="0"/>
    <n v="0"/>
    <n v="0"/>
    <n v="0"/>
    <n v="0"/>
    <n v="2"/>
    <n v="6"/>
    <n v="5"/>
    <n v="10"/>
    <n v="0"/>
    <n v="0"/>
    <n v="0"/>
    <n v="0"/>
    <n v="0"/>
    <n v="0"/>
    <n v="0"/>
    <n v="0"/>
    <n v="15"/>
    <n v="15"/>
    <n v="0"/>
    <n v="0"/>
    <n v="35"/>
    <n v="1"/>
    <n v="0"/>
    <n v="0"/>
    <n v="0"/>
    <n v="0"/>
    <n v="0"/>
    <n v="0"/>
    <m/>
    <s v="&quot;MT&quot;"/>
    <x v="132"/>
    <n v="25"/>
    <n v="66"/>
    <n v="0"/>
    <n v="0"/>
    <n v="1"/>
    <n v="17"/>
    <n v="17"/>
    <n v="0"/>
    <n v="0"/>
    <n v="0"/>
  </r>
  <r>
    <x v="34"/>
    <n v="3"/>
    <n v="3"/>
    <n v="0"/>
    <n v="0"/>
    <n v="0"/>
    <n v="0"/>
    <n v="1"/>
    <n v="0"/>
    <n v="3"/>
    <n v="10"/>
    <n v="4"/>
    <n v="2"/>
    <n v="0"/>
    <n v="0"/>
    <n v="0"/>
    <n v="0"/>
    <n v="0"/>
    <n v="0"/>
    <n v="0"/>
    <n v="0"/>
    <n v="6"/>
    <n v="6"/>
    <n v="0"/>
    <n v="0"/>
    <n v="16"/>
    <n v="1"/>
    <n v="0"/>
    <n v="0"/>
    <n v="0"/>
    <n v="0"/>
    <n v="0"/>
    <n v="0"/>
    <m/>
    <s v="&quot;MT&quot;"/>
    <x v="3"/>
    <n v="25"/>
    <n v="51"/>
    <n v="0"/>
    <n v="0"/>
    <n v="1"/>
    <n v="9"/>
    <n v="9"/>
    <n v="0"/>
    <n v="0"/>
    <n v="0"/>
  </r>
  <r>
    <x v="34"/>
    <n v="3"/>
    <n v="0"/>
    <n v="0"/>
    <n v="0"/>
    <n v="0"/>
    <n v="0"/>
    <n v="1"/>
    <n v="0"/>
    <n v="0"/>
    <n v="1"/>
    <n v="0"/>
    <n v="0"/>
    <n v="13"/>
    <n v="0"/>
    <n v="0"/>
    <n v="0"/>
    <n v="0"/>
    <n v="0"/>
    <n v="0"/>
    <n v="0"/>
    <n v="13"/>
    <n v="13"/>
    <n v="0"/>
    <n v="0"/>
    <n v="13"/>
    <n v="0"/>
    <n v="0"/>
    <n v="0"/>
    <n v="0"/>
    <n v="0"/>
    <n v="0"/>
    <n v="1"/>
    <m/>
    <s v="&quot;SS&quot;"/>
    <x v="3"/>
    <n v="0"/>
    <n v="14"/>
    <n v="0"/>
    <n v="0"/>
    <n v="1"/>
    <n v="13"/>
    <n v="13"/>
    <n v="0"/>
    <n v="0"/>
    <n v="0"/>
  </r>
  <r>
    <x v="35"/>
    <n v="3"/>
    <n v="0"/>
    <n v="0"/>
    <n v="0"/>
    <n v="0"/>
    <n v="0"/>
    <n v="0"/>
    <n v="0"/>
    <n v="0"/>
    <n v="0"/>
    <n v="0"/>
    <n v="0"/>
    <n v="3"/>
    <n v="0"/>
    <n v="0"/>
    <n v="0"/>
    <n v="0"/>
    <n v="0"/>
    <n v="0"/>
    <n v="5"/>
    <n v="3"/>
    <n v="3"/>
    <n v="0"/>
    <n v="0"/>
    <n v="13"/>
    <n v="1"/>
    <n v="0"/>
    <n v="1"/>
    <n v="0"/>
    <n v="0"/>
    <n v="0"/>
    <n v="0"/>
    <m/>
    <s v="&quot;MB&quot;"/>
    <x v="133"/>
    <n v="40"/>
    <n v="53"/>
    <n v="0"/>
    <n v="0"/>
    <n v="1"/>
    <n v="3"/>
    <n v="3"/>
    <n v="0"/>
    <n v="0"/>
    <n v="0"/>
  </r>
  <r>
    <x v="35"/>
    <n v="1"/>
    <n v="1"/>
    <n v="0"/>
    <n v="0"/>
    <n v="0"/>
    <n v="0"/>
    <n v="1"/>
    <n v="0"/>
    <n v="1"/>
    <n v="4"/>
    <n v="0"/>
    <n v="0"/>
    <n v="3"/>
    <n v="0"/>
    <n v="0"/>
    <n v="0"/>
    <n v="0"/>
    <n v="0"/>
    <n v="0"/>
    <n v="0"/>
    <n v="3"/>
    <n v="3"/>
    <n v="0"/>
    <n v="0"/>
    <n v="3"/>
    <n v="1"/>
    <n v="0"/>
    <n v="0"/>
    <n v="0"/>
    <n v="0"/>
    <n v="0"/>
    <n v="0"/>
    <m/>
    <s v="&quot;KV&quot;"/>
    <x v="3"/>
    <n v="25"/>
    <n v="32"/>
    <n v="1"/>
    <n v="0"/>
    <n v="0"/>
    <n v="4"/>
    <n v="4"/>
    <n v="0"/>
    <n v="0"/>
    <n v="0"/>
  </r>
  <r>
    <x v="35"/>
    <n v="3"/>
    <n v="3"/>
    <n v="0"/>
    <n v="0"/>
    <n v="0"/>
    <n v="0"/>
    <n v="1"/>
    <n v="0"/>
    <n v="3"/>
    <n v="10"/>
    <n v="0"/>
    <n v="0"/>
    <n v="8"/>
    <n v="0"/>
    <n v="0"/>
    <n v="0"/>
    <n v="0"/>
    <n v="0"/>
    <n v="0"/>
    <n v="0"/>
    <n v="8"/>
    <n v="8"/>
    <n v="0"/>
    <n v="0"/>
    <n v="8"/>
    <n v="1"/>
    <n v="0"/>
    <n v="0"/>
    <n v="0"/>
    <n v="0"/>
    <n v="0"/>
    <n v="0"/>
    <m/>
    <s v="&quot;KV&quot;"/>
    <x v="3"/>
    <n v="25"/>
    <n v="43"/>
    <n v="0"/>
    <n v="0"/>
    <n v="1"/>
    <n v="11"/>
    <n v="11"/>
    <n v="0"/>
    <n v="0"/>
    <n v="0"/>
  </r>
  <r>
    <x v="35"/>
    <n v="1"/>
    <n v="0"/>
    <n v="0"/>
    <n v="0"/>
    <n v="0"/>
    <n v="0"/>
    <n v="0"/>
    <n v="0"/>
    <n v="0"/>
    <n v="0"/>
    <n v="0"/>
    <n v="0"/>
    <n v="7"/>
    <n v="0"/>
    <n v="0"/>
    <n v="0"/>
    <n v="0"/>
    <n v="0"/>
    <n v="0"/>
    <n v="0"/>
    <n v="7"/>
    <n v="7"/>
    <n v="0"/>
    <n v="0"/>
    <n v="7"/>
    <n v="1"/>
    <n v="0"/>
    <n v="0"/>
    <n v="0"/>
    <n v="0"/>
    <n v="0"/>
    <n v="0"/>
    <m/>
    <s v="&quot;pp&quot;"/>
    <x v="134"/>
    <n v="25"/>
    <n v="32"/>
    <n v="1"/>
    <n v="0"/>
    <n v="0"/>
    <n v="7"/>
    <n v="7"/>
    <n v="0"/>
    <n v="0"/>
    <n v="0"/>
  </r>
  <r>
    <x v="35"/>
    <n v="3"/>
    <n v="2"/>
    <n v="0"/>
    <n v="0"/>
    <n v="0"/>
    <n v="0"/>
    <n v="1"/>
    <n v="0"/>
    <n v="2"/>
    <n v="7"/>
    <n v="0"/>
    <n v="0"/>
    <n v="4"/>
    <n v="0"/>
    <n v="0"/>
    <n v="0"/>
    <n v="0"/>
    <n v="0"/>
    <n v="0"/>
    <n v="0"/>
    <n v="4"/>
    <n v="4"/>
    <n v="0"/>
    <n v="0"/>
    <n v="4"/>
    <n v="1"/>
    <n v="0"/>
    <n v="0"/>
    <n v="0"/>
    <n v="0"/>
    <n v="0"/>
    <n v="0"/>
    <m/>
    <s v="&quot;KV&quot;"/>
    <x v="3"/>
    <n v="25"/>
    <n v="36"/>
    <n v="0"/>
    <n v="0"/>
    <n v="1"/>
    <n v="6"/>
    <n v="6"/>
    <n v="0"/>
    <n v="0"/>
    <n v="0"/>
  </r>
  <r>
    <x v="35"/>
    <n v="2"/>
    <n v="2"/>
    <n v="0"/>
    <n v="0"/>
    <n v="0"/>
    <n v="0"/>
    <n v="1"/>
    <n v="0"/>
    <n v="2"/>
    <n v="7"/>
    <n v="0"/>
    <n v="0"/>
    <n v="0"/>
    <n v="0"/>
    <n v="0"/>
    <n v="0"/>
    <n v="0"/>
    <n v="0"/>
    <n v="0"/>
    <n v="0"/>
    <n v="0"/>
    <n v="0"/>
    <n v="0"/>
    <n v="0"/>
    <n v="0"/>
    <n v="1"/>
    <n v="0"/>
    <n v="0"/>
    <n v="0"/>
    <n v="0"/>
    <n v="0"/>
    <n v="0"/>
    <m/>
    <s v="&quot;MT&quot;"/>
    <x v="3"/>
    <n v="25"/>
    <n v="32"/>
    <n v="0"/>
    <n v="1"/>
    <n v="0"/>
    <n v="2"/>
    <n v="2"/>
    <n v="0"/>
    <n v="0"/>
    <n v="0"/>
  </r>
  <r>
    <x v="36"/>
    <n v="1"/>
    <n v="0"/>
    <n v="0"/>
    <n v="0"/>
    <n v="0"/>
    <n v="0"/>
    <n v="1"/>
    <n v="0"/>
    <n v="0"/>
    <n v="1"/>
    <n v="0"/>
    <n v="1"/>
    <n v="0"/>
    <n v="0"/>
    <n v="0"/>
    <n v="0"/>
    <n v="0"/>
    <n v="0"/>
    <n v="0"/>
    <n v="1"/>
    <n v="1"/>
    <n v="1"/>
    <n v="0"/>
    <n v="0"/>
    <n v="4"/>
    <n v="0"/>
    <n v="0"/>
    <n v="0"/>
    <n v="0"/>
    <n v="0"/>
    <n v="0"/>
    <n v="0"/>
    <m/>
    <s v="&quot;RS&quot;"/>
    <x v="135"/>
    <n v="0"/>
    <n v="5"/>
    <n v="1"/>
    <n v="0"/>
    <n v="0"/>
    <n v="1"/>
    <n v="1"/>
    <n v="0"/>
    <n v="0"/>
    <n v="0"/>
  </r>
  <r>
    <x v="36"/>
    <n v="2"/>
    <n v="0"/>
    <n v="0"/>
    <n v="0"/>
    <n v="0"/>
    <n v="0"/>
    <n v="1"/>
    <n v="0"/>
    <n v="0"/>
    <n v="1"/>
    <n v="0"/>
    <n v="0"/>
    <n v="0"/>
    <n v="0"/>
    <n v="0"/>
    <n v="0"/>
    <n v="0"/>
    <n v="0"/>
    <n v="0"/>
    <n v="0"/>
    <n v="0"/>
    <n v="0"/>
    <n v="0"/>
    <n v="0"/>
    <n v="0"/>
    <n v="0"/>
    <n v="0"/>
    <n v="0"/>
    <n v="0"/>
    <n v="1"/>
    <n v="1"/>
    <n v="1"/>
    <m/>
    <s v="&quot;KV&quot;"/>
    <x v="136"/>
    <n v="0"/>
    <n v="1"/>
    <n v="0"/>
    <n v="1"/>
    <n v="0"/>
    <n v="0"/>
    <n v="0"/>
    <n v="0"/>
    <n v="0"/>
    <n v="0"/>
  </r>
  <r>
    <x v="36"/>
    <n v="2"/>
    <n v="0"/>
    <n v="0"/>
    <n v="0"/>
    <n v="0"/>
    <n v="0"/>
    <n v="1"/>
    <n v="0"/>
    <n v="0"/>
    <n v="1"/>
    <n v="0"/>
    <n v="0"/>
    <n v="0"/>
    <n v="1"/>
    <n v="0"/>
    <n v="0"/>
    <n v="0"/>
    <n v="0"/>
    <n v="0"/>
    <n v="2.5"/>
    <n v="0"/>
    <n v="1"/>
    <n v="0"/>
    <n v="0"/>
    <n v="6"/>
    <n v="0"/>
    <n v="0"/>
    <n v="0"/>
    <n v="0"/>
    <n v="0"/>
    <n v="0"/>
    <n v="0"/>
    <m/>
    <s v="&quot;KN&quot;"/>
    <x v="137"/>
    <n v="0"/>
    <n v="7"/>
    <n v="0"/>
    <n v="1"/>
    <n v="0"/>
    <n v="1"/>
    <n v="0"/>
    <n v="1"/>
    <n v="0"/>
    <n v="0"/>
  </r>
  <r>
    <x v="36"/>
    <n v="1"/>
    <n v="0"/>
    <n v="0"/>
    <n v="0"/>
    <n v="0"/>
    <n v="0"/>
    <n v="1"/>
    <n v="0"/>
    <n v="0"/>
    <n v="1"/>
    <n v="0"/>
    <n v="0"/>
    <n v="0"/>
    <n v="0"/>
    <n v="0"/>
    <n v="0"/>
    <n v="0"/>
    <n v="0"/>
    <n v="0"/>
    <n v="0"/>
    <n v="0"/>
    <n v="0"/>
    <n v="0"/>
    <n v="0"/>
    <n v="0"/>
    <n v="0"/>
    <n v="0"/>
    <n v="0"/>
    <n v="0"/>
    <n v="1"/>
    <n v="1"/>
    <n v="0"/>
    <m/>
    <s v="&quot;MB&quot;"/>
    <x v="138"/>
    <n v="0"/>
    <n v="1"/>
    <n v="1"/>
    <n v="0"/>
    <n v="0"/>
    <n v="0"/>
    <n v="0"/>
    <n v="0"/>
    <n v="0"/>
    <n v="0"/>
  </r>
  <r>
    <x v="36"/>
    <n v="1"/>
    <n v="0"/>
    <n v="0"/>
    <n v="0"/>
    <n v="0"/>
    <n v="0"/>
    <n v="1"/>
    <n v="0"/>
    <n v="0"/>
    <n v="1"/>
    <n v="0"/>
    <n v="0"/>
    <n v="0"/>
    <n v="0"/>
    <n v="0"/>
    <n v="0"/>
    <n v="0"/>
    <n v="0"/>
    <n v="0"/>
    <n v="0"/>
    <n v="0"/>
    <n v="0"/>
    <n v="0"/>
    <n v="0"/>
    <n v="0"/>
    <n v="0"/>
    <n v="0"/>
    <n v="0"/>
    <n v="0"/>
    <n v="0"/>
    <n v="0"/>
    <n v="0"/>
    <m/>
    <s v="&quot;MB&quot;"/>
    <x v="139"/>
    <n v="0"/>
    <n v="1"/>
    <n v="1"/>
    <n v="0"/>
    <n v="0"/>
    <n v="0"/>
    <n v="0"/>
    <n v="0"/>
    <n v="0"/>
    <n v="0"/>
  </r>
  <r>
    <x v="37"/>
    <n v="1"/>
    <n v="0"/>
    <n v="0"/>
    <n v="0"/>
    <n v="0"/>
    <n v="0"/>
    <n v="0"/>
    <n v="0"/>
    <n v="0"/>
    <n v="0"/>
    <n v="0"/>
    <n v="0"/>
    <n v="0"/>
    <n v="0"/>
    <n v="0"/>
    <n v="0"/>
    <n v="0"/>
    <n v="0"/>
    <n v="0"/>
    <n v="1"/>
    <n v="0"/>
    <n v="0"/>
    <n v="0"/>
    <n v="0"/>
    <n v="2"/>
    <n v="0"/>
    <n v="0"/>
    <n v="0"/>
    <n v="0"/>
    <n v="0"/>
    <n v="0"/>
    <n v="0"/>
    <m/>
    <s v="&quot;KN&quot;"/>
    <x v="140"/>
    <n v="0"/>
    <n v="2"/>
    <n v="1"/>
    <n v="0"/>
    <n v="0"/>
    <n v="0"/>
    <n v="0"/>
    <n v="0"/>
    <n v="0"/>
    <n v="0"/>
  </r>
  <r>
    <x v="37"/>
    <n v="1"/>
    <n v="2"/>
    <n v="0"/>
    <n v="0"/>
    <n v="0"/>
    <n v="0"/>
    <n v="0"/>
    <n v="0"/>
    <n v="2"/>
    <n v="6"/>
    <n v="0"/>
    <n v="0"/>
    <n v="0"/>
    <n v="0"/>
    <n v="0"/>
    <n v="0"/>
    <n v="0"/>
    <n v="0"/>
    <n v="0"/>
    <n v="0"/>
    <n v="0"/>
    <n v="0"/>
    <n v="0"/>
    <n v="0"/>
    <n v="0"/>
    <n v="0"/>
    <n v="0"/>
    <n v="0"/>
    <n v="0"/>
    <n v="0"/>
    <n v="0"/>
    <n v="0"/>
    <m/>
    <s v="&quot;MT&quot;"/>
    <x v="141"/>
    <n v="0"/>
    <n v="6"/>
    <n v="1"/>
    <n v="0"/>
    <n v="0"/>
    <n v="2"/>
    <n v="2"/>
    <n v="0"/>
    <n v="0"/>
    <n v="0"/>
  </r>
  <r>
    <x v="37"/>
    <n v="2"/>
    <n v="0"/>
    <n v="0"/>
    <n v="0"/>
    <n v="0"/>
    <n v="0"/>
    <n v="0"/>
    <n v="0"/>
    <n v="0"/>
    <n v="0"/>
    <n v="0"/>
    <n v="0"/>
    <n v="0"/>
    <n v="0"/>
    <n v="0"/>
    <n v="0"/>
    <n v="0"/>
    <n v="0"/>
    <n v="0"/>
    <n v="0"/>
    <n v="0"/>
    <n v="0"/>
    <n v="0"/>
    <n v="0"/>
    <n v="0"/>
    <n v="0"/>
    <n v="0"/>
    <n v="0"/>
    <n v="0"/>
    <n v="0"/>
    <n v="0"/>
    <n v="0"/>
    <m/>
    <s v="&quot;KV&quot;"/>
    <x v="142"/>
    <n v="0"/>
    <n v="0"/>
    <n v="0"/>
    <n v="1"/>
    <n v="0"/>
    <n v="0"/>
    <n v="0"/>
    <n v="0"/>
    <n v="0"/>
    <n v="0"/>
  </r>
  <r>
    <x v="37"/>
    <n v="1"/>
    <n v="0"/>
    <n v="0"/>
    <n v="0"/>
    <n v="0"/>
    <n v="0"/>
    <n v="0"/>
    <n v="0"/>
    <n v="0"/>
    <n v="0"/>
    <n v="0"/>
    <n v="0"/>
    <n v="0"/>
    <n v="0"/>
    <n v="0"/>
    <n v="0"/>
    <n v="0"/>
    <n v="0"/>
    <n v="0"/>
    <n v="0"/>
    <n v="0"/>
    <n v="0"/>
    <n v="0"/>
    <n v="0"/>
    <n v="0"/>
    <n v="0"/>
    <n v="0"/>
    <n v="0"/>
    <n v="0"/>
    <n v="0"/>
    <n v="0"/>
    <n v="0"/>
    <m/>
    <s v="&quot;KV&quot;"/>
    <x v="143"/>
    <n v="0"/>
    <n v="0"/>
    <n v="1"/>
    <n v="0"/>
    <n v="0"/>
    <n v="0"/>
    <n v="0"/>
    <n v="0"/>
    <n v="0"/>
    <n v="0"/>
  </r>
  <r>
    <x v="37"/>
    <n v="1"/>
    <n v="0"/>
    <n v="0"/>
    <n v="0"/>
    <n v="0"/>
    <n v="0"/>
    <n v="0"/>
    <n v="0"/>
    <n v="0"/>
    <n v="0"/>
    <n v="0"/>
    <n v="0"/>
    <n v="1"/>
    <n v="0"/>
    <n v="0"/>
    <n v="0"/>
    <n v="0"/>
    <n v="0"/>
    <n v="0"/>
    <n v="0"/>
    <n v="1"/>
    <n v="1"/>
    <n v="0"/>
    <n v="0"/>
    <n v="1"/>
    <n v="0"/>
    <n v="0"/>
    <n v="0"/>
    <n v="0"/>
    <n v="0"/>
    <n v="0"/>
    <n v="0"/>
    <m/>
    <s v="&quot;RS&quot;"/>
    <x v="144"/>
    <n v="0"/>
    <n v="1"/>
    <n v="1"/>
    <n v="0"/>
    <n v="0"/>
    <n v="1"/>
    <n v="1"/>
    <n v="0"/>
    <n v="0"/>
    <n v="0"/>
  </r>
  <r>
    <x v="37"/>
    <n v="1"/>
    <n v="0"/>
    <n v="0"/>
    <n v="0"/>
    <n v="0"/>
    <n v="0"/>
    <n v="1"/>
    <n v="0"/>
    <n v="0"/>
    <n v="1"/>
    <n v="0"/>
    <n v="0"/>
    <n v="0"/>
    <n v="0"/>
    <n v="0"/>
    <n v="0"/>
    <n v="0"/>
    <n v="0"/>
    <n v="0"/>
    <n v="0"/>
    <n v="0"/>
    <n v="0"/>
    <n v="0"/>
    <n v="0"/>
    <n v="0"/>
    <n v="0"/>
    <n v="0"/>
    <n v="0"/>
    <n v="0"/>
    <n v="0"/>
    <n v="0"/>
    <n v="0"/>
    <m/>
    <s v="&quot;MB&quot;"/>
    <x v="145"/>
    <n v="0"/>
    <n v="1"/>
    <n v="1"/>
    <n v="0"/>
    <n v="0"/>
    <n v="0"/>
    <n v="0"/>
    <n v="0"/>
    <n v="0"/>
    <n v="0"/>
  </r>
  <r>
    <x v="38"/>
    <n v="1"/>
    <n v="0"/>
    <n v="0"/>
    <n v="0"/>
    <n v="0"/>
    <n v="0"/>
    <n v="1"/>
    <n v="0"/>
    <n v="0"/>
    <n v="1"/>
    <n v="0"/>
    <n v="0"/>
    <n v="0"/>
    <n v="2"/>
    <n v="0"/>
    <n v="0"/>
    <n v="0"/>
    <n v="0"/>
    <n v="0"/>
    <n v="0"/>
    <n v="0"/>
    <n v="2"/>
    <n v="0"/>
    <n v="0"/>
    <n v="2"/>
    <n v="0"/>
    <n v="0"/>
    <n v="0"/>
    <n v="0"/>
    <n v="0"/>
    <n v="0"/>
    <n v="0"/>
    <m/>
    <s v="&quot;MT&quot;"/>
    <x v="146"/>
    <n v="0"/>
    <n v="3"/>
    <n v="1"/>
    <n v="0"/>
    <n v="0"/>
    <n v="2"/>
    <n v="0"/>
    <n v="2"/>
    <n v="0"/>
    <n v="0"/>
  </r>
  <r>
    <x v="38"/>
    <n v="1"/>
    <n v="0"/>
    <n v="0"/>
    <n v="0"/>
    <n v="0"/>
    <n v="0"/>
    <n v="1"/>
    <n v="0"/>
    <n v="0"/>
    <n v="1"/>
    <n v="0"/>
    <n v="0"/>
    <n v="0"/>
    <n v="2"/>
    <n v="0"/>
    <n v="0"/>
    <n v="0"/>
    <n v="0"/>
    <n v="0"/>
    <n v="0"/>
    <n v="0"/>
    <n v="2"/>
    <n v="0"/>
    <n v="0"/>
    <n v="2"/>
    <n v="0"/>
    <n v="0"/>
    <n v="0"/>
    <n v="0"/>
    <n v="0"/>
    <n v="0"/>
    <n v="0"/>
    <m/>
    <s v="&quot;MT&quot;"/>
    <x v="147"/>
    <n v="0"/>
    <n v="3"/>
    <n v="1"/>
    <n v="0"/>
    <n v="0"/>
    <n v="2"/>
    <n v="0"/>
    <n v="2"/>
    <n v="0"/>
    <n v="0"/>
  </r>
  <r>
    <x v="38"/>
    <n v="1"/>
    <n v="1"/>
    <n v="0"/>
    <n v="0"/>
    <n v="0"/>
    <n v="0"/>
    <n v="1"/>
    <n v="0"/>
    <n v="1"/>
    <n v="4"/>
    <n v="0"/>
    <n v="0"/>
    <n v="0"/>
    <n v="3"/>
    <n v="0"/>
    <n v="0"/>
    <n v="0"/>
    <n v="0"/>
    <n v="0"/>
    <n v="0"/>
    <n v="0"/>
    <n v="3"/>
    <n v="0"/>
    <n v="0"/>
    <n v="3"/>
    <n v="0"/>
    <n v="0"/>
    <n v="0"/>
    <n v="0"/>
    <n v="0"/>
    <n v="0"/>
    <n v="0"/>
    <m/>
    <s v="&quot;MB&quot;"/>
    <x v="3"/>
    <n v="0"/>
    <n v="7"/>
    <n v="1"/>
    <n v="0"/>
    <n v="0"/>
    <n v="4"/>
    <n v="1"/>
    <n v="3"/>
    <n v="0"/>
    <n v="0"/>
  </r>
  <r>
    <x v="38"/>
    <n v="1"/>
    <n v="0"/>
    <n v="0"/>
    <n v="0"/>
    <n v="0"/>
    <n v="0"/>
    <n v="1"/>
    <n v="0"/>
    <n v="0"/>
    <n v="1"/>
    <n v="0"/>
    <n v="0"/>
    <n v="0"/>
    <n v="7"/>
    <n v="0"/>
    <n v="0"/>
    <n v="0"/>
    <n v="0"/>
    <n v="0"/>
    <n v="0"/>
    <n v="0"/>
    <n v="7"/>
    <n v="0"/>
    <n v="0"/>
    <n v="7"/>
    <n v="0"/>
    <n v="0"/>
    <n v="0"/>
    <n v="0"/>
    <n v="0"/>
    <n v="0"/>
    <n v="0"/>
    <m/>
    <s v="&quot;MT&quot;"/>
    <x v="3"/>
    <n v="0"/>
    <n v="8"/>
    <n v="1"/>
    <n v="0"/>
    <n v="0"/>
    <n v="7"/>
    <n v="0"/>
    <n v="7"/>
    <n v="0"/>
    <n v="0"/>
  </r>
  <r>
    <x v="38"/>
    <n v="1"/>
    <n v="0"/>
    <n v="0"/>
    <n v="0"/>
    <n v="0"/>
    <n v="0"/>
    <n v="1"/>
    <n v="0"/>
    <n v="0"/>
    <n v="1"/>
    <n v="0"/>
    <n v="0"/>
    <n v="0"/>
    <n v="1"/>
    <n v="0"/>
    <n v="0"/>
    <n v="0"/>
    <n v="0"/>
    <n v="0"/>
    <n v="0"/>
    <n v="0"/>
    <n v="1"/>
    <n v="0"/>
    <n v="0"/>
    <n v="1"/>
    <n v="0"/>
    <n v="0"/>
    <n v="0"/>
    <n v="0"/>
    <n v="0"/>
    <n v="0"/>
    <n v="0"/>
    <m/>
    <s v="&quot;RS&quot;"/>
    <x v="148"/>
    <n v="0"/>
    <n v="2"/>
    <n v="1"/>
    <n v="0"/>
    <n v="0"/>
    <n v="1"/>
    <n v="0"/>
    <n v="1"/>
    <n v="0"/>
    <n v="0"/>
  </r>
  <r>
    <x v="38"/>
    <n v="1"/>
    <n v="0"/>
    <n v="0"/>
    <n v="0"/>
    <n v="0"/>
    <n v="0"/>
    <n v="1"/>
    <n v="0"/>
    <n v="0"/>
    <n v="1"/>
    <n v="0"/>
    <n v="0"/>
    <n v="0"/>
    <n v="0"/>
    <n v="0"/>
    <n v="0"/>
    <n v="0"/>
    <n v="0"/>
    <n v="0"/>
    <n v="0"/>
    <n v="0"/>
    <n v="0"/>
    <n v="0"/>
    <n v="0"/>
    <n v="0"/>
    <n v="1"/>
    <n v="0"/>
    <n v="0"/>
    <n v="0"/>
    <n v="0"/>
    <n v="1"/>
    <n v="1"/>
    <m/>
    <s v="&quot;KN&quot;"/>
    <x v="149"/>
    <n v="25"/>
    <n v="26"/>
    <n v="1"/>
    <n v="0"/>
    <n v="0"/>
    <n v="0"/>
    <n v="0"/>
    <n v="0"/>
    <n v="0"/>
    <n v="0"/>
  </r>
  <r>
    <x v="39"/>
    <n v="1"/>
    <n v="0"/>
    <n v="0"/>
    <n v="0"/>
    <n v="0"/>
    <n v="0"/>
    <n v="1"/>
    <n v="0"/>
    <n v="0"/>
    <n v="1"/>
    <n v="0"/>
    <n v="0"/>
    <n v="0"/>
    <n v="1"/>
    <n v="0"/>
    <n v="0"/>
    <n v="0"/>
    <n v="0"/>
    <n v="0"/>
    <n v="0"/>
    <n v="0"/>
    <n v="1"/>
    <n v="0"/>
    <n v="0"/>
    <n v="1"/>
    <n v="0"/>
    <n v="0"/>
    <n v="0"/>
    <n v="0"/>
    <n v="0"/>
    <n v="0"/>
    <n v="0"/>
    <m/>
    <s v="&quot;KV&quot;"/>
    <x v="150"/>
    <n v="0"/>
    <n v="2"/>
    <n v="1"/>
    <n v="0"/>
    <n v="0"/>
    <n v="1"/>
    <n v="0"/>
    <n v="1"/>
    <n v="0"/>
    <n v="0"/>
  </r>
  <r>
    <x v="39"/>
    <n v="1"/>
    <n v="0"/>
    <n v="0"/>
    <n v="0"/>
    <n v="0"/>
    <n v="0"/>
    <n v="1"/>
    <n v="0"/>
    <n v="0"/>
    <n v="1"/>
    <n v="0"/>
    <n v="0"/>
    <n v="0"/>
    <n v="8"/>
    <n v="0"/>
    <n v="0"/>
    <n v="0"/>
    <n v="0"/>
    <n v="0"/>
    <n v="0"/>
    <n v="0"/>
    <n v="8"/>
    <n v="0"/>
    <n v="0"/>
    <n v="8"/>
    <n v="0"/>
    <n v="0"/>
    <n v="0"/>
    <n v="0"/>
    <n v="0"/>
    <n v="0"/>
    <n v="0"/>
    <m/>
    <s v="&quot;MB&quot;"/>
    <x v="151"/>
    <n v="0"/>
    <n v="9"/>
    <n v="1"/>
    <n v="0"/>
    <n v="0"/>
    <n v="8"/>
    <n v="0"/>
    <n v="8"/>
    <n v="0"/>
    <n v="0"/>
  </r>
  <r>
    <x v="39"/>
    <n v="1"/>
    <n v="0"/>
    <n v="0"/>
    <n v="0"/>
    <n v="0"/>
    <n v="0"/>
    <n v="1"/>
    <n v="0"/>
    <n v="0"/>
    <n v="1"/>
    <n v="0"/>
    <n v="0"/>
    <n v="0"/>
    <n v="6"/>
    <n v="0"/>
    <n v="0"/>
    <n v="0"/>
    <n v="0"/>
    <n v="0"/>
    <n v="0"/>
    <n v="0"/>
    <n v="6"/>
    <n v="0"/>
    <n v="0"/>
    <n v="6"/>
    <n v="0"/>
    <n v="0"/>
    <n v="0"/>
    <n v="0"/>
    <n v="0"/>
    <n v="0"/>
    <n v="0"/>
    <m/>
    <s v="&quot;KN&quot;"/>
    <x v="19"/>
    <n v="0"/>
    <n v="7"/>
    <n v="1"/>
    <n v="0"/>
    <n v="0"/>
    <n v="6"/>
    <n v="0"/>
    <n v="6"/>
    <n v="0"/>
    <n v="0"/>
  </r>
  <r>
    <x v="39"/>
    <n v="2"/>
    <n v="0"/>
    <n v="0"/>
    <n v="0"/>
    <n v="0"/>
    <n v="0"/>
    <n v="1"/>
    <n v="0"/>
    <n v="0"/>
    <n v="1"/>
    <n v="0"/>
    <n v="0"/>
    <n v="0"/>
    <n v="3"/>
    <n v="0"/>
    <n v="0"/>
    <n v="0"/>
    <n v="0"/>
    <n v="0"/>
    <n v="0"/>
    <n v="0"/>
    <n v="3"/>
    <n v="0"/>
    <n v="0"/>
    <n v="3"/>
    <n v="0"/>
    <n v="0"/>
    <n v="0"/>
    <n v="0"/>
    <n v="0"/>
    <n v="0"/>
    <n v="0"/>
    <m/>
    <s v="&quot;KV&quot;"/>
    <x v="3"/>
    <n v="0"/>
    <n v="4"/>
    <n v="0"/>
    <n v="1"/>
    <n v="0"/>
    <n v="3"/>
    <n v="0"/>
    <n v="3"/>
    <n v="0"/>
    <n v="0"/>
  </r>
  <r>
    <x v="39"/>
    <n v="1"/>
    <n v="0"/>
    <n v="0"/>
    <n v="0"/>
    <n v="0"/>
    <n v="0"/>
    <n v="0"/>
    <n v="0"/>
    <n v="0"/>
    <n v="0"/>
    <n v="0"/>
    <n v="0"/>
    <n v="0"/>
    <n v="4"/>
    <n v="0"/>
    <n v="0"/>
    <n v="0"/>
    <n v="0"/>
    <n v="0"/>
    <n v="0"/>
    <n v="0"/>
    <n v="4"/>
    <n v="0"/>
    <n v="0"/>
    <n v="4"/>
    <n v="0"/>
    <n v="0"/>
    <n v="0"/>
    <n v="0"/>
    <n v="0"/>
    <n v="0"/>
    <n v="0"/>
    <m/>
    <s v="&quot;MT&quot;"/>
    <x v="152"/>
    <n v="0"/>
    <n v="4"/>
    <n v="1"/>
    <n v="0"/>
    <n v="0"/>
    <n v="4"/>
    <n v="0"/>
    <n v="4"/>
    <n v="0"/>
    <n v="0"/>
  </r>
  <r>
    <x v="39"/>
    <n v="1"/>
    <n v="0"/>
    <n v="0"/>
    <n v="0"/>
    <n v="0"/>
    <n v="0"/>
    <n v="1"/>
    <n v="0"/>
    <n v="0"/>
    <n v="1"/>
    <n v="0"/>
    <n v="0"/>
    <n v="0"/>
    <n v="2"/>
    <n v="0"/>
    <n v="0"/>
    <n v="0"/>
    <n v="0"/>
    <n v="0"/>
    <n v="0"/>
    <n v="0"/>
    <n v="2"/>
    <n v="0"/>
    <n v="0"/>
    <n v="2"/>
    <n v="0"/>
    <n v="0"/>
    <n v="0"/>
    <n v="0"/>
    <n v="0"/>
    <n v="0"/>
    <n v="0"/>
    <m/>
    <s v="&quot;RS&quot;"/>
    <x v="153"/>
    <n v="0"/>
    <n v="3"/>
    <n v="1"/>
    <n v="0"/>
    <n v="0"/>
    <n v="2"/>
    <n v="0"/>
    <n v="2"/>
    <n v="0"/>
    <n v="0"/>
  </r>
  <r>
    <x v="39"/>
    <n v="1"/>
    <n v="0"/>
    <n v="0"/>
    <n v="0"/>
    <n v="0"/>
    <n v="0"/>
    <n v="1"/>
    <n v="0"/>
    <n v="0"/>
    <n v="1"/>
    <n v="0"/>
    <n v="0"/>
    <n v="0"/>
    <n v="0"/>
    <n v="0"/>
    <n v="0"/>
    <n v="0"/>
    <n v="0"/>
    <n v="0"/>
    <n v="0"/>
    <n v="0"/>
    <n v="0"/>
    <n v="0"/>
    <n v="0"/>
    <n v="0"/>
    <n v="0"/>
    <n v="0"/>
    <n v="0"/>
    <n v="0"/>
    <n v="0"/>
    <n v="0"/>
    <n v="0"/>
    <m/>
    <s v="&quot;MB&quot;"/>
    <x v="154"/>
    <n v="0"/>
    <n v="1"/>
    <n v="1"/>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r>
    <x v="40"/>
    <m/>
    <m/>
    <m/>
    <m/>
    <m/>
    <m/>
    <m/>
    <n v="0"/>
    <n v="0"/>
    <n v="0"/>
    <m/>
    <m/>
    <m/>
    <m/>
    <m/>
    <m/>
    <m/>
    <m/>
    <m/>
    <m/>
    <n v="0"/>
    <n v="0"/>
    <n v="0"/>
    <n v="0"/>
    <n v="0"/>
    <m/>
    <m/>
    <m/>
    <m/>
    <m/>
    <m/>
    <m/>
    <m/>
    <m/>
    <x v="3"/>
    <n v="0"/>
    <n v="0"/>
    <n v="0"/>
    <n v="0"/>
    <n v="0"/>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DD2F82F-3D8C-445E-A2D1-189682613AEB}" name="PivotTable1" cacheId="4"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rowHeaderCaption="Number of teams">
  <location ref="A3:S4" firstHeaderRow="0" firstDataRow="1" firstDataCol="1"/>
  <pivotFields count="46">
    <pivotField axis="axisRow" showAll="0" sortType="descending">
      <items count="57">
        <item h="1" sd="0" m="1" x="44"/>
        <item h="1" sd="0" m="1" x="55"/>
        <item h="1" sd="0" m="1" x="52"/>
        <item h="1" sd="0" m="1" x="54"/>
        <item h="1" sd="0" m="1" x="41"/>
        <item h="1" sd="0" m="1" x="53"/>
        <item h="1" sd="0" x="9"/>
        <item h="1" sd="0" m="1" x="45"/>
        <item h="1" sd="0" x="40"/>
        <item h="1" sd="0" m="1" x="51"/>
        <item h="1" sd="0" m="1" x="47"/>
        <item h="1" sd="0" m="1" x="42"/>
        <item h="1" sd="0" m="1" x="50"/>
        <item h="1" sd="0" m="1" x="43"/>
        <item h="1" sd="0" m="1" x="46"/>
        <item h="1" sd="0" m="1" x="48"/>
        <item h="1" sd="0" m="1" x="49"/>
        <item h="1" sd="0" x="0"/>
        <item h="1" sd="0" x="1"/>
        <item h="1" sd="0" x="2"/>
        <item h="1" sd="0" x="3"/>
        <item h="1" sd="0" x="4"/>
        <item h="1" sd="0" x="5"/>
        <item h="1" sd="0" x="6"/>
        <item h="1" sd="0" x="7"/>
        <item h="1" sd="0" x="8"/>
        <item h="1" sd="0" x="10"/>
        <item h="1" sd="0" x="12"/>
        <item h="1" sd="0" x="14"/>
        <item h="1" sd="0" x="15"/>
        <item h="1" sd="0" x="16"/>
        <item h="1" sd="0" x="17"/>
        <item h="1" sd="0" x="18"/>
        <item h="1" sd="0" x="19"/>
        <item h="1" sd="0" x="20"/>
        <item h="1" sd="0" x="21"/>
        <item h="1" sd="0" x="22"/>
        <item h="1" sd="0" x="23"/>
        <item sd="0" x="24"/>
        <item h="1" sd="0" x="25"/>
        <item h="1" sd="0" x="26"/>
        <item h="1" sd="0" x="27"/>
        <item h="1" sd="0" x="28"/>
        <item h="1" sd="0" x="29"/>
        <item h="1" sd="0" x="30"/>
        <item h="1" sd="0" x="31"/>
        <item h="1" sd="0" x="32"/>
        <item h="1" sd="0" x="33"/>
        <item h="1" sd="0" x="34"/>
        <item h="1" sd="0" x="35"/>
        <item h="1" sd="0" x="36"/>
        <item h="1" sd="0" x="37"/>
        <item h="1" sd="0" x="38"/>
        <item h="1" sd="0" x="39"/>
        <item h="1" sd="0" x="11"/>
        <item h="1" sd="0" x="13"/>
        <item t="default" sd="0"/>
      </items>
      <autoSortScope>
        <pivotArea dataOnly="0" outline="0" fieldPosition="0">
          <references count="1">
            <reference field="4294967294" count="1" selected="0">
              <x v="0"/>
            </reference>
          </references>
        </pivotArea>
      </autoSortScope>
    </pivotField>
    <pivotField showAll="0"/>
    <pivotField dataField="1" showAll="0"/>
    <pivotField dataField="1" showAll="0"/>
    <pivotField showAll="0"/>
    <pivotField showAll="0"/>
    <pivotField showAll="0"/>
    <pivotField showAll="0"/>
    <pivotField showAll="0"/>
    <pivotField dataField="1" showAll="0"/>
    <pivotField dataField="1" showAll="0"/>
    <pivotField dataField="1" showAll="0"/>
    <pivotField showAll="0"/>
    <pivotField showAll="0"/>
    <pivotField dataField="1" showAll="0"/>
    <pivotField showAll="0"/>
    <pivotField dataField="1" showAll="0"/>
    <pivotField showAll="0"/>
    <pivotField dataField="1" showAll="0"/>
    <pivotField showAll="0"/>
    <pivotField dataField="1" showAll="0"/>
    <pivotField dataField="1" showAll="0"/>
    <pivotField dataField="1" showAll="0"/>
    <pivotField showAll="0"/>
    <pivotField showAll="0"/>
    <pivotField dataField="1" showAll="0"/>
    <pivotField dataField="1" showAll="0"/>
    <pivotField dataField="1" showAll="0"/>
    <pivotField showAll="0"/>
    <pivotField showAll="0"/>
    <pivotField showAll="0"/>
    <pivotField dataField="1" showAll="0"/>
    <pivotField showAll="0"/>
    <pivotField showAll="0"/>
    <pivotField showAll="0"/>
    <pivotField axis="axisRow" compact="0" subtotalTop="0" showAll="0" defaultSubtotal="0">
      <items count="157">
        <item m="1" x="155"/>
        <item x="3"/>
        <item m="1" x="156"/>
        <item x="0"/>
        <item x="2"/>
        <item x="10"/>
        <item x="17"/>
        <item x="20"/>
        <item x="35"/>
        <item x="45"/>
        <item x="51"/>
        <item x="56"/>
        <item x="62"/>
        <item x="65"/>
        <item x="70"/>
        <item x="73"/>
        <item x="74"/>
        <item x="78"/>
        <item x="82"/>
        <item x="86"/>
        <item x="92"/>
        <item x="93"/>
        <item x="98"/>
        <item x="101"/>
        <item x="104"/>
        <item x="112"/>
        <item x="34"/>
        <item x="118"/>
        <item x="122"/>
        <item x="127"/>
        <item x="130"/>
        <item x="133"/>
        <item x="135"/>
        <item x="140"/>
        <item x="146"/>
        <item x="150"/>
        <item x="16"/>
        <item x="21"/>
        <item x="23"/>
        <item x="28"/>
        <item x="52"/>
        <item x="71"/>
        <item x="87"/>
        <item x="99"/>
        <item x="102"/>
        <item x="107"/>
        <item x="119"/>
        <item x="123"/>
        <item x="141"/>
        <item x="147"/>
        <item x="151"/>
        <item x="4"/>
        <item x="24"/>
        <item x="32"/>
        <item x="36"/>
        <item x="40"/>
        <item x="57"/>
        <item x="94"/>
        <item x="95"/>
        <item x="108"/>
        <item x="142"/>
        <item x="5"/>
        <item x="11"/>
        <item x="13"/>
        <item x="18"/>
        <item x="25"/>
        <item x="29"/>
        <item x="33"/>
        <item x="37"/>
        <item x="41"/>
        <item x="42"/>
        <item x="46"/>
        <item x="47"/>
        <item x="48"/>
        <item x="58"/>
        <item x="59"/>
        <item x="63"/>
        <item x="66"/>
        <item x="79"/>
        <item x="83"/>
        <item x="88"/>
        <item x="89"/>
        <item x="96"/>
        <item x="97"/>
        <item x="105"/>
        <item x="109"/>
        <item x="113"/>
        <item x="114"/>
        <item x="120"/>
        <item x="124"/>
        <item x="125"/>
        <item x="131"/>
        <item x="136"/>
        <item x="137"/>
        <item x="143"/>
        <item x="19"/>
        <item x="152"/>
        <item x="6"/>
        <item x="7"/>
        <item x="12"/>
        <item x="14"/>
        <item x="26"/>
        <item x="30"/>
        <item x="38"/>
        <item x="43"/>
        <item x="53"/>
        <item x="60"/>
        <item x="67"/>
        <item x="68"/>
        <item x="72"/>
        <item x="75"/>
        <item x="80"/>
        <item x="1"/>
        <item x="84"/>
        <item x="90"/>
        <item x="106"/>
        <item x="110"/>
        <item x="115"/>
        <item x="128"/>
        <item x="129"/>
        <item x="132"/>
        <item x="134"/>
        <item x="138"/>
        <item x="144"/>
        <item x="153"/>
        <item x="8"/>
        <item x="9"/>
        <item x="15"/>
        <item x="22"/>
        <item x="27"/>
        <item x="31"/>
        <item x="39"/>
        <item x="44"/>
        <item x="49"/>
        <item x="50"/>
        <item x="54"/>
        <item x="55"/>
        <item x="61"/>
        <item x="64"/>
        <item x="69"/>
        <item x="76"/>
        <item x="77"/>
        <item x="81"/>
        <item x="85"/>
        <item x="91"/>
        <item x="100"/>
        <item x="103"/>
        <item x="111"/>
        <item x="116"/>
        <item x="117"/>
        <item x="121"/>
        <item x="126"/>
        <item x="139"/>
        <item x="145"/>
        <item x="148"/>
        <item x="149"/>
        <item x="154"/>
      </items>
    </pivotField>
    <pivotField dataField="1" showAll="0"/>
    <pivotField dataField="1" showAll="0"/>
    <pivotField showAll="0"/>
    <pivotField showAll="0"/>
    <pivotField showAll="0"/>
    <pivotField showAll="0"/>
    <pivotField showAll="0"/>
    <pivotField showAll="0"/>
    <pivotField numFmtId="1" showAll="0"/>
    <pivotField showAll="0"/>
  </pivotFields>
  <rowFields count="2">
    <field x="0"/>
    <field x="35"/>
  </rowFields>
  <rowItems count="1">
    <i>
      <x v="38"/>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dataFields count="18">
    <dataField name="Average of our score" fld="37" subtotal="average" baseField="0" baseItem="0"/>
    <dataField name="Average of auton our score" fld="10" subtotal="average" baseField="0" baseItem="18"/>
    <dataField name="Average of teleop our score" fld="25" subtotal="average" baseField="0" baseItem="18"/>
    <dataField name="Average of Endgame our score" fld="36" subtotal="average" baseField="0" baseItem="18"/>
    <dataField name="Average of Auton Scored High" fld="2" subtotal="average" baseField="0" baseItem="0" numFmtId="164"/>
    <dataField name="Average of Auton Scored Low" fld="3" subtotal="average" baseField="0" baseItem="1"/>
    <dataField name="Max of auton balls scored" fld="9" subtotal="max" baseField="0" baseItem="18"/>
    <dataField name="Average of Balls Scored From Trench" fld="11" subtotal="average" baseField="0" baseItem="18"/>
    <dataField name="Average of balls scored low" fld="14" subtotal="average" baseField="0" baseItem="18"/>
    <dataField name="Average of balls scored" fld="22" subtotal="average" baseField="0" baseItem="18"/>
    <dataField name="Max of balls scored2" fld="22" subtotal="max" baseField="0" baseItem="18"/>
    <dataField name="Max of balls scored high" fld="21" subtotal="max" baseField="0" baseItem="18"/>
    <dataField name="Sum of Control Panels Spun" fld="16" baseField="0" baseItem="0"/>
    <dataField name="Sum of Control Panel Color" fld="18" baseField="0" baseItem="0"/>
    <dataField name="Sum of Climbed" fld="26" baseField="0" baseItem="0"/>
    <dataField name="Sum of Adjustable Climber" fld="27" baseField="0" baseItem="0"/>
    <dataField name="Sum of Breakdown/ No Show" fld="31" baseField="0" baseItem="0"/>
    <dataField name="Max of Defense Level" fld="20" subtotal="max" baseField="0" baseItem="1"/>
  </dataFields>
  <formats count="16">
    <format dxfId="48">
      <pivotArea field="0" type="button" dataOnly="0" labelOnly="1" outline="0" axis="axisRow" fieldPosition="0"/>
    </format>
    <format dxfId="49">
      <pivotArea field="0" type="button" dataOnly="0" labelOnly="1" outline="0" axis="axisRow" fieldPosition="0"/>
    </format>
    <format dxfId="50">
      <pivotArea outline="0" fieldPosition="0">
        <references count="1">
          <reference field="4294967294" count="1">
            <x v="4"/>
          </reference>
        </references>
      </pivotArea>
    </format>
    <format dxfId="51">
      <pivotArea dataOnly="0" labelOnly="1" outline="0" fieldPosition="0">
        <references count="1">
          <reference field="4294967294" count="13">
            <x v="0"/>
            <x v="4"/>
            <x v="5"/>
            <x v="6"/>
            <x v="7"/>
            <x v="8"/>
            <x v="9"/>
            <x v="12"/>
            <x v="13"/>
            <x v="14"/>
            <x v="15"/>
            <x v="16"/>
            <x v="17"/>
          </reference>
        </references>
      </pivotArea>
    </format>
    <format dxfId="52">
      <pivotArea outline="0" collapsedLevelsAreSubtotals="1" fieldPosition="0"/>
    </format>
    <format dxfId="53">
      <pivotArea dataOnly="0" labelOnly="1" outline="0" fieldPosition="0">
        <references count="1">
          <reference field="4294967294" count="13">
            <x v="0"/>
            <x v="4"/>
            <x v="5"/>
            <x v="6"/>
            <x v="7"/>
            <x v="8"/>
            <x v="9"/>
            <x v="12"/>
            <x v="13"/>
            <x v="14"/>
            <x v="15"/>
            <x v="16"/>
            <x v="17"/>
          </reference>
        </references>
      </pivotArea>
    </format>
    <format dxfId="54">
      <pivotArea dataOnly="0" labelOnly="1" outline="0" fieldPosition="0">
        <references count="1">
          <reference field="4294967294" count="3">
            <x v="1"/>
            <x v="2"/>
            <x v="3"/>
          </reference>
        </references>
      </pivotArea>
    </format>
    <format dxfId="55">
      <pivotArea outline="0" collapsedLevelsAreSubtotals="1" fieldPosition="0">
        <references count="1">
          <reference field="4294967294" count="1" selected="0">
            <x v="15"/>
          </reference>
        </references>
      </pivotArea>
    </format>
    <format dxfId="56">
      <pivotArea dataOnly="0" labelOnly="1" outline="0" fieldPosition="0">
        <references count="1">
          <reference field="4294967294" count="1">
            <x v="15"/>
          </reference>
        </references>
      </pivotArea>
    </format>
    <format dxfId="57">
      <pivotArea outline="0" collapsedLevelsAreSubtotals="1" fieldPosition="0">
        <references count="1">
          <reference field="4294967294" count="1" selected="0">
            <x v="15"/>
          </reference>
        </references>
      </pivotArea>
    </format>
    <format dxfId="58">
      <pivotArea dataOnly="0" labelOnly="1" outline="0" fieldPosition="0">
        <references count="1">
          <reference field="4294967294" count="1">
            <x v="15"/>
          </reference>
        </references>
      </pivotArea>
    </format>
    <format dxfId="59">
      <pivotArea outline="0" collapsedLevelsAreSubtotals="1" fieldPosition="0">
        <references count="1">
          <reference field="4294967294" count="1" selected="0">
            <x v="15"/>
          </reference>
        </references>
      </pivotArea>
    </format>
    <format dxfId="60">
      <pivotArea dataOnly="0" labelOnly="1" outline="0" fieldPosition="0">
        <references count="1">
          <reference field="4294967294" count="1">
            <x v="15"/>
          </reference>
        </references>
      </pivotArea>
    </format>
    <format dxfId="61">
      <pivotArea dataOnly="0" labelOnly="1" outline="0" fieldPosition="0">
        <references count="1">
          <reference field="4294967294" count="1">
            <x v="0"/>
          </reference>
        </references>
      </pivotArea>
    </format>
    <format dxfId="62">
      <pivotArea field="0" type="button" dataOnly="0" labelOnly="1" outline="0" axis="axisRow" fieldPosition="0"/>
    </format>
    <format dxfId="63">
      <pivotArea dataOnly="0" labelOnly="1" outline="0" fieldPosition="0">
        <references count="1">
          <reference field="4294967294" count="18">
            <x v="0"/>
            <x v="1"/>
            <x v="2"/>
            <x v="3"/>
            <x v="4"/>
            <x v="5"/>
            <x v="6"/>
            <x v="7"/>
            <x v="8"/>
            <x v="9"/>
            <x v="10"/>
            <x v="11"/>
            <x v="12"/>
            <x v="13"/>
            <x v="14"/>
            <x v="15"/>
            <x v="16"/>
            <x v="17"/>
          </reference>
        </references>
      </pivotArea>
    </format>
  </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_number" xr10:uid="{DC1B582D-DB2B-4007-BD6E-C30E9B8F3126}" sourceName="Team number">
  <pivotTables>
    <pivotTable tabId="5" name="PivotTable1"/>
  </pivotTables>
  <data>
    <tabular pivotCacheId="1053498988">
      <items count="56">
        <i x="2"/>
        <i x="3"/>
        <i x="4"/>
        <i x="5"/>
        <i x="6"/>
        <i x="7"/>
        <i x="8"/>
        <i x="9"/>
        <i x="10"/>
        <i x="11"/>
        <i x="12"/>
        <i x="13"/>
        <i x="14"/>
        <i x="15"/>
        <i x="16"/>
        <i x="17"/>
        <i x="18"/>
        <i x="19"/>
        <i x="20"/>
        <i x="21"/>
        <i x="22"/>
        <i x="23"/>
        <i x="24" s="1"/>
        <i x="25"/>
        <i x="26"/>
        <i x="27"/>
        <i x="28"/>
        <i x="29"/>
        <i x="30"/>
        <i x="31"/>
        <i x="32"/>
        <i x="33"/>
        <i x="34"/>
        <i x="35"/>
        <i x="36"/>
        <i x="37"/>
        <i x="38"/>
        <i x="39"/>
        <i x="1"/>
        <i x="0"/>
        <i x="40"/>
        <i x="44" nd="1"/>
        <i x="55" nd="1"/>
        <i x="52" nd="1"/>
        <i x="54" nd="1"/>
        <i x="41" nd="1"/>
        <i x="53" nd="1"/>
        <i x="47" nd="1"/>
        <i x="42" nd="1"/>
        <i x="50" nd="1"/>
        <i x="43" nd="1"/>
        <i x="51" nd="1"/>
        <i x="46" nd="1"/>
        <i x="48" nd="1"/>
        <i x="49" nd="1"/>
        <i x="45"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mment" xr10:uid="{0EDCB05F-2D8E-4CF3-A38C-02D84A988CB6}" sourceName="commment">
  <pivotTables>
    <pivotTable tabId="5" name="PivotTable1"/>
  </pivotTables>
  <data>
    <tabular pivotCacheId="1053498988">
      <items count="157">
        <i x="93" s="1"/>
        <i x="92" s="1"/>
        <i x="97" s="1"/>
        <i x="95" s="1"/>
        <i x="94" s="1"/>
        <i x="96" s="1"/>
        <i x="3" s="1"/>
        <i x="0" s="1" nd="1"/>
        <i x="155" s="1" nd="1"/>
        <i x="156" s="1" nd="1"/>
        <i x="15" s="1" nd="1"/>
        <i x="84" s="1" nd="1"/>
        <i x="99" s="1" nd="1"/>
        <i x="107" s="1" nd="1"/>
        <i x="74" s="1" nd="1"/>
        <i x="70" s="1" nd="1"/>
        <i x="25" s="1" nd="1"/>
        <i x="30" s="1" nd="1"/>
        <i x="102" s="1" nd="1"/>
        <i x="27" s="1" nd="1"/>
        <i x="83" s="1" nd="1"/>
        <i x="81" s="1" nd="1"/>
        <i x="51" s="1" nd="1"/>
        <i x="45" s="1" nd="1"/>
        <i x="50" s="1" nd="1"/>
        <i x="138" s="1" nd="1"/>
        <i x="58" s="1" nd="1"/>
        <i x="62" s="1" nd="1"/>
        <i x="37" s="1" nd="1"/>
        <i x="117" s="1" nd="1"/>
        <i x="147" s="1" nd="1"/>
        <i x="125" s="1" nd="1"/>
        <i x="146" s="1" nd="1"/>
        <i x="79" s="1" nd="1"/>
        <i x="154" s="1" nd="1"/>
        <i x="110" s="1" nd="1"/>
        <i x="127" s="1" nd="1"/>
        <i x="24" s="1" nd="1"/>
        <i x="137" s="1" nd="1"/>
        <i x="54" s="1" nd="1"/>
        <i x="77" s="1" nd="1"/>
        <i x="57" s="1" nd="1"/>
        <i x="103" s="1" nd="1"/>
        <i x="68" s="1" nd="1"/>
        <i x="12" s="1" nd="1"/>
        <i x="34" s="1" nd="1"/>
        <i x="104" s="1" nd="1"/>
        <i x="65" s="1" nd="1"/>
        <i x="75" s="1" nd="1"/>
        <i x="149" s="1" nd="1"/>
        <i x="116" s="1" nd="1"/>
        <i x="85" s="1" nd="1"/>
        <i x="69" s="1" nd="1"/>
        <i x="41" s="1" nd="1"/>
        <i x="90" s="1" nd="1"/>
        <i x="35" s="1" nd="1"/>
        <i x="86" s="1" nd="1"/>
        <i x="19" s="1" nd="1"/>
        <i x="52" s="1" nd="1"/>
        <i x="131" s="1" nd="1"/>
        <i x="20" s="1" nd="1"/>
        <i x="72" s="1" nd="1"/>
        <i x="128" s="1" nd="1"/>
        <i x="111" s="1" nd="1"/>
        <i x="144" s="1" nd="1"/>
        <i x="13" s="1" nd="1"/>
        <i x="121" s="1" nd="1"/>
        <i x="113" s="1" nd="1"/>
        <i x="130" s="1" nd="1"/>
        <i x="132" s="1" nd="1"/>
        <i x="47" s="1" nd="1"/>
        <i x="66" s="1" nd="1"/>
        <i x="122" s="1" nd="1"/>
        <i x="53" s="1" nd="1"/>
        <i x="16" s="1" nd="1"/>
        <i x="40" s="1" nd="1"/>
        <i x="118" s="1" nd="1"/>
        <i x="32" s="1" nd="1"/>
        <i x="2" s="1" nd="1"/>
        <i x="64" s="1" nd="1"/>
        <i x="150" s="1" nd="1"/>
        <i x="46" s="1" nd="1"/>
        <i x="115" s="1" nd="1"/>
        <i x="61" s="1" nd="1"/>
        <i x="44" s="1" nd="1"/>
        <i x="5" s="1" nd="1"/>
        <i x="23" s="1" nd="1"/>
        <i x="6" s="1" nd="1"/>
        <i x="105" s="1" nd="1"/>
        <i x="140" s="1" nd="1"/>
        <i x="11" s="1" nd="1"/>
        <i x="48" s="1" nd="1"/>
        <i x="38" s="1" nd="1"/>
        <i x="4" s="1" nd="1"/>
        <i x="42" s="1" nd="1"/>
        <i x="152" s="1" nd="1"/>
        <i x="151" s="1" nd="1"/>
        <i x="36" s="1" nd="1"/>
        <i x="141" s="1" nd="1"/>
        <i x="89" s="1" nd="1"/>
        <i x="33" s="1" nd="1"/>
        <i x="59" s="1" nd="1"/>
        <i x="126" s="1" nd="1"/>
        <i x="112" s="1" nd="1"/>
        <i x="14" s="1" nd="1"/>
        <i x="145" s="1" nd="1"/>
        <i x="7" s="1" nd="1"/>
        <i x="108" s="1" nd="1"/>
        <i x="78" s="1" nd="1"/>
        <i x="49" s="1" nd="1"/>
        <i x="39" s="1" nd="1"/>
        <i x="88" s="1" nd="1"/>
        <i x="101" s="1" nd="1"/>
        <i x="21" s="1" nd="1"/>
        <i x="142" s="1" nd="1"/>
        <i x="87" s="1" nd="1"/>
        <i x="28" s="1" nd="1"/>
        <i x="134" s="1" nd="1"/>
        <i x="129" s="1" nd="1"/>
        <i x="17" s="1" nd="1"/>
        <i x="143" s="1" nd="1"/>
        <i x="109" s="1" nd="1"/>
        <i x="98" s="1" nd="1"/>
        <i x="106" s="1" nd="1"/>
        <i x="63" s="1" nd="1"/>
        <i x="91" s="1" nd="1"/>
        <i x="135" s="1" nd="1"/>
        <i x="18" s="1" nd="1"/>
        <i x="100" s="1" nd="1"/>
        <i x="133" s="1" nd="1"/>
        <i x="123" s="1" nd="1"/>
        <i x="124" s="1" nd="1"/>
        <i x="22" s="1" nd="1"/>
        <i x="71" s="1" nd="1"/>
        <i x="119" s="1" nd="1"/>
        <i x="148" s="1" nd="1"/>
        <i x="139" s="1" nd="1"/>
        <i x="114" s="1" nd="1"/>
        <i x="136" s="1" nd="1"/>
        <i x="43" s="1" nd="1"/>
        <i x="67" s="1" nd="1"/>
        <i x="31" s="1" nd="1"/>
        <i x="82" s="1" nd="1"/>
        <i x="1" s="1" nd="1"/>
        <i x="26" s="1" nd="1"/>
        <i x="153" s="1" nd="1"/>
        <i x="80" s="1" nd="1"/>
        <i x="60" s="1" nd="1"/>
        <i x="56" s="1" nd="1"/>
        <i x="9" s="1" nd="1"/>
        <i x="55" s="1" nd="1"/>
        <i x="76" s="1" nd="1"/>
        <i x="73" s="1" nd="1"/>
        <i x="29" s="1" nd="1"/>
        <i x="8" s="1" nd="1"/>
        <i x="120" s="1" nd="1"/>
        <i x="1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eam number" xr10:uid="{8C749798-EC39-4497-BCA5-2CCACE9E4BB4}" cache="Slicer_Team_number" caption="Team number" columnCount="5" style="SlicerStyleLight4" rowHeight="241300"/>
  <slicer name="commment" xr10:uid="{BA2A1704-D6D1-4C73-A391-6B641826278C}" cache="Slicer_commment" caption="commment"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6CBA8E0-BC76-4FEF-9BF4-BB1174D412EA}" name="Table1" displayName="Table1" ref="A1:AT702" totalsRowShown="0" headerRowDxfId="82">
  <autoFilter ref="A1:AT702" xr:uid="{6033D961-0D19-492C-B81E-B93401F7DD36}"/>
  <sortState xmlns:xlrd2="http://schemas.microsoft.com/office/spreadsheetml/2017/richdata2" ref="A2:AR702">
    <sortCondition ref="A2:A702"/>
  </sortState>
  <tableColumns count="46">
    <tableColumn id="1" xr3:uid="{5E7C495D-FAF1-40FF-806F-4BA39005127E}" name="Team "/>
    <tableColumn id="2" xr3:uid="{EE153441-4BF9-4553-BB18-BD177BBBE542}" name="Auton start"/>
    <tableColumn id="3" xr3:uid="{8E75D353-D6B2-4366-9E97-F676ADEB2CA0}" name="Auton Scored High"/>
    <tableColumn id="4" xr3:uid="{233F49C0-6394-459B-AC04-D76078941FF9}" name="Auton Scored Low"/>
    <tableColumn id="5" xr3:uid="{6458F1C5-EA51-46B0-8C46-61E0C145B9C6}" name="Auton ball picked up in our trench"/>
    <tableColumn id="43" xr3:uid="{EB96E62D-F7E6-4B8B-A57E-60BF8A4FF278}" name="Auton Balls Picked Up in Mid"/>
    <tableColumn id="6" xr3:uid="{14305210-E31C-4371-A62F-81E06E78FBA2}" name="Auton Balls Picked Up In Their Trench"/>
    <tableColumn id="7" xr3:uid="{CE246FDF-26D7-448C-B77B-54097DE085A1}" name="Auton Move Off Line"/>
    <tableColumn id="8" xr3:uid="{EB8C71DA-3497-4A00-B823-91B8B07098C4}" name="auton extra balls picked up2" dataDxfId="81">
      <calculatedColumnFormula>+Table1[[#This Row],[Auton ball picked up in our trench]]+Table1[[#This Row],[Auton Balls Picked Up in Mid]]+Table1[[#This Row],[Auton Balls Picked Up In Their Trench]]</calculatedColumnFormula>
    </tableColumn>
    <tableColumn id="9" xr3:uid="{0424501A-420B-452A-A049-FC5CD207BA0A}" name="auton balls scored" dataDxfId="80">
      <calculatedColumnFormula>+Table1[[#This Row],[Auton Scored High]]+Table1[[#This Row],[Auton Scored Low]]</calculatedColumnFormula>
    </tableColumn>
    <tableColumn id="10" xr3:uid="{CD6712A4-9EFE-40C5-9D8D-45BB0BF1241A}" name="auton our score" dataDxfId="79">
      <calculatedColumnFormula>(Table1[[#This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calculatedColumnFormula>
    </tableColumn>
    <tableColumn id="11" xr3:uid="{E778B355-7E75-4258-9F85-352A09851384}" name="Balls Scored From Trench"/>
    <tableColumn id="12" xr3:uid="{DDEFF409-FBEC-4797-8FC5-9A1AE8950242}" name="Balls Scored from Mid"/>
    <tableColumn id="13" xr3:uid="{F827A6CE-57BC-4C8F-9CC5-4EB1952FB2F5}" name="Balls Scored From Alliance zone"/>
    <tableColumn id="14" xr3:uid="{E6597D6F-F097-407F-975D-3C2E629B463D}" name="balls scored low"/>
    <tableColumn id="15" xr3:uid="{CC8F87C4-F4F7-40A6-AC44-F352344FD73F}" name="Balls Passed"/>
    <tableColumn id="16" xr3:uid="{A8E473B2-F1B5-4FCB-B7F7-8CA162558F7C}" name="Control Panels Spun"/>
    <tableColumn id="44" xr3:uid="{39BB36F8-940F-4021-AFD9-D471FC07E023}" name="Control Panel Spun Time"/>
    <tableColumn id="17" xr3:uid="{763FF5A4-B11E-443C-BDD4-324F9C86DB5E}" name="Control Panel Color"/>
    <tableColumn id="46" xr3:uid="{2A5AAC0C-BD6F-4293-A01A-3E55FA2B5A04}" name="Control Panel Color Time"/>
    <tableColumn id="18" xr3:uid="{F1FE04A5-0593-4759-B91F-884A8C05DFF7}" name="Defense Level"/>
    <tableColumn id="19" xr3:uid="{58E0FD15-E8EB-4221-BE58-3E5CDA12BA99}" name="balls scored high" dataDxfId="78">
      <calculatedColumnFormula>Table1[[#This Row],[Balls Scored From Trench]]+Table1[[#This Row],[Balls Scored from Mid]]+Table1[[#This Row],[Balls Scored From Alliance zone]]</calculatedColumnFormula>
    </tableColumn>
    <tableColumn id="20" xr3:uid="{1E6D36E9-1781-4E6F-8D70-05834B32C901}" name="balls scored" dataDxfId="77">
      <calculatedColumnFormula>Table1[[#This Row],[balls scored high]]+Table1[[#This Row],[balls scored low]]</calculatedColumnFormula>
    </tableColumn>
    <tableColumn id="48" xr3:uid="{DFC15BDE-9892-4BE8-842B-104C93ACB322}" name="Control Panel Time" dataDxfId="76">
      <calculatedColumnFormula>Table1[[#This Row],[Control Panel Spun Time]]+Table1[[#This Row],[Control Panel Color Time]]</calculatedColumnFormula>
    </tableColumn>
    <tableColumn id="21" xr3:uid="{F4933253-9A4C-4236-BDF9-13673BBA19AF}" name="Control Panels Spun3" dataDxfId="75">
      <calculatedColumnFormula>Table1[[#This Row],[Control Panels Spun]]+Table1[[#This Row],[Control Panel Color]]</calculatedColumnFormula>
    </tableColumn>
    <tableColumn id="22" xr3:uid="{3C00000E-85A2-40A1-AA7C-B91ACCBCB192}" name="teleop our score" dataDxfId="74">
      <calculatedColumnFormula>(Table1[[#This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calculatedColumnFormula>
    </tableColumn>
    <tableColumn id="23" xr3:uid="{2C88ED48-5AC3-4A74-B7A4-478E4A834A3A}" name="Climbed"/>
    <tableColumn id="24" xr3:uid="{04DEDBBE-FEDA-423D-B720-7C6AD6B14FC2}" name="Adjustable Climber"/>
    <tableColumn id="47" xr3:uid="{65402EB6-56BD-4A0A-8003-50D5C49E1997}" name="Balanced"/>
    <tableColumn id="25" xr3:uid="{0F12DF00-46BE-4A00-81C3-41F1CBF55088}" name="Lift other Robot"/>
    <tableColumn id="26" xr3:uid="{7367D4C8-0B64-4DB7-8C27-0AD4A04767AC}" name="Any Fouls"/>
    <tableColumn id="27" xr3:uid="{1E212801-C8F2-4225-99BE-0ED952506B10}" name="Breakdown/ No Show"/>
    <tableColumn id="28" xr3:uid="{C38329F3-35D8-4E6D-BA2A-F163AA4ACB5E}" name="recovery"/>
    <tableColumn id="29" xr3:uid="{CDD2CFEE-B666-47A3-ACEC-9B6097B2CEF2}" name="match number"/>
    <tableColumn id="30" xr3:uid="{084554BD-494B-46D7-A6C0-166770C60E90}" name="scouter initials"/>
    <tableColumn id="31" xr3:uid="{15BEE64B-73AA-41B1-941A-5D922C9442AF}" name="commment"/>
    <tableColumn id="32" xr3:uid="{2C07B887-9E05-4005-9252-994B9E7608A5}" name="Endgame our score" dataDxfId="73">
      <calculatedColumnFormula>(Table1[[#This Row],[Climbed]]*weighting!$B$18)+(Table1[[#This Row],[Adjustable Climber]]*weighting!$B$19)+(Table1[[#This Row],[Lift other Robot]]*weighting!$B$20)+(Table1[[#This Row],[Balanced]]*weighting!$B$21)</calculatedColumnFormula>
    </tableColumn>
    <tableColumn id="33" xr3:uid="{E339B0CE-6FC6-4ED3-8B70-518C861CA835}" name="our score" dataDxfId="72">
      <calculatedColumnFormula>+Table1[[#This Row],[Endgame our score]]+Table1[[#This Row],[teleop our score]]+Table1[[#This Row],[auton our score]]</calculatedColumnFormula>
    </tableColumn>
    <tableColumn id="34" xr3:uid="{5A0B211A-DCAF-42B2-BA69-EB1A54A26489}" name="auton start left" dataDxfId="71">
      <calculatedColumnFormula>IF(B2=1,1,0)</calculatedColumnFormula>
    </tableColumn>
    <tableColumn id="35" xr3:uid="{B1FB3C7E-8F71-4CFC-A4C7-6D158CDFDF37}" name="Auton start center" dataDxfId="70">
      <calculatedColumnFormula>IF(B2=2,1,0)</calculatedColumnFormula>
    </tableColumn>
    <tableColumn id="36" xr3:uid="{DFFB46ED-BAF4-48AF-9538-274E8E06276F}" name="auton start right" dataDxfId="69">
      <calculatedColumnFormula>IF(B2=3,1,0)</calculatedColumnFormula>
    </tableColumn>
    <tableColumn id="38" xr3:uid="{54E69BE8-50D5-43D2-A527-F61FD6091003}" name="all balls scored" dataDxfId="68">
      <calculatedColumnFormula>Table1[[#This Row],[balls scored]]+Table1[[#This Row],[auton balls scored]]</calculatedColumnFormula>
    </tableColumn>
    <tableColumn id="39" xr3:uid="{5475A399-22CA-4E9B-8403-B766365BCA21}" name="all balls scored high" dataDxfId="67">
      <calculatedColumnFormula>Table1[[#This Row],[balls scored high]]+Table1[[#This Row],[Auton Scored High]]</calculatedColumnFormula>
    </tableColumn>
    <tableColumn id="49" xr3:uid="{A9F6CE4C-A761-4723-A060-C2FFA36F7C03}" name="all balls scored Low" dataDxfId="66">
      <calculatedColumnFormula>Table1[[#This Row],[balls scored low]]+Table1[[#This Row],[Auton Scored Low]]</calculatedColumnFormula>
    </tableColumn>
    <tableColumn id="37" xr3:uid="{7B3207DD-6CF2-4790-8F69-3893142C911D}" name="time spun w/ out 0" dataDxfId="65">
      <calculatedColumnFormula>IF(Table1[[#This Row],[Control Panel Spun Time]]&gt;0,1,0)</calculatedColumnFormula>
    </tableColumn>
    <tableColumn id="40" xr3:uid="{79A5E199-35C5-4FE2-AD30-5C0FAB8A2992}" name="time spun color w/ out 0" dataDxfId="64">
      <calculatedColumnFormula>IF(Table1[[#This Row],[Control Panel Color Time]]&gt;0,1,0)</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10.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0" Type="http://schemas.openxmlformats.org/officeDocument/2006/relationships/ctrlProp" Target="../ctrlProps/ctrlProp13.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7.xml"/><Relationship Id="rId7" Type="http://schemas.microsoft.com/office/2007/relationships/slicer" Target="../slicers/slicer1.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8.emf"/><Relationship Id="rId5" Type="http://schemas.openxmlformats.org/officeDocument/2006/relationships/control" Target="../activeX/activeX1.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1" Type="http://schemas.openxmlformats.org/officeDocument/2006/relationships/image" Target="../media/image1.png"/></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E78B8-D906-4938-9114-4593CB9CC2B8}">
  <sheetPr codeName="Sheet1">
    <tabColor rgb="FFFFFF00"/>
  </sheetPr>
  <dimension ref="A1:AT702"/>
  <sheetViews>
    <sheetView zoomScale="115" zoomScaleNormal="115" workbookViewId="0">
      <pane xSplit="1" ySplit="1" topLeftCell="T2" activePane="bottomRight" state="frozen"/>
      <selection pane="topRight" activeCell="B1" sqref="B1"/>
      <selection pane="bottomLeft" activeCell="A2" sqref="A2"/>
      <selection pane="bottomRight" activeCell="T8" sqref="T8"/>
    </sheetView>
  </sheetViews>
  <sheetFormatPr defaultColWidth="8.42578125" defaultRowHeight="15" x14ac:dyDescent="0.25"/>
  <cols>
    <col min="1" max="1" width="8.42578125" style="8"/>
    <col min="5" max="5" width="10.140625" customWidth="1"/>
    <col min="9" max="11" width="8.42578125" style="8"/>
    <col min="22" max="26" width="8.42578125" style="8"/>
    <col min="36" max="36" width="41.28515625" customWidth="1"/>
    <col min="37" max="37" width="8.42578125" style="17"/>
    <col min="38" max="38" width="8.42578125" style="8"/>
    <col min="42" max="43" width="8.42578125" style="8"/>
    <col min="45" max="46" width="8.42578125" style="51"/>
  </cols>
  <sheetData>
    <row r="1" spans="1:46" s="10" customFormat="1" ht="58.5" customHeight="1" x14ac:dyDescent="0.25">
      <c r="A1" s="9" t="s">
        <v>336</v>
      </c>
      <c r="B1" s="10" t="s">
        <v>0</v>
      </c>
      <c r="C1" s="11" t="s">
        <v>1</v>
      </c>
      <c r="D1" s="10" t="s">
        <v>2</v>
      </c>
      <c r="E1" s="10" t="s">
        <v>114</v>
      </c>
      <c r="F1" s="10" t="s">
        <v>110</v>
      </c>
      <c r="G1" s="10" t="s">
        <v>115</v>
      </c>
      <c r="H1" s="10" t="s">
        <v>3</v>
      </c>
      <c r="I1" s="9" t="s">
        <v>45</v>
      </c>
      <c r="J1" s="9" t="s">
        <v>29</v>
      </c>
      <c r="K1" s="9" t="s">
        <v>36</v>
      </c>
      <c r="L1" s="10" t="s">
        <v>4</v>
      </c>
      <c r="M1" s="10" t="s">
        <v>5</v>
      </c>
      <c r="N1" s="10" t="s">
        <v>6</v>
      </c>
      <c r="O1" s="10" t="s">
        <v>31</v>
      </c>
      <c r="P1" s="10" t="s">
        <v>7</v>
      </c>
      <c r="Q1" s="10" t="s">
        <v>8</v>
      </c>
      <c r="R1" s="10" t="s">
        <v>111</v>
      </c>
      <c r="S1" s="10" t="s">
        <v>9</v>
      </c>
      <c r="T1" s="10" t="s">
        <v>112</v>
      </c>
      <c r="U1" s="10" t="s">
        <v>10</v>
      </c>
      <c r="V1" s="9" t="s">
        <v>30</v>
      </c>
      <c r="W1" s="9" t="s">
        <v>32</v>
      </c>
      <c r="X1" s="9" t="s">
        <v>118</v>
      </c>
      <c r="Y1" s="9" t="s">
        <v>46</v>
      </c>
      <c r="Z1" s="9" t="s">
        <v>37</v>
      </c>
      <c r="AA1" s="10" t="s">
        <v>11</v>
      </c>
      <c r="AB1" s="10" t="s">
        <v>12</v>
      </c>
      <c r="AC1" s="10" t="s">
        <v>113</v>
      </c>
      <c r="AD1" s="10" t="s">
        <v>13</v>
      </c>
      <c r="AE1" s="10" t="s">
        <v>14</v>
      </c>
      <c r="AF1" s="10" t="s">
        <v>15</v>
      </c>
      <c r="AG1" s="10" t="s">
        <v>35</v>
      </c>
      <c r="AH1" s="10" t="s">
        <v>33</v>
      </c>
      <c r="AI1" s="10" t="s">
        <v>42</v>
      </c>
      <c r="AJ1" s="10" t="s">
        <v>34</v>
      </c>
      <c r="AK1" s="16" t="s">
        <v>41</v>
      </c>
      <c r="AL1" s="9" t="s">
        <v>44</v>
      </c>
      <c r="AM1" s="9" t="s">
        <v>61</v>
      </c>
      <c r="AN1" s="9" t="s">
        <v>63</v>
      </c>
      <c r="AO1" s="9" t="s">
        <v>62</v>
      </c>
      <c r="AP1" s="9" t="s">
        <v>82</v>
      </c>
      <c r="AQ1" s="9" t="s">
        <v>83</v>
      </c>
      <c r="AR1" s="9" t="s">
        <v>121</v>
      </c>
      <c r="AS1" s="49" t="s">
        <v>158</v>
      </c>
      <c r="AT1" s="49" t="s">
        <v>160</v>
      </c>
    </row>
    <row r="2" spans="1:46" s="14" customFormat="1" x14ac:dyDescent="0.25">
      <c r="A2" s="14">
        <v>9999</v>
      </c>
      <c r="B2" s="14">
        <v>1</v>
      </c>
      <c r="C2" s="14">
        <v>1</v>
      </c>
      <c r="D2" s="14">
        <v>1</v>
      </c>
      <c r="E2" s="14">
        <v>1</v>
      </c>
      <c r="F2" s="14">
        <v>1</v>
      </c>
      <c r="G2" s="14">
        <v>1</v>
      </c>
      <c r="H2" s="14">
        <v>1</v>
      </c>
      <c r="I2" s="8">
        <f>+Table1[[#This Row],[Auton ball picked up in our trench]]+Table1[[#This Row],[Auton Balls Picked Up in Mid]]+Table1[[#This Row],[Auton Balls Picked Up In Their Trench]]</f>
        <v>3</v>
      </c>
      <c r="J2" s="8">
        <f>+Table1[[#This Row],[Auton Scored High]]+Table1[[#This Row],[Auton Scored Low]]</f>
        <v>2</v>
      </c>
      <c r="K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11</v>
      </c>
      <c r="L2" s="14">
        <v>1</v>
      </c>
      <c r="M2" s="14">
        <v>1</v>
      </c>
      <c r="N2" s="14">
        <v>1</v>
      </c>
      <c r="O2" s="14">
        <v>1</v>
      </c>
      <c r="P2" s="14">
        <v>1</v>
      </c>
      <c r="Q2" s="14">
        <v>1</v>
      </c>
      <c r="R2" s="14">
        <v>1</v>
      </c>
      <c r="S2" s="14">
        <v>1</v>
      </c>
      <c r="T2" s="14">
        <v>1</v>
      </c>
      <c r="U2" s="14">
        <v>1</v>
      </c>
      <c r="V2" s="8">
        <f>Table1[[#This Row],[Balls Scored From Trench]]+Table1[[#This Row],[Balls Scored from Mid]]+Table1[[#This Row],[Balls Scored From Alliance zone]]</f>
        <v>3</v>
      </c>
      <c r="W2" s="8">
        <f>Table1[[#This Row],[balls scored high]]+Table1[[#This Row],[balls scored low]]</f>
        <v>4</v>
      </c>
      <c r="X2" s="8">
        <f>Table1[[#This Row],[Control Panel Spun Time]]+Table1[[#This Row],[Control Panel Color Time]]</f>
        <v>2</v>
      </c>
      <c r="Y2" s="8">
        <f>Table1[[#This Row],[Control Panels Spun]]+Table1[[#This Row],[Control Panel Color]]</f>
        <v>2</v>
      </c>
      <c r="Z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15</v>
      </c>
      <c r="AA2" s="14">
        <v>1</v>
      </c>
      <c r="AB2" s="14">
        <v>1</v>
      </c>
      <c r="AC2" s="14">
        <v>1</v>
      </c>
      <c r="AD2" s="14">
        <v>1</v>
      </c>
      <c r="AE2" s="14">
        <v>1</v>
      </c>
      <c r="AF2" s="14">
        <v>1</v>
      </c>
      <c r="AG2" s="14">
        <v>1</v>
      </c>
      <c r="AH2" s="14">
        <v>1</v>
      </c>
      <c r="AI2" s="14">
        <v>1</v>
      </c>
      <c r="AJ2" s="14">
        <v>1</v>
      </c>
      <c r="AK2" s="17">
        <f>(Table1[[#This Row],[Climbed]]*weighting!$B$18)+(Table1[[#This Row],[Adjustable Climber]]*weighting!$B$19)+(Table1[[#This Row],[Lift other Robot]]*weighting!$B$20)+(Table1[[#This Row],[Balanced]]*weighting!$B$21)</f>
        <v>75</v>
      </c>
      <c r="AL2" s="8">
        <f>+Table1[[#This Row],[Endgame our score]]+Table1[[#This Row],[teleop our score]]+Table1[[#This Row],[auton our score]]</f>
        <v>101</v>
      </c>
      <c r="AM2" s="20">
        <f t="shared" ref="AM2:AM65" si="0">IF(B2=1,1,0)</f>
        <v>1</v>
      </c>
      <c r="AN2" s="20">
        <f t="shared" ref="AN2:AN65" si="1">IF(B2=2,1,0)</f>
        <v>0</v>
      </c>
      <c r="AO2" s="20">
        <f t="shared" ref="AO2:AO65" si="2">IF(B2=3,1,0)</f>
        <v>0</v>
      </c>
      <c r="AP2" s="20">
        <f>Table1[[#This Row],[balls scored]]+Table1[[#This Row],[auton balls scored]]</f>
        <v>6</v>
      </c>
      <c r="AQ2" s="20">
        <f>Table1[[#This Row],[balls scored high]]+Table1[[#This Row],[Auton Scored High]]</f>
        <v>4</v>
      </c>
      <c r="AR2" s="20">
        <f>Table1[[#This Row],[balls scored low]]+Table1[[#This Row],[Auton Scored Low]]</f>
        <v>2</v>
      </c>
      <c r="AS2" s="50">
        <f>IF(Table1[[#This Row],[Control Panel Spun Time]]&gt;0,1,0)</f>
        <v>1</v>
      </c>
      <c r="AT2" s="20">
        <f>IF(Table1[[#This Row],[Control Panel Color Time]]&gt;0,1,0)</f>
        <v>1</v>
      </c>
    </row>
    <row r="3" spans="1:46" s="15" customFormat="1" x14ac:dyDescent="0.25">
      <c r="A3">
        <v>9998</v>
      </c>
      <c r="B3">
        <v>1</v>
      </c>
      <c r="C3">
        <v>1</v>
      </c>
      <c r="D3">
        <v>1</v>
      </c>
      <c r="E3">
        <v>1</v>
      </c>
      <c r="F3">
        <v>1</v>
      </c>
      <c r="G3">
        <v>1</v>
      </c>
      <c r="H3">
        <v>1</v>
      </c>
      <c r="I3" s="8">
        <f>+Table1[[#This Row],[Auton ball picked up in our trench]]+Table1[[#This Row],[Auton Balls Picked Up in Mid]]+Table1[[#This Row],[Auton Balls Picked Up In Their Trench]]</f>
        <v>3</v>
      </c>
      <c r="J3" s="8">
        <f>+Table1[[#This Row],[Auton Scored High]]+Table1[[#This Row],[Auton Scored Low]]</f>
        <v>2</v>
      </c>
      <c r="K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11</v>
      </c>
      <c r="L3">
        <v>1</v>
      </c>
      <c r="M3">
        <v>1</v>
      </c>
      <c r="N3">
        <v>1</v>
      </c>
      <c r="O3">
        <v>1</v>
      </c>
      <c r="P3">
        <v>1</v>
      </c>
      <c r="Q3">
        <v>1</v>
      </c>
      <c r="R3">
        <v>1</v>
      </c>
      <c r="S3">
        <v>1</v>
      </c>
      <c r="T3">
        <v>1</v>
      </c>
      <c r="U3">
        <v>1</v>
      </c>
      <c r="V3" s="8">
        <f>Table1[[#This Row],[Balls Scored From Trench]]+Table1[[#This Row],[Balls Scored from Mid]]+Table1[[#This Row],[Balls Scored From Alliance zone]]</f>
        <v>3</v>
      </c>
      <c r="W3" s="8">
        <f>Table1[[#This Row],[balls scored high]]+Table1[[#This Row],[balls scored low]]</f>
        <v>4</v>
      </c>
      <c r="X3" s="8">
        <f>Table1[[#This Row],[Control Panel Spun Time]]+Table1[[#This Row],[Control Panel Color Time]]</f>
        <v>2</v>
      </c>
      <c r="Y3" s="8">
        <f>Table1[[#This Row],[Control Panels Spun]]+Table1[[#This Row],[Control Panel Color]]</f>
        <v>2</v>
      </c>
      <c r="Z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15</v>
      </c>
      <c r="AA3">
        <v>1</v>
      </c>
      <c r="AB3">
        <v>1</v>
      </c>
      <c r="AC3">
        <v>1</v>
      </c>
      <c r="AD3">
        <v>1</v>
      </c>
      <c r="AE3">
        <v>1</v>
      </c>
      <c r="AF3">
        <v>1</v>
      </c>
      <c r="AG3">
        <v>1</v>
      </c>
      <c r="AH3">
        <v>1</v>
      </c>
      <c r="AI3">
        <v>1</v>
      </c>
      <c r="AJ3">
        <v>1</v>
      </c>
      <c r="AK3" s="17">
        <f>(Table1[[#This Row],[Climbed]]*weighting!$B$18)+(Table1[[#This Row],[Adjustable Climber]]*weighting!$B$19)+(Table1[[#This Row],[Lift other Robot]]*weighting!$B$20)+(Table1[[#This Row],[Balanced]]*weighting!$B$21)</f>
        <v>75</v>
      </c>
      <c r="AL3" s="8">
        <f>+Table1[[#This Row],[Endgame our score]]+Table1[[#This Row],[teleop our score]]+Table1[[#This Row],[auton our score]]</f>
        <v>101</v>
      </c>
      <c r="AM3" s="20">
        <f t="shared" si="0"/>
        <v>1</v>
      </c>
      <c r="AN3" s="20">
        <f t="shared" si="1"/>
        <v>0</v>
      </c>
      <c r="AO3" s="20">
        <f t="shared" si="2"/>
        <v>0</v>
      </c>
      <c r="AP3" s="20">
        <f>Table1[[#This Row],[balls scored]]+Table1[[#This Row],[auton balls scored]]</f>
        <v>6</v>
      </c>
      <c r="AQ3" s="20">
        <f>Table1[[#This Row],[balls scored high]]+Table1[[#This Row],[Auton Scored High]]</f>
        <v>4</v>
      </c>
      <c r="AR3" s="20">
        <f>Table1[[#This Row],[balls scored low]]+Table1[[#This Row],[Auton Scored Low]]</f>
        <v>2</v>
      </c>
      <c r="AS3" s="50">
        <f>IF(Table1[[#This Row],[Control Panel Spun Time]]&gt;0,1,0)</f>
        <v>1</v>
      </c>
      <c r="AT3" s="20">
        <f>IF(Table1[[#This Row],[Control Panel Color Time]]&gt;0,1,0)</f>
        <v>1</v>
      </c>
    </row>
    <row r="4" spans="1:46" x14ac:dyDescent="0.25">
      <c r="A4">
        <v>61</v>
      </c>
      <c r="B4">
        <v>3</v>
      </c>
      <c r="C4">
        <v>2</v>
      </c>
      <c r="D4">
        <v>0</v>
      </c>
      <c r="E4">
        <v>0</v>
      </c>
      <c r="F4">
        <v>0</v>
      </c>
      <c r="G4">
        <v>0</v>
      </c>
      <c r="H4">
        <v>1</v>
      </c>
      <c r="I4" s="8">
        <f>+Table1[[#This Row],[Auton ball picked up in our trench]]+Table1[[#This Row],[Auton Balls Picked Up in Mid]]+Table1[[#This Row],[Auton Balls Picked Up In Their Trench]]</f>
        <v>0</v>
      </c>
      <c r="J4" s="8">
        <f>+Table1[[#This Row],[Auton Scored High]]+Table1[[#This Row],[Auton Scored Low]]</f>
        <v>2</v>
      </c>
      <c r="K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7</v>
      </c>
      <c r="L4">
        <v>0</v>
      </c>
      <c r="M4">
        <v>0</v>
      </c>
      <c r="N4">
        <v>1</v>
      </c>
      <c r="O4">
        <v>0</v>
      </c>
      <c r="P4">
        <v>0</v>
      </c>
      <c r="Q4">
        <v>0</v>
      </c>
      <c r="R4">
        <v>0</v>
      </c>
      <c r="S4">
        <v>0</v>
      </c>
      <c r="T4">
        <v>0</v>
      </c>
      <c r="U4">
        <v>0</v>
      </c>
      <c r="V4" s="8">
        <f>Table1[[#This Row],[Balls Scored From Trench]]+Table1[[#This Row],[Balls Scored from Mid]]+Table1[[#This Row],[Balls Scored From Alliance zone]]</f>
        <v>1</v>
      </c>
      <c r="W4" s="8">
        <f>Table1[[#This Row],[balls scored high]]+Table1[[#This Row],[balls scored low]]</f>
        <v>1</v>
      </c>
      <c r="X4" s="8">
        <f>Table1[[#This Row],[Control Panel Spun Time]]+Table1[[#This Row],[Control Panel Color Time]]</f>
        <v>0</v>
      </c>
      <c r="Y4" s="8">
        <f>Table1[[#This Row],[Control Panels Spun]]+Table1[[#This Row],[Control Panel Color]]</f>
        <v>0</v>
      </c>
      <c r="Z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v>
      </c>
      <c r="AA4">
        <v>1</v>
      </c>
      <c r="AB4">
        <v>0</v>
      </c>
      <c r="AC4">
        <v>1</v>
      </c>
      <c r="AD4">
        <v>0</v>
      </c>
      <c r="AE4">
        <v>0</v>
      </c>
      <c r="AF4">
        <v>0</v>
      </c>
      <c r="AG4">
        <v>0</v>
      </c>
      <c r="AI4" t="s">
        <v>184</v>
      </c>
      <c r="AJ4" t="s">
        <v>301</v>
      </c>
      <c r="AK4" s="17">
        <f>(Table1[[#This Row],[Climbed]]*weighting!$B$18)+(Table1[[#This Row],[Adjustable Climber]]*weighting!$B$19)+(Table1[[#This Row],[Lift other Robot]]*weighting!$B$20)+(Table1[[#This Row],[Balanced]]*weighting!$B$21)</f>
        <v>40</v>
      </c>
      <c r="AL4" s="8">
        <f>+Table1[[#This Row],[Endgame our score]]+Table1[[#This Row],[teleop our score]]+Table1[[#This Row],[auton our score]]</f>
        <v>48</v>
      </c>
      <c r="AM4" s="20">
        <f t="shared" si="0"/>
        <v>0</v>
      </c>
      <c r="AN4" s="20">
        <f t="shared" si="1"/>
        <v>0</v>
      </c>
      <c r="AO4" s="20">
        <f t="shared" si="2"/>
        <v>1</v>
      </c>
      <c r="AP4" s="20">
        <f>Table1[[#This Row],[balls scored]]+Table1[[#This Row],[auton balls scored]]</f>
        <v>3</v>
      </c>
      <c r="AQ4" s="20">
        <f>Table1[[#This Row],[balls scored high]]+Table1[[#This Row],[Auton Scored High]]</f>
        <v>3</v>
      </c>
      <c r="AR4" s="20">
        <f>Table1[[#This Row],[balls scored low]]+Table1[[#This Row],[Auton Scored Low]]</f>
        <v>0</v>
      </c>
      <c r="AS4" s="50">
        <f>IF(Table1[[#This Row],[Control Panel Spun Time]]&gt;0,1,0)</f>
        <v>0</v>
      </c>
      <c r="AT4" s="20">
        <f>IF(Table1[[#This Row],[Control Panel Color Time]]&gt;0,1,0)</f>
        <v>0</v>
      </c>
    </row>
    <row r="5" spans="1:46" s="2" customFormat="1" x14ac:dyDescent="0.25">
      <c r="A5">
        <v>61</v>
      </c>
      <c r="B5">
        <v>3</v>
      </c>
      <c r="C5">
        <v>0</v>
      </c>
      <c r="D5">
        <v>0</v>
      </c>
      <c r="E5">
        <v>0</v>
      </c>
      <c r="F5">
        <v>0</v>
      </c>
      <c r="G5">
        <v>0</v>
      </c>
      <c r="H5">
        <v>1</v>
      </c>
      <c r="I5" s="8">
        <f>+Table1[[#This Row],[Auton ball picked up in our trench]]+Table1[[#This Row],[Auton Balls Picked Up in Mid]]+Table1[[#This Row],[Auton Balls Picked Up In Their Trench]]</f>
        <v>0</v>
      </c>
      <c r="J5" s="8">
        <f>+Table1[[#This Row],[Auton Scored High]]+Table1[[#This Row],[Auton Scored Low]]</f>
        <v>0</v>
      </c>
      <c r="K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5">
        <v>0</v>
      </c>
      <c r="M5">
        <v>0</v>
      </c>
      <c r="N5">
        <v>1</v>
      </c>
      <c r="O5">
        <v>0</v>
      </c>
      <c r="P5">
        <v>0</v>
      </c>
      <c r="Q5">
        <v>0</v>
      </c>
      <c r="R5">
        <v>0</v>
      </c>
      <c r="S5">
        <v>0</v>
      </c>
      <c r="T5">
        <v>0</v>
      </c>
      <c r="U5">
        <v>0</v>
      </c>
      <c r="V5" s="8">
        <f>Table1[[#This Row],[Balls Scored From Trench]]+Table1[[#This Row],[Balls Scored from Mid]]+Table1[[#This Row],[Balls Scored From Alliance zone]]</f>
        <v>1</v>
      </c>
      <c r="W5" s="8">
        <f>Table1[[#This Row],[balls scored high]]+Table1[[#This Row],[balls scored low]]</f>
        <v>1</v>
      </c>
      <c r="X5" s="8">
        <f>Table1[[#This Row],[Control Panel Spun Time]]+Table1[[#This Row],[Control Panel Color Time]]</f>
        <v>0</v>
      </c>
      <c r="Y5" s="8">
        <f>Table1[[#This Row],[Control Panels Spun]]+Table1[[#This Row],[Control Panel Color]]</f>
        <v>0</v>
      </c>
      <c r="Z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v>
      </c>
      <c r="AA5">
        <v>1</v>
      </c>
      <c r="AB5">
        <v>0</v>
      </c>
      <c r="AC5">
        <v>1</v>
      </c>
      <c r="AD5">
        <v>0</v>
      </c>
      <c r="AE5">
        <v>0</v>
      </c>
      <c r="AF5">
        <v>0</v>
      </c>
      <c r="AG5">
        <v>0</v>
      </c>
      <c r="AH5"/>
      <c r="AI5" t="s">
        <v>43</v>
      </c>
      <c r="AJ5" t="s">
        <v>172</v>
      </c>
      <c r="AK5" s="17">
        <f>(Table1[[#This Row],[Climbed]]*weighting!$B$18)+(Table1[[#This Row],[Adjustable Climber]]*weighting!$B$19)+(Table1[[#This Row],[Lift other Robot]]*weighting!$B$20)+(Table1[[#This Row],[Balanced]]*weighting!$B$21)</f>
        <v>40</v>
      </c>
      <c r="AL5" s="8">
        <f>+Table1[[#This Row],[Endgame our score]]+Table1[[#This Row],[teleop our score]]+Table1[[#This Row],[auton our score]]</f>
        <v>42</v>
      </c>
      <c r="AM5" s="20">
        <f t="shared" si="0"/>
        <v>0</v>
      </c>
      <c r="AN5" s="20">
        <f t="shared" si="1"/>
        <v>0</v>
      </c>
      <c r="AO5" s="20">
        <f t="shared" si="2"/>
        <v>1</v>
      </c>
      <c r="AP5" s="20">
        <f>Table1[[#This Row],[balls scored]]+Table1[[#This Row],[auton balls scored]]</f>
        <v>1</v>
      </c>
      <c r="AQ5" s="20">
        <f>Table1[[#This Row],[balls scored high]]+Table1[[#This Row],[Auton Scored High]]</f>
        <v>1</v>
      </c>
      <c r="AR5" s="20">
        <f>Table1[[#This Row],[balls scored low]]+Table1[[#This Row],[Auton Scored Low]]</f>
        <v>0</v>
      </c>
      <c r="AS5" s="50">
        <f>IF(Table1[[#This Row],[Control Panel Spun Time]]&gt;0,1,0)</f>
        <v>0</v>
      </c>
      <c r="AT5" s="20">
        <f>IF(Table1[[#This Row],[Control Panel Color Time]]&gt;0,1,0)</f>
        <v>0</v>
      </c>
    </row>
    <row r="6" spans="1:46" x14ac:dyDescent="0.25">
      <c r="A6">
        <v>61</v>
      </c>
      <c r="B6">
        <v>3</v>
      </c>
      <c r="C6">
        <v>2</v>
      </c>
      <c r="D6">
        <v>0</v>
      </c>
      <c r="E6">
        <v>0</v>
      </c>
      <c r="F6">
        <v>0</v>
      </c>
      <c r="G6">
        <v>0</v>
      </c>
      <c r="H6">
        <v>0</v>
      </c>
      <c r="I6" s="8">
        <f>+Table1[[#This Row],[Auton ball picked up in our trench]]+Table1[[#This Row],[Auton Balls Picked Up in Mid]]+Table1[[#This Row],[Auton Balls Picked Up In Their Trench]]</f>
        <v>0</v>
      </c>
      <c r="J6" s="8">
        <f>+Table1[[#This Row],[Auton Scored High]]+Table1[[#This Row],[Auton Scored Low]]</f>
        <v>2</v>
      </c>
      <c r="K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6</v>
      </c>
      <c r="L6">
        <v>0</v>
      </c>
      <c r="M6">
        <v>0</v>
      </c>
      <c r="N6">
        <v>2</v>
      </c>
      <c r="O6">
        <v>0</v>
      </c>
      <c r="P6">
        <v>0</v>
      </c>
      <c r="Q6">
        <v>0</v>
      </c>
      <c r="R6">
        <v>0</v>
      </c>
      <c r="S6">
        <v>0</v>
      </c>
      <c r="T6">
        <v>0</v>
      </c>
      <c r="U6">
        <v>0</v>
      </c>
      <c r="V6" s="8">
        <f>Table1[[#This Row],[Balls Scored From Trench]]+Table1[[#This Row],[Balls Scored from Mid]]+Table1[[#This Row],[Balls Scored From Alliance zone]]</f>
        <v>2</v>
      </c>
      <c r="W6" s="8">
        <f>Table1[[#This Row],[balls scored high]]+Table1[[#This Row],[balls scored low]]</f>
        <v>2</v>
      </c>
      <c r="X6" s="8">
        <f>Table1[[#This Row],[Control Panel Spun Time]]+Table1[[#This Row],[Control Panel Color Time]]</f>
        <v>0</v>
      </c>
      <c r="Y6" s="8">
        <f>Table1[[#This Row],[Control Panels Spun]]+Table1[[#This Row],[Control Panel Color]]</f>
        <v>0</v>
      </c>
      <c r="Z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2</v>
      </c>
      <c r="AA6">
        <v>0</v>
      </c>
      <c r="AB6">
        <v>0</v>
      </c>
      <c r="AC6">
        <v>0</v>
      </c>
      <c r="AD6">
        <v>0</v>
      </c>
      <c r="AE6">
        <v>0</v>
      </c>
      <c r="AF6">
        <v>0</v>
      </c>
      <c r="AG6">
        <v>0</v>
      </c>
      <c r="AI6" t="s">
        <v>209</v>
      </c>
      <c r="AK6" s="17">
        <f>(Table1[[#This Row],[Climbed]]*weighting!$B$18)+(Table1[[#This Row],[Adjustable Climber]]*weighting!$B$19)+(Table1[[#This Row],[Lift other Robot]]*weighting!$B$20)+(Table1[[#This Row],[Balanced]]*weighting!$B$21)</f>
        <v>0</v>
      </c>
      <c r="AL6" s="8">
        <f>+Table1[[#This Row],[Endgame our score]]+Table1[[#This Row],[teleop our score]]+Table1[[#This Row],[auton our score]]</f>
        <v>8</v>
      </c>
      <c r="AM6" s="20">
        <f t="shared" si="0"/>
        <v>0</v>
      </c>
      <c r="AN6" s="20">
        <f t="shared" si="1"/>
        <v>0</v>
      </c>
      <c r="AO6" s="20">
        <f t="shared" si="2"/>
        <v>1</v>
      </c>
      <c r="AP6" s="20">
        <f>Table1[[#This Row],[balls scored]]+Table1[[#This Row],[auton balls scored]]</f>
        <v>4</v>
      </c>
      <c r="AQ6" s="20">
        <f>Table1[[#This Row],[balls scored high]]+Table1[[#This Row],[Auton Scored High]]</f>
        <v>4</v>
      </c>
      <c r="AR6" s="20">
        <f>Table1[[#This Row],[balls scored low]]+Table1[[#This Row],[Auton Scored Low]]</f>
        <v>0</v>
      </c>
      <c r="AS6" s="50">
        <f>IF(Table1[[#This Row],[Control Panel Spun Time]]&gt;0,1,0)</f>
        <v>0</v>
      </c>
      <c r="AT6" s="20">
        <f>IF(Table1[[#This Row],[Control Panel Color Time]]&gt;0,1,0)</f>
        <v>0</v>
      </c>
    </row>
    <row r="7" spans="1:46" s="2" customFormat="1" x14ac:dyDescent="0.25">
      <c r="A7">
        <v>61</v>
      </c>
      <c r="B7">
        <v>3</v>
      </c>
      <c r="C7">
        <v>1</v>
      </c>
      <c r="D7">
        <v>0</v>
      </c>
      <c r="E7">
        <v>0</v>
      </c>
      <c r="F7">
        <v>0</v>
      </c>
      <c r="G7">
        <v>0</v>
      </c>
      <c r="H7">
        <v>0</v>
      </c>
      <c r="I7" s="8">
        <f>+Table1[[#This Row],[Auton ball picked up in our trench]]+Table1[[#This Row],[Auton Balls Picked Up in Mid]]+Table1[[#This Row],[Auton Balls Picked Up In Their Trench]]</f>
        <v>0</v>
      </c>
      <c r="J7" s="8">
        <f>+Table1[[#This Row],[Auton Scored High]]+Table1[[#This Row],[Auton Scored Low]]</f>
        <v>1</v>
      </c>
      <c r="K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3</v>
      </c>
      <c r="L7">
        <v>0</v>
      </c>
      <c r="M7">
        <v>0</v>
      </c>
      <c r="N7">
        <v>1</v>
      </c>
      <c r="O7">
        <v>0</v>
      </c>
      <c r="P7">
        <v>0</v>
      </c>
      <c r="Q7">
        <v>0</v>
      </c>
      <c r="R7">
        <v>0</v>
      </c>
      <c r="S7">
        <v>0</v>
      </c>
      <c r="T7">
        <v>0</v>
      </c>
      <c r="U7">
        <v>0</v>
      </c>
      <c r="V7" s="8">
        <f>Table1[[#This Row],[Balls Scored From Trench]]+Table1[[#This Row],[Balls Scored from Mid]]+Table1[[#This Row],[Balls Scored From Alliance zone]]</f>
        <v>1</v>
      </c>
      <c r="W7" s="8">
        <f>Table1[[#This Row],[balls scored high]]+Table1[[#This Row],[balls scored low]]</f>
        <v>1</v>
      </c>
      <c r="X7" s="8">
        <f>Table1[[#This Row],[Control Panel Spun Time]]+Table1[[#This Row],[Control Panel Color Time]]</f>
        <v>0</v>
      </c>
      <c r="Y7" s="8">
        <f>Table1[[#This Row],[Control Panels Spun]]+Table1[[#This Row],[Control Panel Color]]</f>
        <v>0</v>
      </c>
      <c r="Z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v>
      </c>
      <c r="AA7">
        <v>1</v>
      </c>
      <c r="AB7">
        <v>0</v>
      </c>
      <c r="AC7">
        <v>0</v>
      </c>
      <c r="AD7">
        <v>0</v>
      </c>
      <c r="AE7">
        <v>0</v>
      </c>
      <c r="AF7">
        <v>0</v>
      </c>
      <c r="AG7">
        <v>0</v>
      </c>
      <c r="AH7"/>
      <c r="AI7" t="s">
        <v>174</v>
      </c>
      <c r="AJ7" t="s">
        <v>225</v>
      </c>
      <c r="AK7" s="17">
        <f>(Table1[[#This Row],[Climbed]]*weighting!$B$18)+(Table1[[#This Row],[Adjustable Climber]]*weighting!$B$19)+(Table1[[#This Row],[Lift other Robot]]*weighting!$B$20)+(Table1[[#This Row],[Balanced]]*weighting!$B$21)</f>
        <v>25</v>
      </c>
      <c r="AL7" s="8">
        <f>+Table1[[#This Row],[Endgame our score]]+Table1[[#This Row],[teleop our score]]+Table1[[#This Row],[auton our score]]</f>
        <v>29</v>
      </c>
      <c r="AM7" s="20">
        <f t="shared" si="0"/>
        <v>0</v>
      </c>
      <c r="AN7" s="20">
        <f t="shared" si="1"/>
        <v>0</v>
      </c>
      <c r="AO7" s="20">
        <f t="shared" si="2"/>
        <v>1</v>
      </c>
      <c r="AP7" s="20">
        <f>Table1[[#This Row],[balls scored]]+Table1[[#This Row],[auton balls scored]]</f>
        <v>2</v>
      </c>
      <c r="AQ7" s="20">
        <f>Table1[[#This Row],[balls scored high]]+Table1[[#This Row],[Auton Scored High]]</f>
        <v>2</v>
      </c>
      <c r="AR7" s="20">
        <f>Table1[[#This Row],[balls scored low]]+Table1[[#This Row],[Auton Scored Low]]</f>
        <v>0</v>
      </c>
      <c r="AS7" s="50">
        <f>IF(Table1[[#This Row],[Control Panel Spun Time]]&gt;0,1,0)</f>
        <v>0</v>
      </c>
      <c r="AT7" s="20">
        <f>IF(Table1[[#This Row],[Control Panel Color Time]]&gt;0,1,0)</f>
        <v>0</v>
      </c>
    </row>
    <row r="8" spans="1:46" x14ac:dyDescent="0.25">
      <c r="A8">
        <v>61</v>
      </c>
      <c r="B8">
        <v>3</v>
      </c>
      <c r="C8">
        <v>0</v>
      </c>
      <c r="D8">
        <v>0</v>
      </c>
      <c r="E8">
        <v>0</v>
      </c>
      <c r="F8">
        <v>0</v>
      </c>
      <c r="G8">
        <v>0</v>
      </c>
      <c r="H8">
        <v>1</v>
      </c>
      <c r="I8" s="8">
        <f>+Table1[[#This Row],[Auton ball picked up in our trench]]+Table1[[#This Row],[Auton Balls Picked Up in Mid]]+Table1[[#This Row],[Auton Balls Picked Up In Their Trench]]</f>
        <v>0</v>
      </c>
      <c r="J8" s="8">
        <f>+Table1[[#This Row],[Auton Scored High]]+Table1[[#This Row],[Auton Scored Low]]</f>
        <v>0</v>
      </c>
      <c r="K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8">
        <v>0</v>
      </c>
      <c r="M8">
        <v>0</v>
      </c>
      <c r="N8">
        <v>1</v>
      </c>
      <c r="O8">
        <v>0</v>
      </c>
      <c r="P8">
        <v>0</v>
      </c>
      <c r="Q8">
        <v>0</v>
      </c>
      <c r="R8">
        <v>0</v>
      </c>
      <c r="S8">
        <v>0</v>
      </c>
      <c r="T8">
        <v>0</v>
      </c>
      <c r="U8">
        <v>0</v>
      </c>
      <c r="V8" s="8">
        <f>Table1[[#This Row],[Balls Scored From Trench]]+Table1[[#This Row],[Balls Scored from Mid]]+Table1[[#This Row],[Balls Scored From Alliance zone]]</f>
        <v>1</v>
      </c>
      <c r="W8" s="8">
        <f>Table1[[#This Row],[balls scored high]]+Table1[[#This Row],[balls scored low]]</f>
        <v>1</v>
      </c>
      <c r="X8" s="8">
        <f>Table1[[#This Row],[Control Panel Spun Time]]+Table1[[#This Row],[Control Panel Color Time]]</f>
        <v>0</v>
      </c>
      <c r="Y8" s="8">
        <f>Table1[[#This Row],[Control Panels Spun]]+Table1[[#This Row],[Control Panel Color]]</f>
        <v>0</v>
      </c>
      <c r="Z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v>
      </c>
      <c r="AA8">
        <v>1</v>
      </c>
      <c r="AB8">
        <v>0</v>
      </c>
      <c r="AC8">
        <v>0</v>
      </c>
      <c r="AD8">
        <v>0</v>
      </c>
      <c r="AE8">
        <v>0</v>
      </c>
      <c r="AF8">
        <v>1</v>
      </c>
      <c r="AG8">
        <v>1</v>
      </c>
      <c r="AI8" t="s">
        <v>184</v>
      </c>
      <c r="AJ8" t="s">
        <v>236</v>
      </c>
      <c r="AK8" s="17">
        <f>(Table1[[#This Row],[Climbed]]*weighting!$B$18)+(Table1[[#This Row],[Adjustable Climber]]*weighting!$B$19)+(Table1[[#This Row],[Lift other Robot]]*weighting!$B$20)+(Table1[[#This Row],[Balanced]]*weighting!$B$21)</f>
        <v>25</v>
      </c>
      <c r="AL8" s="8">
        <f>+Table1[[#This Row],[Endgame our score]]+Table1[[#This Row],[teleop our score]]+Table1[[#This Row],[auton our score]]</f>
        <v>27</v>
      </c>
      <c r="AM8" s="20">
        <f t="shared" si="0"/>
        <v>0</v>
      </c>
      <c r="AN8" s="20">
        <f t="shared" si="1"/>
        <v>0</v>
      </c>
      <c r="AO8" s="20">
        <f t="shared" si="2"/>
        <v>1</v>
      </c>
      <c r="AP8" s="20">
        <f>Table1[[#This Row],[balls scored]]+Table1[[#This Row],[auton balls scored]]</f>
        <v>1</v>
      </c>
      <c r="AQ8" s="20">
        <f>Table1[[#This Row],[balls scored high]]+Table1[[#This Row],[Auton Scored High]]</f>
        <v>1</v>
      </c>
      <c r="AR8" s="20">
        <f>Table1[[#This Row],[balls scored low]]+Table1[[#This Row],[Auton Scored Low]]</f>
        <v>0</v>
      </c>
      <c r="AS8" s="50">
        <f>IF(Table1[[#This Row],[Control Panel Spun Time]]&gt;0,1,0)</f>
        <v>0</v>
      </c>
      <c r="AT8" s="20">
        <f>IF(Table1[[#This Row],[Control Panel Color Time]]&gt;0,1,0)</f>
        <v>0</v>
      </c>
    </row>
    <row r="9" spans="1:46" s="2" customFormat="1" x14ac:dyDescent="0.25">
      <c r="A9">
        <v>61</v>
      </c>
      <c r="B9">
        <v>3</v>
      </c>
      <c r="C9">
        <v>1</v>
      </c>
      <c r="D9">
        <v>0</v>
      </c>
      <c r="E9">
        <v>0</v>
      </c>
      <c r="F9">
        <v>0</v>
      </c>
      <c r="G9">
        <v>0</v>
      </c>
      <c r="H9">
        <v>1</v>
      </c>
      <c r="I9" s="8">
        <f>+Table1[[#This Row],[Auton ball picked up in our trench]]+Table1[[#This Row],[Auton Balls Picked Up in Mid]]+Table1[[#This Row],[Auton Balls Picked Up In Their Trench]]</f>
        <v>0</v>
      </c>
      <c r="J9" s="8">
        <f>+Table1[[#This Row],[Auton Scored High]]+Table1[[#This Row],[Auton Scored Low]]</f>
        <v>1</v>
      </c>
      <c r="K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4</v>
      </c>
      <c r="L9">
        <v>0</v>
      </c>
      <c r="M9">
        <v>0</v>
      </c>
      <c r="N9">
        <v>1</v>
      </c>
      <c r="O9">
        <v>0</v>
      </c>
      <c r="P9">
        <v>0</v>
      </c>
      <c r="Q9">
        <v>0</v>
      </c>
      <c r="R9">
        <v>0</v>
      </c>
      <c r="S9">
        <v>0</v>
      </c>
      <c r="T9">
        <v>0</v>
      </c>
      <c r="U9">
        <v>0</v>
      </c>
      <c r="V9" s="8">
        <f>Table1[[#This Row],[Balls Scored From Trench]]+Table1[[#This Row],[Balls Scored from Mid]]+Table1[[#This Row],[Balls Scored From Alliance zone]]</f>
        <v>1</v>
      </c>
      <c r="W9" s="8">
        <f>Table1[[#This Row],[balls scored high]]+Table1[[#This Row],[balls scored low]]</f>
        <v>1</v>
      </c>
      <c r="X9" s="8">
        <f>Table1[[#This Row],[Control Panel Spun Time]]+Table1[[#This Row],[Control Panel Color Time]]</f>
        <v>0</v>
      </c>
      <c r="Y9" s="8">
        <f>Table1[[#This Row],[Control Panels Spun]]+Table1[[#This Row],[Control Panel Color]]</f>
        <v>0</v>
      </c>
      <c r="Z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v>
      </c>
      <c r="AA9">
        <v>1</v>
      </c>
      <c r="AB9">
        <v>0</v>
      </c>
      <c r="AC9">
        <v>1</v>
      </c>
      <c r="AD9">
        <v>0</v>
      </c>
      <c r="AE9">
        <v>0</v>
      </c>
      <c r="AF9">
        <v>0</v>
      </c>
      <c r="AG9">
        <v>0</v>
      </c>
      <c r="AH9"/>
      <c r="AI9" t="s">
        <v>184</v>
      </c>
      <c r="AJ9" t="s">
        <v>272</v>
      </c>
      <c r="AK9" s="17">
        <f>(Table1[[#This Row],[Climbed]]*weighting!$B$18)+(Table1[[#This Row],[Adjustable Climber]]*weighting!$B$19)+(Table1[[#This Row],[Lift other Robot]]*weighting!$B$20)+(Table1[[#This Row],[Balanced]]*weighting!$B$21)</f>
        <v>40</v>
      </c>
      <c r="AL9" s="8">
        <f>+Table1[[#This Row],[Endgame our score]]+Table1[[#This Row],[teleop our score]]+Table1[[#This Row],[auton our score]]</f>
        <v>45</v>
      </c>
      <c r="AM9" s="20">
        <f t="shared" si="0"/>
        <v>0</v>
      </c>
      <c r="AN9" s="20">
        <f t="shared" si="1"/>
        <v>0</v>
      </c>
      <c r="AO9" s="20">
        <f t="shared" si="2"/>
        <v>1</v>
      </c>
      <c r="AP9" s="20">
        <f>Table1[[#This Row],[balls scored]]+Table1[[#This Row],[auton balls scored]]</f>
        <v>2</v>
      </c>
      <c r="AQ9" s="20">
        <f>Table1[[#This Row],[balls scored high]]+Table1[[#This Row],[Auton Scored High]]</f>
        <v>2</v>
      </c>
      <c r="AR9" s="20">
        <f>Table1[[#This Row],[balls scored low]]+Table1[[#This Row],[Auton Scored Low]]</f>
        <v>0</v>
      </c>
      <c r="AS9" s="50">
        <f>IF(Table1[[#This Row],[Control Panel Spun Time]]&gt;0,1,0)</f>
        <v>0</v>
      </c>
      <c r="AT9" s="20">
        <f>IF(Table1[[#This Row],[Control Panel Color Time]]&gt;0,1,0)</f>
        <v>0</v>
      </c>
    </row>
    <row r="10" spans="1:46" x14ac:dyDescent="0.25">
      <c r="A10">
        <v>61</v>
      </c>
      <c r="B10">
        <v>3</v>
      </c>
      <c r="C10">
        <v>2</v>
      </c>
      <c r="D10">
        <v>0</v>
      </c>
      <c r="E10">
        <v>0</v>
      </c>
      <c r="F10">
        <v>0</v>
      </c>
      <c r="G10">
        <v>0</v>
      </c>
      <c r="H10">
        <v>0</v>
      </c>
      <c r="I10" s="8">
        <f>+Table1[[#This Row],[Auton ball picked up in our trench]]+Table1[[#This Row],[Auton Balls Picked Up in Mid]]+Table1[[#This Row],[Auton Balls Picked Up In Their Trench]]</f>
        <v>0</v>
      </c>
      <c r="J10" s="8">
        <f>+Table1[[#This Row],[Auton Scored High]]+Table1[[#This Row],[Auton Scored Low]]</f>
        <v>2</v>
      </c>
      <c r="K1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6</v>
      </c>
      <c r="L10">
        <v>0</v>
      </c>
      <c r="M10">
        <v>1</v>
      </c>
      <c r="N10">
        <v>0</v>
      </c>
      <c r="O10">
        <v>0</v>
      </c>
      <c r="P10">
        <v>0</v>
      </c>
      <c r="Q10">
        <v>0</v>
      </c>
      <c r="R10">
        <v>0</v>
      </c>
      <c r="S10">
        <v>0</v>
      </c>
      <c r="T10">
        <v>0</v>
      </c>
      <c r="U10">
        <v>0</v>
      </c>
      <c r="V10" s="8">
        <f>Table1[[#This Row],[Balls Scored From Trench]]+Table1[[#This Row],[Balls Scored from Mid]]+Table1[[#This Row],[Balls Scored From Alliance zone]]</f>
        <v>1</v>
      </c>
      <c r="W10" s="8">
        <f>Table1[[#This Row],[balls scored high]]+Table1[[#This Row],[balls scored low]]</f>
        <v>1</v>
      </c>
      <c r="X10" s="8">
        <f>Table1[[#This Row],[Control Panel Spun Time]]+Table1[[#This Row],[Control Panel Color Time]]</f>
        <v>0</v>
      </c>
      <c r="Y10" s="8">
        <f>Table1[[#This Row],[Control Panels Spun]]+Table1[[#This Row],[Control Panel Color]]</f>
        <v>0</v>
      </c>
      <c r="Z1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2</v>
      </c>
      <c r="AA10">
        <v>1</v>
      </c>
      <c r="AB10">
        <v>0</v>
      </c>
      <c r="AC10">
        <v>1</v>
      </c>
      <c r="AD10">
        <v>0</v>
      </c>
      <c r="AE10">
        <v>0</v>
      </c>
      <c r="AF10">
        <v>0</v>
      </c>
      <c r="AG10">
        <v>0</v>
      </c>
      <c r="AH10" s="14"/>
      <c r="AI10" t="s">
        <v>43</v>
      </c>
      <c r="AJ10" t="s">
        <v>273</v>
      </c>
      <c r="AK10" s="17">
        <f>(Table1[[#This Row],[Climbed]]*weighting!$B$18)+(Table1[[#This Row],[Adjustable Climber]]*weighting!$B$19)+(Table1[[#This Row],[Lift other Robot]]*weighting!$B$20)+(Table1[[#This Row],[Balanced]]*weighting!$B$21)</f>
        <v>40</v>
      </c>
      <c r="AL10" s="8">
        <f>+Table1[[#This Row],[Endgame our score]]+Table1[[#This Row],[teleop our score]]+Table1[[#This Row],[auton our score]]</f>
        <v>48</v>
      </c>
      <c r="AM10" s="20">
        <f t="shared" si="0"/>
        <v>0</v>
      </c>
      <c r="AN10" s="20">
        <f t="shared" si="1"/>
        <v>0</v>
      </c>
      <c r="AO10" s="20">
        <f t="shared" si="2"/>
        <v>1</v>
      </c>
      <c r="AP10" s="20">
        <f>Table1[[#This Row],[balls scored]]+Table1[[#This Row],[auton balls scored]]</f>
        <v>3</v>
      </c>
      <c r="AQ10" s="20">
        <f>Table1[[#This Row],[balls scored high]]+Table1[[#This Row],[Auton Scored High]]</f>
        <v>3</v>
      </c>
      <c r="AR10" s="20">
        <f>Table1[[#This Row],[balls scored low]]+Table1[[#This Row],[Auton Scored Low]]</f>
        <v>0</v>
      </c>
      <c r="AS10" s="50">
        <f>IF(Table1[[#This Row],[Control Panel Spun Time]]&gt;0,1,0)</f>
        <v>0</v>
      </c>
      <c r="AT10" s="20">
        <f>IF(Table1[[#This Row],[Control Panel Color Time]]&gt;0,1,0)</f>
        <v>0</v>
      </c>
    </row>
    <row r="11" spans="1:46" s="2" customFormat="1" x14ac:dyDescent="0.25">
      <c r="A11">
        <v>61</v>
      </c>
      <c r="B11">
        <v>3</v>
      </c>
      <c r="C11">
        <v>1</v>
      </c>
      <c r="D11">
        <v>0</v>
      </c>
      <c r="E11">
        <v>0</v>
      </c>
      <c r="F11">
        <v>0</v>
      </c>
      <c r="G11">
        <v>0</v>
      </c>
      <c r="H11">
        <v>1</v>
      </c>
      <c r="I11" s="8">
        <f>+Table1[[#This Row],[Auton ball picked up in our trench]]+Table1[[#This Row],[Auton Balls Picked Up in Mid]]+Table1[[#This Row],[Auton Balls Picked Up In Their Trench]]</f>
        <v>0</v>
      </c>
      <c r="J11" s="8">
        <f>+Table1[[#This Row],[Auton Scored High]]+Table1[[#This Row],[Auton Scored Low]]</f>
        <v>1</v>
      </c>
      <c r="K1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4</v>
      </c>
      <c r="L11">
        <v>0</v>
      </c>
      <c r="M11">
        <v>0</v>
      </c>
      <c r="N11">
        <v>0</v>
      </c>
      <c r="O11">
        <v>0</v>
      </c>
      <c r="P11">
        <v>0</v>
      </c>
      <c r="Q11">
        <v>0</v>
      </c>
      <c r="R11">
        <v>0</v>
      </c>
      <c r="S11">
        <v>0</v>
      </c>
      <c r="T11">
        <v>0</v>
      </c>
      <c r="U11">
        <v>0</v>
      </c>
      <c r="V11" s="8">
        <f>Table1[[#This Row],[Balls Scored From Trench]]+Table1[[#This Row],[Balls Scored from Mid]]+Table1[[#This Row],[Balls Scored From Alliance zone]]</f>
        <v>0</v>
      </c>
      <c r="W11" s="8">
        <f>Table1[[#This Row],[balls scored high]]+Table1[[#This Row],[balls scored low]]</f>
        <v>0</v>
      </c>
      <c r="X11" s="8">
        <f>Table1[[#This Row],[Control Panel Spun Time]]+Table1[[#This Row],[Control Panel Color Time]]</f>
        <v>0</v>
      </c>
      <c r="Y11" s="8">
        <f>Table1[[#This Row],[Control Panels Spun]]+Table1[[#This Row],[Control Panel Color]]</f>
        <v>0</v>
      </c>
      <c r="Z1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11">
        <v>1</v>
      </c>
      <c r="AB11">
        <v>0</v>
      </c>
      <c r="AC11">
        <v>1</v>
      </c>
      <c r="AD11">
        <v>0</v>
      </c>
      <c r="AE11">
        <v>0</v>
      </c>
      <c r="AF11">
        <v>0</v>
      </c>
      <c r="AG11">
        <v>0</v>
      </c>
      <c r="AH11"/>
      <c r="AI11" t="s">
        <v>184</v>
      </c>
      <c r="AJ11" t="s">
        <v>302</v>
      </c>
      <c r="AK11" s="17">
        <f>(Table1[[#This Row],[Climbed]]*weighting!$B$18)+(Table1[[#This Row],[Adjustable Climber]]*weighting!$B$19)+(Table1[[#This Row],[Lift other Robot]]*weighting!$B$20)+(Table1[[#This Row],[Balanced]]*weighting!$B$21)</f>
        <v>40</v>
      </c>
      <c r="AL11" s="8">
        <f>+Table1[[#This Row],[Endgame our score]]+Table1[[#This Row],[teleop our score]]+Table1[[#This Row],[auton our score]]</f>
        <v>44</v>
      </c>
      <c r="AM11" s="20">
        <f t="shared" si="0"/>
        <v>0</v>
      </c>
      <c r="AN11" s="20">
        <f t="shared" si="1"/>
        <v>0</v>
      </c>
      <c r="AO11" s="20">
        <f t="shared" si="2"/>
        <v>1</v>
      </c>
      <c r="AP11" s="20">
        <f>Table1[[#This Row],[balls scored]]+Table1[[#This Row],[auton balls scored]]</f>
        <v>1</v>
      </c>
      <c r="AQ11" s="20">
        <f>Table1[[#This Row],[balls scored high]]+Table1[[#This Row],[Auton Scored High]]</f>
        <v>1</v>
      </c>
      <c r="AR11" s="20">
        <f>Table1[[#This Row],[balls scored low]]+Table1[[#This Row],[Auton Scored Low]]</f>
        <v>0</v>
      </c>
      <c r="AS11" s="50">
        <f>IF(Table1[[#This Row],[Control Panel Spun Time]]&gt;0,1,0)</f>
        <v>0</v>
      </c>
      <c r="AT11" s="20">
        <f>IF(Table1[[#This Row],[Control Panel Color Time]]&gt;0,1,0)</f>
        <v>0</v>
      </c>
    </row>
    <row r="12" spans="1:46" x14ac:dyDescent="0.25">
      <c r="A12">
        <v>78</v>
      </c>
      <c r="B12">
        <v>3</v>
      </c>
      <c r="C12">
        <v>3</v>
      </c>
      <c r="D12">
        <v>0</v>
      </c>
      <c r="E12">
        <v>0</v>
      </c>
      <c r="F12">
        <v>0</v>
      </c>
      <c r="G12">
        <v>0</v>
      </c>
      <c r="H12">
        <v>1</v>
      </c>
      <c r="I12" s="8">
        <f>+Table1[[#This Row],[Auton ball picked up in our trench]]+Table1[[#This Row],[Auton Balls Picked Up in Mid]]+Table1[[#This Row],[Auton Balls Picked Up In Their Trench]]</f>
        <v>0</v>
      </c>
      <c r="J12" s="8">
        <f>+Table1[[#This Row],[Auton Scored High]]+Table1[[#This Row],[Auton Scored Low]]</f>
        <v>3</v>
      </c>
      <c r="K1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12">
        <v>4</v>
      </c>
      <c r="M12">
        <v>0</v>
      </c>
      <c r="N12">
        <v>0</v>
      </c>
      <c r="O12">
        <v>0</v>
      </c>
      <c r="P12">
        <v>0</v>
      </c>
      <c r="Q12">
        <v>0</v>
      </c>
      <c r="R12">
        <v>0</v>
      </c>
      <c r="S12">
        <v>0</v>
      </c>
      <c r="T12">
        <v>0</v>
      </c>
      <c r="U12">
        <v>0</v>
      </c>
      <c r="V12" s="8">
        <f>Table1[[#This Row],[Balls Scored From Trench]]+Table1[[#This Row],[Balls Scored from Mid]]+Table1[[#This Row],[Balls Scored From Alliance zone]]</f>
        <v>4</v>
      </c>
      <c r="W12" s="8">
        <f>Table1[[#This Row],[balls scored high]]+Table1[[#This Row],[balls scored low]]</f>
        <v>4</v>
      </c>
      <c r="X12" s="8">
        <f>Table1[[#This Row],[Control Panel Spun Time]]+Table1[[#This Row],[Control Panel Color Time]]</f>
        <v>0</v>
      </c>
      <c r="Y12" s="8">
        <f>Table1[[#This Row],[Control Panels Spun]]+Table1[[#This Row],[Control Panel Color]]</f>
        <v>0</v>
      </c>
      <c r="Z1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12</v>
      </c>
      <c r="AA12">
        <v>1</v>
      </c>
      <c r="AB12">
        <v>0</v>
      </c>
      <c r="AC12">
        <v>0</v>
      </c>
      <c r="AD12">
        <v>0</v>
      </c>
      <c r="AE12">
        <v>0</v>
      </c>
      <c r="AF12">
        <v>0</v>
      </c>
      <c r="AG12">
        <v>0</v>
      </c>
      <c r="AI12" t="s">
        <v>173</v>
      </c>
      <c r="AK12" s="17">
        <f>(Table1[[#This Row],[Climbed]]*weighting!$B$18)+(Table1[[#This Row],[Adjustable Climber]]*weighting!$B$19)+(Table1[[#This Row],[Lift other Robot]]*weighting!$B$20)+(Table1[[#This Row],[Balanced]]*weighting!$B$21)</f>
        <v>25</v>
      </c>
      <c r="AL12" s="8">
        <f>+Table1[[#This Row],[Endgame our score]]+Table1[[#This Row],[teleop our score]]+Table1[[#This Row],[auton our score]]</f>
        <v>47</v>
      </c>
      <c r="AM12" s="20">
        <f t="shared" si="0"/>
        <v>0</v>
      </c>
      <c r="AN12" s="20">
        <f t="shared" si="1"/>
        <v>0</v>
      </c>
      <c r="AO12" s="20">
        <f t="shared" si="2"/>
        <v>1</v>
      </c>
      <c r="AP12" s="20">
        <f>Table1[[#This Row],[balls scored]]+Table1[[#This Row],[auton balls scored]]</f>
        <v>7</v>
      </c>
      <c r="AQ12" s="20">
        <f>Table1[[#This Row],[balls scored high]]+Table1[[#This Row],[Auton Scored High]]</f>
        <v>7</v>
      </c>
      <c r="AR12" s="20">
        <f>Table1[[#This Row],[balls scored low]]+Table1[[#This Row],[Auton Scored Low]]</f>
        <v>0</v>
      </c>
      <c r="AS12" s="50">
        <f>IF(Table1[[#This Row],[Control Panel Spun Time]]&gt;0,1,0)</f>
        <v>0</v>
      </c>
      <c r="AT12" s="20">
        <f>IF(Table1[[#This Row],[Control Panel Color Time]]&gt;0,1,0)</f>
        <v>0</v>
      </c>
    </row>
    <row r="13" spans="1:46" s="2" customFormat="1" ht="19.5" customHeight="1" x14ac:dyDescent="0.25">
      <c r="A13">
        <v>78</v>
      </c>
      <c r="B13">
        <v>3</v>
      </c>
      <c r="C13">
        <v>4</v>
      </c>
      <c r="D13">
        <v>0</v>
      </c>
      <c r="E13">
        <v>0</v>
      </c>
      <c r="F13">
        <v>1</v>
      </c>
      <c r="G13">
        <v>0</v>
      </c>
      <c r="H13">
        <v>0</v>
      </c>
      <c r="I13" s="8">
        <f>+Table1[[#This Row],[Auton ball picked up in our trench]]+Table1[[#This Row],[Auton Balls Picked Up in Mid]]+Table1[[#This Row],[Auton Balls Picked Up In Their Trench]]</f>
        <v>1</v>
      </c>
      <c r="J13" s="8">
        <f>+Table1[[#This Row],[Auton Scored High]]+Table1[[#This Row],[Auton Scored Low]]</f>
        <v>4</v>
      </c>
      <c r="K1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14</v>
      </c>
      <c r="L13">
        <v>5</v>
      </c>
      <c r="M13">
        <v>0</v>
      </c>
      <c r="N13">
        <v>0</v>
      </c>
      <c r="O13">
        <v>0</v>
      </c>
      <c r="P13">
        <v>0</v>
      </c>
      <c r="Q13">
        <v>0</v>
      </c>
      <c r="R13">
        <v>0</v>
      </c>
      <c r="S13">
        <v>0</v>
      </c>
      <c r="T13">
        <v>0</v>
      </c>
      <c r="U13">
        <v>0</v>
      </c>
      <c r="V13" s="8">
        <f>Table1[[#This Row],[Balls Scored From Trench]]+Table1[[#This Row],[Balls Scored from Mid]]+Table1[[#This Row],[Balls Scored From Alliance zone]]</f>
        <v>5</v>
      </c>
      <c r="W13" s="8">
        <f>Table1[[#This Row],[balls scored high]]+Table1[[#This Row],[balls scored low]]</f>
        <v>5</v>
      </c>
      <c r="X13" s="8">
        <f>Table1[[#This Row],[Control Panel Spun Time]]+Table1[[#This Row],[Control Panel Color Time]]</f>
        <v>0</v>
      </c>
      <c r="Y13" s="8">
        <f>Table1[[#This Row],[Control Panels Spun]]+Table1[[#This Row],[Control Panel Color]]</f>
        <v>0</v>
      </c>
      <c r="Z1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15</v>
      </c>
      <c r="AA13">
        <v>0</v>
      </c>
      <c r="AB13">
        <v>0</v>
      </c>
      <c r="AC13">
        <v>0</v>
      </c>
      <c r="AD13">
        <v>0</v>
      </c>
      <c r="AE13">
        <v>0</v>
      </c>
      <c r="AF13">
        <v>0</v>
      </c>
      <c r="AG13">
        <v>0</v>
      </c>
      <c r="AH13"/>
      <c r="AI13" t="s">
        <v>162</v>
      </c>
      <c r="AJ13"/>
      <c r="AK13" s="17">
        <f>(Table1[[#This Row],[Climbed]]*weighting!$B$18)+(Table1[[#This Row],[Adjustable Climber]]*weighting!$B$19)+(Table1[[#This Row],[Lift other Robot]]*weighting!$B$20)+(Table1[[#This Row],[Balanced]]*weighting!$B$21)</f>
        <v>0</v>
      </c>
      <c r="AL13" s="8">
        <f>+Table1[[#This Row],[Endgame our score]]+Table1[[#This Row],[teleop our score]]+Table1[[#This Row],[auton our score]]</f>
        <v>29</v>
      </c>
      <c r="AM13" s="20">
        <f t="shared" si="0"/>
        <v>0</v>
      </c>
      <c r="AN13" s="20">
        <f t="shared" si="1"/>
        <v>0</v>
      </c>
      <c r="AO13" s="20">
        <f t="shared" si="2"/>
        <v>1</v>
      </c>
      <c r="AP13" s="20">
        <f>Table1[[#This Row],[balls scored]]+Table1[[#This Row],[auton balls scored]]</f>
        <v>9</v>
      </c>
      <c r="AQ13" s="20">
        <f>Table1[[#This Row],[balls scored high]]+Table1[[#This Row],[Auton Scored High]]</f>
        <v>9</v>
      </c>
      <c r="AR13" s="20">
        <f>Table1[[#This Row],[balls scored low]]+Table1[[#This Row],[Auton Scored Low]]</f>
        <v>0</v>
      </c>
      <c r="AS13" s="50">
        <f>IF(Table1[[#This Row],[Control Panel Spun Time]]&gt;0,1,0)</f>
        <v>0</v>
      </c>
      <c r="AT13" s="20">
        <f>IF(Table1[[#This Row],[Control Panel Color Time]]&gt;0,1,0)</f>
        <v>0</v>
      </c>
    </row>
    <row r="14" spans="1:46" x14ac:dyDescent="0.25">
      <c r="A14">
        <v>78</v>
      </c>
      <c r="B14">
        <v>3</v>
      </c>
      <c r="C14">
        <v>4</v>
      </c>
      <c r="D14">
        <v>0</v>
      </c>
      <c r="E14">
        <v>1</v>
      </c>
      <c r="F14">
        <v>0</v>
      </c>
      <c r="G14">
        <v>0</v>
      </c>
      <c r="H14">
        <v>1</v>
      </c>
      <c r="I14" s="8">
        <f>+Table1[[#This Row],[Auton ball picked up in our trench]]+Table1[[#This Row],[Auton Balls Picked Up in Mid]]+Table1[[#This Row],[Auton Balls Picked Up In Their Trench]]</f>
        <v>1</v>
      </c>
      <c r="J14" s="8">
        <f>+Table1[[#This Row],[Auton Scored High]]+Table1[[#This Row],[Auton Scored Low]]</f>
        <v>4</v>
      </c>
      <c r="K1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15</v>
      </c>
      <c r="L14">
        <v>7</v>
      </c>
      <c r="M14">
        <v>0</v>
      </c>
      <c r="N14">
        <v>0</v>
      </c>
      <c r="O14">
        <v>0</v>
      </c>
      <c r="P14">
        <v>0</v>
      </c>
      <c r="Q14">
        <v>0</v>
      </c>
      <c r="R14">
        <v>0</v>
      </c>
      <c r="S14">
        <v>0</v>
      </c>
      <c r="T14">
        <v>0</v>
      </c>
      <c r="U14">
        <v>0</v>
      </c>
      <c r="V14" s="8">
        <f>Table1[[#This Row],[Balls Scored From Trench]]+Table1[[#This Row],[Balls Scored from Mid]]+Table1[[#This Row],[Balls Scored From Alliance zone]]</f>
        <v>7</v>
      </c>
      <c r="W14" s="8">
        <f>Table1[[#This Row],[balls scored high]]+Table1[[#This Row],[balls scored low]]</f>
        <v>7</v>
      </c>
      <c r="X14" s="8">
        <f>Table1[[#This Row],[Control Panel Spun Time]]+Table1[[#This Row],[Control Panel Color Time]]</f>
        <v>0</v>
      </c>
      <c r="Y14" s="8">
        <f>Table1[[#This Row],[Control Panels Spun]]+Table1[[#This Row],[Control Panel Color]]</f>
        <v>0</v>
      </c>
      <c r="Z1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21</v>
      </c>
      <c r="AA14">
        <v>1</v>
      </c>
      <c r="AB14">
        <v>0</v>
      </c>
      <c r="AC14">
        <v>0</v>
      </c>
      <c r="AD14">
        <v>0</v>
      </c>
      <c r="AE14">
        <v>0</v>
      </c>
      <c r="AF14">
        <v>0</v>
      </c>
      <c r="AG14">
        <v>0</v>
      </c>
      <c r="AI14" t="s">
        <v>303</v>
      </c>
      <c r="AK14" s="17">
        <f>(Table1[[#This Row],[Climbed]]*weighting!$B$18)+(Table1[[#This Row],[Adjustable Climber]]*weighting!$B$19)+(Table1[[#This Row],[Lift other Robot]]*weighting!$B$20)+(Table1[[#This Row],[Balanced]]*weighting!$B$21)</f>
        <v>25</v>
      </c>
      <c r="AL14" s="8">
        <f>+Table1[[#This Row],[Endgame our score]]+Table1[[#This Row],[teleop our score]]+Table1[[#This Row],[auton our score]]</f>
        <v>61</v>
      </c>
      <c r="AM14" s="20">
        <f t="shared" si="0"/>
        <v>0</v>
      </c>
      <c r="AN14" s="20">
        <f t="shared" si="1"/>
        <v>0</v>
      </c>
      <c r="AO14" s="20">
        <f t="shared" si="2"/>
        <v>1</v>
      </c>
      <c r="AP14" s="20">
        <f>Table1[[#This Row],[balls scored]]+Table1[[#This Row],[auton balls scored]]</f>
        <v>11</v>
      </c>
      <c r="AQ14" s="20">
        <f>Table1[[#This Row],[balls scored high]]+Table1[[#This Row],[Auton Scored High]]</f>
        <v>11</v>
      </c>
      <c r="AR14" s="20">
        <f>Table1[[#This Row],[balls scored low]]+Table1[[#This Row],[Auton Scored Low]]</f>
        <v>0</v>
      </c>
      <c r="AS14" s="50">
        <f>IF(Table1[[#This Row],[Control Panel Spun Time]]&gt;0,1,0)</f>
        <v>0</v>
      </c>
      <c r="AT14" s="20">
        <f>IF(Table1[[#This Row],[Control Panel Color Time]]&gt;0,1,0)</f>
        <v>0</v>
      </c>
    </row>
    <row r="15" spans="1:46" s="2" customFormat="1" x14ac:dyDescent="0.25">
      <c r="A15">
        <v>78</v>
      </c>
      <c r="B15">
        <v>3</v>
      </c>
      <c r="C15">
        <v>6</v>
      </c>
      <c r="D15">
        <v>0</v>
      </c>
      <c r="E15">
        <v>3</v>
      </c>
      <c r="F15">
        <v>0</v>
      </c>
      <c r="G15">
        <v>0</v>
      </c>
      <c r="H15">
        <v>1</v>
      </c>
      <c r="I15" s="8">
        <f>+Table1[[#This Row],[Auton ball picked up in our trench]]+Table1[[#This Row],[Auton Balls Picked Up in Mid]]+Table1[[#This Row],[Auton Balls Picked Up In Their Trench]]</f>
        <v>3</v>
      </c>
      <c r="J15" s="8">
        <f>+Table1[[#This Row],[Auton Scored High]]+Table1[[#This Row],[Auton Scored Low]]</f>
        <v>6</v>
      </c>
      <c r="K1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25</v>
      </c>
      <c r="L15">
        <v>4</v>
      </c>
      <c r="M15">
        <v>0</v>
      </c>
      <c r="N15">
        <v>0</v>
      </c>
      <c r="O15">
        <v>0</v>
      </c>
      <c r="P15">
        <v>0</v>
      </c>
      <c r="Q15">
        <v>0</v>
      </c>
      <c r="R15">
        <v>0</v>
      </c>
      <c r="S15">
        <v>0</v>
      </c>
      <c r="T15">
        <v>0</v>
      </c>
      <c r="U15">
        <v>0</v>
      </c>
      <c r="V15" s="8">
        <f>Table1[[#This Row],[Balls Scored From Trench]]+Table1[[#This Row],[Balls Scored from Mid]]+Table1[[#This Row],[Balls Scored From Alliance zone]]</f>
        <v>4</v>
      </c>
      <c r="W15" s="8">
        <f>Table1[[#This Row],[balls scored high]]+Table1[[#This Row],[balls scored low]]</f>
        <v>4</v>
      </c>
      <c r="X15" s="8">
        <f>Table1[[#This Row],[Control Panel Spun Time]]+Table1[[#This Row],[Control Panel Color Time]]</f>
        <v>0</v>
      </c>
      <c r="Y15" s="8">
        <f>Table1[[#This Row],[Control Panels Spun]]+Table1[[#This Row],[Control Panel Color]]</f>
        <v>0</v>
      </c>
      <c r="Z1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12</v>
      </c>
      <c r="AA15">
        <v>0</v>
      </c>
      <c r="AB15">
        <v>0</v>
      </c>
      <c r="AC15">
        <v>0</v>
      </c>
      <c r="AD15">
        <v>0</v>
      </c>
      <c r="AE15">
        <v>0</v>
      </c>
      <c r="AF15">
        <v>0</v>
      </c>
      <c r="AG15">
        <v>0</v>
      </c>
      <c r="AH15"/>
      <c r="AI15" t="s">
        <v>43</v>
      </c>
      <c r="AJ15" t="s">
        <v>304</v>
      </c>
      <c r="AK15" s="17">
        <f>(Table1[[#This Row],[Climbed]]*weighting!$B$18)+(Table1[[#This Row],[Adjustable Climber]]*weighting!$B$19)+(Table1[[#This Row],[Lift other Robot]]*weighting!$B$20)+(Table1[[#This Row],[Balanced]]*weighting!$B$21)</f>
        <v>0</v>
      </c>
      <c r="AL15" s="8">
        <f>+Table1[[#This Row],[Endgame our score]]+Table1[[#This Row],[teleop our score]]+Table1[[#This Row],[auton our score]]</f>
        <v>37</v>
      </c>
      <c r="AM15" s="20">
        <f t="shared" si="0"/>
        <v>0</v>
      </c>
      <c r="AN15" s="20">
        <f t="shared" si="1"/>
        <v>0</v>
      </c>
      <c r="AO15" s="20">
        <f t="shared" si="2"/>
        <v>1</v>
      </c>
      <c r="AP15" s="20">
        <f>Table1[[#This Row],[balls scored]]+Table1[[#This Row],[auton balls scored]]</f>
        <v>10</v>
      </c>
      <c r="AQ15" s="20">
        <f>Table1[[#This Row],[balls scored high]]+Table1[[#This Row],[Auton Scored High]]</f>
        <v>10</v>
      </c>
      <c r="AR15" s="20">
        <f>Table1[[#This Row],[balls scored low]]+Table1[[#This Row],[Auton Scored Low]]</f>
        <v>0</v>
      </c>
      <c r="AS15" s="50">
        <f>IF(Table1[[#This Row],[Control Panel Spun Time]]&gt;0,1,0)</f>
        <v>0</v>
      </c>
      <c r="AT15" s="20">
        <f>IF(Table1[[#This Row],[Control Panel Color Time]]&gt;0,1,0)</f>
        <v>0</v>
      </c>
    </row>
    <row r="16" spans="1:46" x14ac:dyDescent="0.25">
      <c r="A16">
        <v>157</v>
      </c>
      <c r="B16">
        <v>3</v>
      </c>
      <c r="C16">
        <v>0</v>
      </c>
      <c r="D16">
        <v>0</v>
      </c>
      <c r="E16">
        <v>0</v>
      </c>
      <c r="F16">
        <v>0</v>
      </c>
      <c r="G16">
        <v>0</v>
      </c>
      <c r="H16">
        <v>0</v>
      </c>
      <c r="I16" s="8">
        <f>+Table1[[#This Row],[Auton ball picked up in our trench]]+Table1[[#This Row],[Auton Balls Picked Up in Mid]]+Table1[[#This Row],[Auton Balls Picked Up In Their Trench]]</f>
        <v>0</v>
      </c>
      <c r="J16" s="8">
        <f>+Table1[[#This Row],[Auton Scored High]]+Table1[[#This Row],[Auton Scored Low]]</f>
        <v>0</v>
      </c>
      <c r="K1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16">
        <v>0</v>
      </c>
      <c r="M16">
        <v>0</v>
      </c>
      <c r="N16">
        <v>0</v>
      </c>
      <c r="O16">
        <v>0</v>
      </c>
      <c r="P16">
        <v>0</v>
      </c>
      <c r="Q16">
        <v>0</v>
      </c>
      <c r="R16">
        <v>0</v>
      </c>
      <c r="S16">
        <v>0</v>
      </c>
      <c r="T16">
        <v>0</v>
      </c>
      <c r="U16">
        <v>0</v>
      </c>
      <c r="V16" s="8">
        <f>Table1[[#This Row],[Balls Scored From Trench]]+Table1[[#This Row],[Balls Scored from Mid]]+Table1[[#This Row],[Balls Scored From Alliance zone]]</f>
        <v>0</v>
      </c>
      <c r="W16" s="8">
        <f>Table1[[#This Row],[balls scored high]]+Table1[[#This Row],[balls scored low]]</f>
        <v>0</v>
      </c>
      <c r="X16" s="8">
        <f>Table1[[#This Row],[Control Panel Spun Time]]+Table1[[#This Row],[Control Panel Color Time]]</f>
        <v>0</v>
      </c>
      <c r="Y16" s="8">
        <f>Table1[[#This Row],[Control Panels Spun]]+Table1[[#This Row],[Control Panel Color]]</f>
        <v>0</v>
      </c>
      <c r="Z1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16">
        <v>0</v>
      </c>
      <c r="AB16">
        <v>0</v>
      </c>
      <c r="AC16">
        <v>0</v>
      </c>
      <c r="AD16">
        <v>0</v>
      </c>
      <c r="AE16">
        <v>0</v>
      </c>
      <c r="AF16">
        <v>0</v>
      </c>
      <c r="AG16">
        <v>0</v>
      </c>
      <c r="AI16" t="s">
        <v>174</v>
      </c>
      <c r="AJ16" t="s">
        <v>175</v>
      </c>
      <c r="AK16" s="17">
        <f>(Table1[[#This Row],[Climbed]]*weighting!$B$18)+(Table1[[#This Row],[Adjustable Climber]]*weighting!$B$19)+(Table1[[#This Row],[Lift other Robot]]*weighting!$B$20)+(Table1[[#This Row],[Balanced]]*weighting!$B$21)</f>
        <v>0</v>
      </c>
      <c r="AL16" s="8">
        <f>+Table1[[#This Row],[Endgame our score]]+Table1[[#This Row],[teleop our score]]+Table1[[#This Row],[auton our score]]</f>
        <v>0</v>
      </c>
      <c r="AM16" s="20">
        <f t="shared" si="0"/>
        <v>0</v>
      </c>
      <c r="AN16" s="20">
        <f t="shared" si="1"/>
        <v>0</v>
      </c>
      <c r="AO16" s="20">
        <f t="shared" si="2"/>
        <v>1</v>
      </c>
      <c r="AP16" s="20">
        <f>Table1[[#This Row],[balls scored]]+Table1[[#This Row],[auton balls scored]]</f>
        <v>0</v>
      </c>
      <c r="AQ16" s="20">
        <f>Table1[[#This Row],[balls scored high]]+Table1[[#This Row],[Auton Scored High]]</f>
        <v>0</v>
      </c>
      <c r="AR16" s="20">
        <f>Table1[[#This Row],[balls scored low]]+Table1[[#This Row],[Auton Scored Low]]</f>
        <v>0</v>
      </c>
      <c r="AS16" s="50">
        <f>IF(Table1[[#This Row],[Control Panel Spun Time]]&gt;0,1,0)</f>
        <v>0</v>
      </c>
      <c r="AT16" s="20">
        <f>IF(Table1[[#This Row],[Control Panel Color Time]]&gt;0,1,0)</f>
        <v>0</v>
      </c>
    </row>
    <row r="17" spans="1:46" s="2" customFormat="1" x14ac:dyDescent="0.25">
      <c r="A17">
        <v>157</v>
      </c>
      <c r="B17">
        <v>1</v>
      </c>
      <c r="C17">
        <v>0</v>
      </c>
      <c r="D17">
        <v>0</v>
      </c>
      <c r="E17">
        <v>0</v>
      </c>
      <c r="F17">
        <v>0</v>
      </c>
      <c r="G17">
        <v>0</v>
      </c>
      <c r="H17">
        <v>1</v>
      </c>
      <c r="I17" s="8">
        <f>+Table1[[#This Row],[Auton ball picked up in our trench]]+Table1[[#This Row],[Auton Balls Picked Up in Mid]]+Table1[[#This Row],[Auton Balls Picked Up In Their Trench]]</f>
        <v>0</v>
      </c>
      <c r="J17" s="8">
        <f>+Table1[[#This Row],[Auton Scored High]]+Table1[[#This Row],[Auton Scored Low]]</f>
        <v>0</v>
      </c>
      <c r="K1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17">
        <v>0</v>
      </c>
      <c r="M17">
        <v>4</v>
      </c>
      <c r="N17">
        <v>0</v>
      </c>
      <c r="O17">
        <v>0</v>
      </c>
      <c r="P17">
        <v>0</v>
      </c>
      <c r="Q17">
        <v>0</v>
      </c>
      <c r="R17">
        <v>0</v>
      </c>
      <c r="S17">
        <v>0</v>
      </c>
      <c r="T17">
        <v>0</v>
      </c>
      <c r="U17">
        <v>0</v>
      </c>
      <c r="V17" s="8">
        <f>Table1[[#This Row],[Balls Scored From Trench]]+Table1[[#This Row],[Balls Scored from Mid]]+Table1[[#This Row],[Balls Scored From Alliance zone]]</f>
        <v>4</v>
      </c>
      <c r="W17" s="8">
        <f>Table1[[#This Row],[balls scored high]]+Table1[[#This Row],[balls scored low]]</f>
        <v>4</v>
      </c>
      <c r="X17" s="8">
        <f>Table1[[#This Row],[Control Panel Spun Time]]+Table1[[#This Row],[Control Panel Color Time]]</f>
        <v>0</v>
      </c>
      <c r="Y17" s="8">
        <f>Table1[[#This Row],[Control Panels Spun]]+Table1[[#This Row],[Control Panel Color]]</f>
        <v>0</v>
      </c>
      <c r="Z1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8</v>
      </c>
      <c r="AA17">
        <v>0</v>
      </c>
      <c r="AB17">
        <v>0</v>
      </c>
      <c r="AC17">
        <v>0</v>
      </c>
      <c r="AD17">
        <v>0</v>
      </c>
      <c r="AE17">
        <v>0</v>
      </c>
      <c r="AF17">
        <v>0</v>
      </c>
      <c r="AG17">
        <v>0</v>
      </c>
      <c r="AH17"/>
      <c r="AI17" t="s">
        <v>43</v>
      </c>
      <c r="AJ17"/>
      <c r="AK17" s="17">
        <f>(Table1[[#This Row],[Climbed]]*weighting!$B$18)+(Table1[[#This Row],[Adjustable Climber]]*weighting!$B$19)+(Table1[[#This Row],[Lift other Robot]]*weighting!$B$20)+(Table1[[#This Row],[Balanced]]*weighting!$B$21)</f>
        <v>0</v>
      </c>
      <c r="AL17" s="8">
        <f>+Table1[[#This Row],[Endgame our score]]+Table1[[#This Row],[teleop our score]]+Table1[[#This Row],[auton our score]]</f>
        <v>9</v>
      </c>
      <c r="AM17" s="20">
        <f t="shared" si="0"/>
        <v>1</v>
      </c>
      <c r="AN17" s="20">
        <f t="shared" si="1"/>
        <v>0</v>
      </c>
      <c r="AO17" s="20">
        <f t="shared" si="2"/>
        <v>0</v>
      </c>
      <c r="AP17" s="20">
        <f>Table1[[#This Row],[balls scored]]+Table1[[#This Row],[auton balls scored]]</f>
        <v>4</v>
      </c>
      <c r="AQ17" s="20">
        <f>Table1[[#This Row],[balls scored high]]+Table1[[#This Row],[Auton Scored High]]</f>
        <v>4</v>
      </c>
      <c r="AR17" s="20">
        <f>Table1[[#This Row],[balls scored low]]+Table1[[#This Row],[Auton Scored Low]]</f>
        <v>0</v>
      </c>
      <c r="AS17" s="50">
        <f>IF(Table1[[#This Row],[Control Panel Spun Time]]&gt;0,1,0)</f>
        <v>0</v>
      </c>
      <c r="AT17" s="20">
        <f>IF(Table1[[#This Row],[Control Panel Color Time]]&gt;0,1,0)</f>
        <v>0</v>
      </c>
    </row>
    <row r="18" spans="1:46" x14ac:dyDescent="0.25">
      <c r="A18">
        <v>157</v>
      </c>
      <c r="B18">
        <v>1</v>
      </c>
      <c r="C18">
        <v>3</v>
      </c>
      <c r="D18">
        <v>0</v>
      </c>
      <c r="E18">
        <v>0</v>
      </c>
      <c r="F18">
        <v>0</v>
      </c>
      <c r="G18">
        <v>0</v>
      </c>
      <c r="H18">
        <v>1</v>
      </c>
      <c r="I18" s="8">
        <f>+Table1[[#This Row],[Auton ball picked up in our trench]]+Table1[[#This Row],[Auton Balls Picked Up in Mid]]+Table1[[#This Row],[Auton Balls Picked Up In Their Trench]]</f>
        <v>0</v>
      </c>
      <c r="J18" s="8">
        <f>+Table1[[#This Row],[Auton Scored High]]+Table1[[#This Row],[Auton Scored Low]]</f>
        <v>3</v>
      </c>
      <c r="K1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18">
        <v>0</v>
      </c>
      <c r="M18">
        <v>3</v>
      </c>
      <c r="N18">
        <v>0</v>
      </c>
      <c r="O18">
        <v>0</v>
      </c>
      <c r="P18">
        <v>0</v>
      </c>
      <c r="Q18">
        <v>0</v>
      </c>
      <c r="R18">
        <v>0</v>
      </c>
      <c r="S18">
        <v>0</v>
      </c>
      <c r="T18">
        <v>0</v>
      </c>
      <c r="U18">
        <v>0</v>
      </c>
      <c r="V18" s="8">
        <f>Table1[[#This Row],[Balls Scored From Trench]]+Table1[[#This Row],[Balls Scored from Mid]]+Table1[[#This Row],[Balls Scored From Alliance zone]]</f>
        <v>3</v>
      </c>
      <c r="W18" s="8">
        <f>Table1[[#This Row],[balls scored high]]+Table1[[#This Row],[balls scored low]]</f>
        <v>3</v>
      </c>
      <c r="X18" s="8">
        <f>Table1[[#This Row],[Control Panel Spun Time]]+Table1[[#This Row],[Control Panel Color Time]]</f>
        <v>0</v>
      </c>
      <c r="Y18" s="8">
        <f>Table1[[#This Row],[Control Panels Spun]]+Table1[[#This Row],[Control Panel Color]]</f>
        <v>0</v>
      </c>
      <c r="Z1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6</v>
      </c>
      <c r="AA18">
        <v>0</v>
      </c>
      <c r="AB18">
        <v>0</v>
      </c>
      <c r="AC18">
        <v>0</v>
      </c>
      <c r="AD18">
        <v>0</v>
      </c>
      <c r="AE18">
        <v>0</v>
      </c>
      <c r="AF18">
        <v>0</v>
      </c>
      <c r="AG18">
        <v>0</v>
      </c>
      <c r="AI18" t="s">
        <v>229</v>
      </c>
      <c r="AJ18" t="s">
        <v>237</v>
      </c>
      <c r="AK18" s="17">
        <f>(Table1[[#This Row],[Climbed]]*weighting!$B$18)+(Table1[[#This Row],[Adjustable Climber]]*weighting!$B$19)+(Table1[[#This Row],[Lift other Robot]]*weighting!$B$20)+(Table1[[#This Row],[Balanced]]*weighting!$B$21)</f>
        <v>0</v>
      </c>
      <c r="AL18" s="8">
        <f>+Table1[[#This Row],[Endgame our score]]+Table1[[#This Row],[teleop our score]]+Table1[[#This Row],[auton our score]]</f>
        <v>16</v>
      </c>
      <c r="AM18" s="20">
        <f t="shared" si="0"/>
        <v>1</v>
      </c>
      <c r="AN18" s="20">
        <f t="shared" si="1"/>
        <v>0</v>
      </c>
      <c r="AO18" s="20">
        <f t="shared" si="2"/>
        <v>0</v>
      </c>
      <c r="AP18" s="20">
        <f>Table1[[#This Row],[balls scored]]+Table1[[#This Row],[auton balls scored]]</f>
        <v>6</v>
      </c>
      <c r="AQ18" s="20">
        <f>Table1[[#This Row],[balls scored high]]+Table1[[#This Row],[Auton Scored High]]</f>
        <v>6</v>
      </c>
      <c r="AR18" s="20">
        <f>Table1[[#This Row],[balls scored low]]+Table1[[#This Row],[Auton Scored Low]]</f>
        <v>0</v>
      </c>
      <c r="AS18" s="50">
        <f>IF(Table1[[#This Row],[Control Panel Spun Time]]&gt;0,1,0)</f>
        <v>0</v>
      </c>
      <c r="AT18" s="20">
        <f>IF(Table1[[#This Row],[Control Panel Color Time]]&gt;0,1,0)</f>
        <v>0</v>
      </c>
    </row>
    <row r="19" spans="1:46" s="2" customFormat="1" x14ac:dyDescent="0.25">
      <c r="A19">
        <v>157</v>
      </c>
      <c r="B19">
        <v>3</v>
      </c>
      <c r="C19">
        <v>0</v>
      </c>
      <c r="D19">
        <v>0</v>
      </c>
      <c r="E19">
        <v>0</v>
      </c>
      <c r="F19">
        <v>0</v>
      </c>
      <c r="G19">
        <v>0</v>
      </c>
      <c r="H19">
        <v>0</v>
      </c>
      <c r="I19" s="8">
        <f>+Table1[[#This Row],[Auton ball picked up in our trench]]+Table1[[#This Row],[Auton Balls Picked Up in Mid]]+Table1[[#This Row],[Auton Balls Picked Up In Their Trench]]</f>
        <v>0</v>
      </c>
      <c r="J19" s="8">
        <f>+Table1[[#This Row],[Auton Scored High]]+Table1[[#This Row],[Auton Scored Low]]</f>
        <v>0</v>
      </c>
      <c r="K1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19">
        <v>0</v>
      </c>
      <c r="M19">
        <v>0</v>
      </c>
      <c r="N19">
        <v>0</v>
      </c>
      <c r="O19">
        <v>0</v>
      </c>
      <c r="P19">
        <v>0</v>
      </c>
      <c r="Q19">
        <v>0</v>
      </c>
      <c r="R19">
        <v>0</v>
      </c>
      <c r="S19">
        <v>0</v>
      </c>
      <c r="T19">
        <v>0</v>
      </c>
      <c r="U19">
        <v>0</v>
      </c>
      <c r="V19" s="8">
        <f>Table1[[#This Row],[Balls Scored From Trench]]+Table1[[#This Row],[Balls Scored from Mid]]+Table1[[#This Row],[Balls Scored From Alliance zone]]</f>
        <v>0</v>
      </c>
      <c r="W19" s="8">
        <f>Table1[[#This Row],[balls scored high]]+Table1[[#This Row],[balls scored low]]</f>
        <v>0</v>
      </c>
      <c r="X19" s="8">
        <f>Table1[[#This Row],[Control Panel Spun Time]]+Table1[[#This Row],[Control Panel Color Time]]</f>
        <v>0</v>
      </c>
      <c r="Y19" s="8">
        <f>Table1[[#This Row],[Control Panels Spun]]+Table1[[#This Row],[Control Panel Color]]</f>
        <v>0</v>
      </c>
      <c r="Z1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19">
        <v>0</v>
      </c>
      <c r="AB19">
        <v>0</v>
      </c>
      <c r="AC19">
        <v>0</v>
      </c>
      <c r="AD19">
        <v>0</v>
      </c>
      <c r="AE19">
        <v>0</v>
      </c>
      <c r="AF19">
        <v>0</v>
      </c>
      <c r="AG19">
        <v>0</v>
      </c>
      <c r="AH19"/>
      <c r="AI19" t="s">
        <v>179</v>
      </c>
      <c r="AJ19" t="s">
        <v>274</v>
      </c>
      <c r="AK19" s="17">
        <f>(Table1[[#This Row],[Climbed]]*weighting!$B$18)+(Table1[[#This Row],[Adjustable Climber]]*weighting!$B$19)+(Table1[[#This Row],[Lift other Robot]]*weighting!$B$20)+(Table1[[#This Row],[Balanced]]*weighting!$B$21)</f>
        <v>0</v>
      </c>
      <c r="AL19" s="8">
        <f>+Table1[[#This Row],[Endgame our score]]+Table1[[#This Row],[teleop our score]]+Table1[[#This Row],[auton our score]]</f>
        <v>0</v>
      </c>
      <c r="AM19" s="20">
        <f t="shared" si="0"/>
        <v>0</v>
      </c>
      <c r="AN19" s="20">
        <f t="shared" si="1"/>
        <v>0</v>
      </c>
      <c r="AO19" s="20">
        <f t="shared" si="2"/>
        <v>1</v>
      </c>
      <c r="AP19" s="20">
        <f>Table1[[#This Row],[balls scored]]+Table1[[#This Row],[auton balls scored]]</f>
        <v>0</v>
      </c>
      <c r="AQ19" s="20">
        <f>Table1[[#This Row],[balls scored high]]+Table1[[#This Row],[Auton Scored High]]</f>
        <v>0</v>
      </c>
      <c r="AR19" s="20">
        <f>Table1[[#This Row],[balls scored low]]+Table1[[#This Row],[Auton Scored Low]]</f>
        <v>0</v>
      </c>
      <c r="AS19" s="50">
        <f>IF(Table1[[#This Row],[Control Panel Spun Time]]&gt;0,1,0)</f>
        <v>0</v>
      </c>
      <c r="AT19" s="20">
        <f>IF(Table1[[#This Row],[Control Panel Color Time]]&gt;0,1,0)</f>
        <v>0</v>
      </c>
    </row>
    <row r="20" spans="1:46" x14ac:dyDescent="0.25">
      <c r="A20">
        <v>157</v>
      </c>
      <c r="B20">
        <v>3</v>
      </c>
      <c r="C20">
        <v>2</v>
      </c>
      <c r="D20">
        <v>0</v>
      </c>
      <c r="E20">
        <v>0</v>
      </c>
      <c r="F20">
        <v>0</v>
      </c>
      <c r="G20">
        <v>0</v>
      </c>
      <c r="H20">
        <v>1</v>
      </c>
      <c r="I20" s="8">
        <f>+Table1[[#This Row],[Auton ball picked up in our trench]]+Table1[[#This Row],[Auton Balls Picked Up in Mid]]+Table1[[#This Row],[Auton Balls Picked Up In Their Trench]]</f>
        <v>0</v>
      </c>
      <c r="J20" s="8">
        <f>+Table1[[#This Row],[Auton Scored High]]+Table1[[#This Row],[Auton Scored Low]]</f>
        <v>2</v>
      </c>
      <c r="K2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7</v>
      </c>
      <c r="L20">
        <v>0</v>
      </c>
      <c r="M20">
        <v>0</v>
      </c>
      <c r="N20">
        <v>0</v>
      </c>
      <c r="O20">
        <v>0</v>
      </c>
      <c r="P20">
        <v>0</v>
      </c>
      <c r="Q20">
        <v>0</v>
      </c>
      <c r="R20">
        <v>0</v>
      </c>
      <c r="S20">
        <v>0</v>
      </c>
      <c r="T20">
        <v>0</v>
      </c>
      <c r="U20">
        <v>0</v>
      </c>
      <c r="V20" s="8">
        <f>Table1[[#This Row],[Balls Scored From Trench]]+Table1[[#This Row],[Balls Scored from Mid]]+Table1[[#This Row],[Balls Scored From Alliance zone]]</f>
        <v>0</v>
      </c>
      <c r="W20" s="8">
        <f>Table1[[#This Row],[balls scored high]]+Table1[[#This Row],[balls scored low]]</f>
        <v>0</v>
      </c>
      <c r="X20" s="8">
        <f>Table1[[#This Row],[Control Panel Spun Time]]+Table1[[#This Row],[Control Panel Color Time]]</f>
        <v>0</v>
      </c>
      <c r="Y20" s="8">
        <f>Table1[[#This Row],[Control Panels Spun]]+Table1[[#This Row],[Control Panel Color]]</f>
        <v>0</v>
      </c>
      <c r="Z2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0">
        <v>0</v>
      </c>
      <c r="AB20">
        <v>0</v>
      </c>
      <c r="AC20">
        <v>0</v>
      </c>
      <c r="AD20">
        <v>0</v>
      </c>
      <c r="AE20">
        <v>0</v>
      </c>
      <c r="AF20">
        <v>0</v>
      </c>
      <c r="AG20">
        <v>0</v>
      </c>
      <c r="AI20" t="s">
        <v>174</v>
      </c>
      <c r="AK20" s="17">
        <f>(Table1[[#This Row],[Climbed]]*weighting!$B$18)+(Table1[[#This Row],[Adjustable Climber]]*weighting!$B$19)+(Table1[[#This Row],[Lift other Robot]]*weighting!$B$20)+(Table1[[#This Row],[Balanced]]*weighting!$B$21)</f>
        <v>0</v>
      </c>
      <c r="AL20" s="8">
        <f>+Table1[[#This Row],[Endgame our score]]+Table1[[#This Row],[teleop our score]]+Table1[[#This Row],[auton our score]]</f>
        <v>7</v>
      </c>
      <c r="AM20" s="20">
        <f t="shared" si="0"/>
        <v>0</v>
      </c>
      <c r="AN20" s="20">
        <f t="shared" si="1"/>
        <v>0</v>
      </c>
      <c r="AO20" s="20">
        <f t="shared" si="2"/>
        <v>1</v>
      </c>
      <c r="AP20" s="20">
        <f>Table1[[#This Row],[balls scored]]+Table1[[#This Row],[auton balls scored]]</f>
        <v>2</v>
      </c>
      <c r="AQ20" s="20">
        <f>Table1[[#This Row],[balls scored high]]+Table1[[#This Row],[Auton Scored High]]</f>
        <v>2</v>
      </c>
      <c r="AR20" s="20">
        <f>Table1[[#This Row],[balls scored low]]+Table1[[#This Row],[Auton Scored Low]]</f>
        <v>0</v>
      </c>
      <c r="AS20" s="50">
        <f>IF(Table1[[#This Row],[Control Panel Spun Time]]&gt;0,1,0)</f>
        <v>0</v>
      </c>
      <c r="AT20" s="20">
        <f>IF(Table1[[#This Row],[Control Panel Color Time]]&gt;0,1,0)</f>
        <v>0</v>
      </c>
    </row>
    <row r="21" spans="1:46" s="2" customFormat="1" x14ac:dyDescent="0.25">
      <c r="A21">
        <v>166</v>
      </c>
      <c r="B21">
        <v>1</v>
      </c>
      <c r="C21">
        <v>0</v>
      </c>
      <c r="D21">
        <v>0</v>
      </c>
      <c r="E21">
        <v>0</v>
      </c>
      <c r="F21">
        <v>0</v>
      </c>
      <c r="G21">
        <v>0</v>
      </c>
      <c r="H21">
        <v>0</v>
      </c>
      <c r="I21" s="8">
        <f>+Table1[[#This Row],[Auton ball picked up in our trench]]+Table1[[#This Row],[Auton Balls Picked Up in Mid]]+Table1[[#This Row],[Auton Balls Picked Up In Their Trench]]</f>
        <v>0</v>
      </c>
      <c r="J21" s="8">
        <f>+Table1[[#This Row],[Auton Scored High]]+Table1[[#This Row],[Auton Scored Low]]</f>
        <v>0</v>
      </c>
      <c r="K2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1">
        <v>0</v>
      </c>
      <c r="M21">
        <v>2</v>
      </c>
      <c r="N21">
        <v>0</v>
      </c>
      <c r="O21">
        <v>0</v>
      </c>
      <c r="P21">
        <v>0</v>
      </c>
      <c r="Q21">
        <v>0</v>
      </c>
      <c r="R21">
        <v>0</v>
      </c>
      <c r="S21">
        <v>0</v>
      </c>
      <c r="T21">
        <v>0</v>
      </c>
      <c r="U21">
        <v>0</v>
      </c>
      <c r="V21" s="8">
        <f>Table1[[#This Row],[Balls Scored From Trench]]+Table1[[#This Row],[Balls Scored from Mid]]+Table1[[#This Row],[Balls Scored From Alliance zone]]</f>
        <v>2</v>
      </c>
      <c r="W21" s="8">
        <f>Table1[[#This Row],[balls scored high]]+Table1[[#This Row],[balls scored low]]</f>
        <v>2</v>
      </c>
      <c r="X21" s="8">
        <f>Table1[[#This Row],[Control Panel Spun Time]]+Table1[[#This Row],[Control Panel Color Time]]</f>
        <v>0</v>
      </c>
      <c r="Y21" s="8">
        <f>Table1[[#This Row],[Control Panels Spun]]+Table1[[#This Row],[Control Panel Color]]</f>
        <v>0</v>
      </c>
      <c r="Z2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4</v>
      </c>
      <c r="AA21">
        <v>0</v>
      </c>
      <c r="AB21">
        <v>0</v>
      </c>
      <c r="AC21">
        <v>0</v>
      </c>
      <c r="AD21">
        <v>0</v>
      </c>
      <c r="AE21">
        <v>0</v>
      </c>
      <c r="AF21">
        <v>0</v>
      </c>
      <c r="AG21">
        <v>0</v>
      </c>
      <c r="AH21"/>
      <c r="AI21" t="s">
        <v>174</v>
      </c>
      <c r="AJ21"/>
      <c r="AK21" s="17">
        <f>(Table1[[#This Row],[Climbed]]*weighting!$B$18)+(Table1[[#This Row],[Adjustable Climber]]*weighting!$B$19)+(Table1[[#This Row],[Lift other Robot]]*weighting!$B$20)+(Table1[[#This Row],[Balanced]]*weighting!$B$21)</f>
        <v>0</v>
      </c>
      <c r="AL21" s="8">
        <f>+Table1[[#This Row],[Endgame our score]]+Table1[[#This Row],[teleop our score]]+Table1[[#This Row],[auton our score]]</f>
        <v>4</v>
      </c>
      <c r="AM21" s="20">
        <f t="shared" si="0"/>
        <v>1</v>
      </c>
      <c r="AN21" s="20">
        <f t="shared" si="1"/>
        <v>0</v>
      </c>
      <c r="AO21" s="20">
        <f t="shared" si="2"/>
        <v>0</v>
      </c>
      <c r="AP21" s="20">
        <f>Table1[[#This Row],[balls scored]]+Table1[[#This Row],[auton balls scored]]</f>
        <v>2</v>
      </c>
      <c r="AQ21" s="20">
        <f>Table1[[#This Row],[balls scored high]]+Table1[[#This Row],[Auton Scored High]]</f>
        <v>2</v>
      </c>
      <c r="AR21" s="20">
        <f>Table1[[#This Row],[balls scored low]]+Table1[[#This Row],[Auton Scored Low]]</f>
        <v>0</v>
      </c>
      <c r="AS21" s="50">
        <f>IF(Table1[[#This Row],[Control Panel Spun Time]]&gt;0,1,0)</f>
        <v>0</v>
      </c>
      <c r="AT21" s="20">
        <f>IF(Table1[[#This Row],[Control Panel Color Time]]&gt;0,1,0)</f>
        <v>0</v>
      </c>
    </row>
    <row r="22" spans="1:46" x14ac:dyDescent="0.25">
      <c r="A22">
        <v>166</v>
      </c>
      <c r="B22">
        <v>1</v>
      </c>
      <c r="C22">
        <v>2</v>
      </c>
      <c r="D22">
        <v>0</v>
      </c>
      <c r="E22">
        <v>0</v>
      </c>
      <c r="F22">
        <v>0</v>
      </c>
      <c r="G22">
        <v>0</v>
      </c>
      <c r="H22">
        <v>1</v>
      </c>
      <c r="I22" s="8">
        <f>+Table1[[#This Row],[Auton ball picked up in our trench]]+Table1[[#This Row],[Auton Balls Picked Up in Mid]]+Table1[[#This Row],[Auton Balls Picked Up In Their Trench]]</f>
        <v>0</v>
      </c>
      <c r="J22" s="8">
        <f>+Table1[[#This Row],[Auton Scored High]]+Table1[[#This Row],[Auton Scored Low]]</f>
        <v>2</v>
      </c>
      <c r="K2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7</v>
      </c>
      <c r="L22">
        <v>0</v>
      </c>
      <c r="M22">
        <v>0</v>
      </c>
      <c r="N22">
        <v>4</v>
      </c>
      <c r="O22">
        <v>0</v>
      </c>
      <c r="P22">
        <v>0</v>
      </c>
      <c r="Q22">
        <v>0</v>
      </c>
      <c r="R22">
        <v>0</v>
      </c>
      <c r="S22">
        <v>0</v>
      </c>
      <c r="T22">
        <v>0</v>
      </c>
      <c r="U22">
        <v>0</v>
      </c>
      <c r="V22" s="8">
        <f>Table1[[#This Row],[Balls Scored From Trench]]+Table1[[#This Row],[Balls Scored from Mid]]+Table1[[#This Row],[Balls Scored From Alliance zone]]</f>
        <v>4</v>
      </c>
      <c r="W22" s="8">
        <f>Table1[[#This Row],[balls scored high]]+Table1[[#This Row],[balls scored low]]</f>
        <v>4</v>
      </c>
      <c r="X22" s="8">
        <f>Table1[[#This Row],[Control Panel Spun Time]]+Table1[[#This Row],[Control Panel Color Time]]</f>
        <v>0</v>
      </c>
      <c r="Y22" s="8">
        <f>Table1[[#This Row],[Control Panels Spun]]+Table1[[#This Row],[Control Panel Color]]</f>
        <v>0</v>
      </c>
      <c r="Z2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4</v>
      </c>
      <c r="AA22">
        <v>1</v>
      </c>
      <c r="AB22">
        <v>0</v>
      </c>
      <c r="AC22">
        <v>0</v>
      </c>
      <c r="AD22">
        <v>0</v>
      </c>
      <c r="AE22">
        <v>0</v>
      </c>
      <c r="AF22">
        <v>0</v>
      </c>
      <c r="AG22">
        <v>0</v>
      </c>
      <c r="AI22" t="s">
        <v>184</v>
      </c>
      <c r="AJ22" t="s">
        <v>238</v>
      </c>
      <c r="AK22" s="17">
        <f>(Table1[[#This Row],[Climbed]]*weighting!$B$18)+(Table1[[#This Row],[Adjustable Climber]]*weighting!$B$19)+(Table1[[#This Row],[Lift other Robot]]*weighting!$B$20)+(Table1[[#This Row],[Balanced]]*weighting!$B$21)</f>
        <v>25</v>
      </c>
      <c r="AL22" s="8">
        <f>+Table1[[#This Row],[Endgame our score]]+Table1[[#This Row],[teleop our score]]+Table1[[#This Row],[auton our score]]</f>
        <v>36</v>
      </c>
      <c r="AM22" s="20">
        <f t="shared" si="0"/>
        <v>1</v>
      </c>
      <c r="AN22" s="20">
        <f t="shared" si="1"/>
        <v>0</v>
      </c>
      <c r="AO22" s="20">
        <f t="shared" si="2"/>
        <v>0</v>
      </c>
      <c r="AP22" s="20">
        <f>Table1[[#This Row],[balls scored]]+Table1[[#This Row],[auton balls scored]]</f>
        <v>6</v>
      </c>
      <c r="AQ22" s="20">
        <f>Table1[[#This Row],[balls scored high]]+Table1[[#This Row],[Auton Scored High]]</f>
        <v>6</v>
      </c>
      <c r="AR22" s="20">
        <f>Table1[[#This Row],[balls scored low]]+Table1[[#This Row],[Auton Scored Low]]</f>
        <v>0</v>
      </c>
      <c r="AS22" s="50">
        <f>IF(Table1[[#This Row],[Control Panel Spun Time]]&gt;0,1,0)</f>
        <v>0</v>
      </c>
      <c r="AT22" s="20">
        <f>IF(Table1[[#This Row],[Control Panel Color Time]]&gt;0,1,0)</f>
        <v>0</v>
      </c>
    </row>
    <row r="23" spans="1:46" s="2" customFormat="1" x14ac:dyDescent="0.25">
      <c r="A23">
        <v>166</v>
      </c>
      <c r="B23">
        <v>2</v>
      </c>
      <c r="C23">
        <v>3</v>
      </c>
      <c r="D23">
        <v>0</v>
      </c>
      <c r="E23">
        <v>0</v>
      </c>
      <c r="F23">
        <v>0</v>
      </c>
      <c r="G23">
        <v>0</v>
      </c>
      <c r="H23">
        <v>0</v>
      </c>
      <c r="I23" s="8">
        <f>+Table1[[#This Row],[Auton ball picked up in our trench]]+Table1[[#This Row],[Auton Balls Picked Up in Mid]]+Table1[[#This Row],[Auton Balls Picked Up In Their Trench]]</f>
        <v>0</v>
      </c>
      <c r="J23" s="8">
        <f>+Table1[[#This Row],[Auton Scored High]]+Table1[[#This Row],[Auton Scored Low]]</f>
        <v>3</v>
      </c>
      <c r="K2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9</v>
      </c>
      <c r="L23">
        <v>0</v>
      </c>
      <c r="M23">
        <v>1</v>
      </c>
      <c r="N23">
        <v>0</v>
      </c>
      <c r="O23">
        <v>0</v>
      </c>
      <c r="P23">
        <v>0</v>
      </c>
      <c r="Q23">
        <v>0</v>
      </c>
      <c r="R23">
        <v>0</v>
      </c>
      <c r="S23">
        <v>0</v>
      </c>
      <c r="T23">
        <v>0</v>
      </c>
      <c r="U23">
        <v>0</v>
      </c>
      <c r="V23" s="8">
        <f>Table1[[#This Row],[Balls Scored From Trench]]+Table1[[#This Row],[Balls Scored from Mid]]+Table1[[#This Row],[Balls Scored From Alliance zone]]</f>
        <v>1</v>
      </c>
      <c r="W23" s="8">
        <f>Table1[[#This Row],[balls scored high]]+Table1[[#This Row],[balls scored low]]</f>
        <v>1</v>
      </c>
      <c r="X23" s="8">
        <f>Table1[[#This Row],[Control Panel Spun Time]]+Table1[[#This Row],[Control Panel Color Time]]</f>
        <v>0</v>
      </c>
      <c r="Y23" s="8">
        <f>Table1[[#This Row],[Control Panels Spun]]+Table1[[#This Row],[Control Panel Color]]</f>
        <v>0</v>
      </c>
      <c r="Z2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2</v>
      </c>
      <c r="AA23">
        <v>1</v>
      </c>
      <c r="AB23">
        <v>0</v>
      </c>
      <c r="AC23">
        <v>0</v>
      </c>
      <c r="AD23">
        <v>0</v>
      </c>
      <c r="AE23">
        <v>0</v>
      </c>
      <c r="AF23">
        <v>0</v>
      </c>
      <c r="AG23">
        <v>0</v>
      </c>
      <c r="AH23"/>
      <c r="AI23" t="s">
        <v>43</v>
      </c>
      <c r="AJ23"/>
      <c r="AK23" s="17">
        <f>(Table1[[#This Row],[Climbed]]*weighting!$B$18)+(Table1[[#This Row],[Adjustable Climber]]*weighting!$B$19)+(Table1[[#This Row],[Lift other Robot]]*weighting!$B$20)+(Table1[[#This Row],[Balanced]]*weighting!$B$21)</f>
        <v>25</v>
      </c>
      <c r="AL23" s="8">
        <f>+Table1[[#This Row],[Endgame our score]]+Table1[[#This Row],[teleop our score]]+Table1[[#This Row],[auton our score]]</f>
        <v>36</v>
      </c>
      <c r="AM23" s="20">
        <f t="shared" si="0"/>
        <v>0</v>
      </c>
      <c r="AN23" s="20">
        <f t="shared" si="1"/>
        <v>1</v>
      </c>
      <c r="AO23" s="20">
        <f t="shared" si="2"/>
        <v>0</v>
      </c>
      <c r="AP23" s="20">
        <f>Table1[[#This Row],[balls scored]]+Table1[[#This Row],[auton balls scored]]</f>
        <v>4</v>
      </c>
      <c r="AQ23" s="20">
        <f>Table1[[#This Row],[balls scored high]]+Table1[[#This Row],[Auton Scored High]]</f>
        <v>4</v>
      </c>
      <c r="AR23" s="20">
        <f>Table1[[#This Row],[balls scored low]]+Table1[[#This Row],[Auton Scored Low]]</f>
        <v>0</v>
      </c>
      <c r="AS23" s="50">
        <f>IF(Table1[[#This Row],[Control Panel Spun Time]]&gt;0,1,0)</f>
        <v>0</v>
      </c>
      <c r="AT23" s="20">
        <f>IF(Table1[[#This Row],[Control Panel Color Time]]&gt;0,1,0)</f>
        <v>0</v>
      </c>
    </row>
    <row r="24" spans="1:46" x14ac:dyDescent="0.25">
      <c r="A24">
        <v>166</v>
      </c>
      <c r="B24">
        <v>1</v>
      </c>
      <c r="C24">
        <v>3</v>
      </c>
      <c r="D24">
        <v>0</v>
      </c>
      <c r="E24">
        <v>0</v>
      </c>
      <c r="F24">
        <v>0</v>
      </c>
      <c r="G24">
        <v>0</v>
      </c>
      <c r="H24">
        <v>1</v>
      </c>
      <c r="I24" s="8">
        <f>+Table1[[#This Row],[Auton ball picked up in our trench]]+Table1[[#This Row],[Auton Balls Picked Up in Mid]]+Table1[[#This Row],[Auton Balls Picked Up In Their Trench]]</f>
        <v>0</v>
      </c>
      <c r="J24" s="8">
        <f>+Table1[[#This Row],[Auton Scored High]]+Table1[[#This Row],[Auton Scored Low]]</f>
        <v>3</v>
      </c>
      <c r="K2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24">
        <v>0</v>
      </c>
      <c r="M24">
        <v>3</v>
      </c>
      <c r="N24">
        <v>0</v>
      </c>
      <c r="O24">
        <v>0</v>
      </c>
      <c r="P24">
        <v>0</v>
      </c>
      <c r="Q24">
        <v>0</v>
      </c>
      <c r="R24">
        <v>0</v>
      </c>
      <c r="S24">
        <v>0</v>
      </c>
      <c r="T24">
        <v>0</v>
      </c>
      <c r="U24">
        <v>0</v>
      </c>
      <c r="V24" s="8">
        <f>Table1[[#This Row],[Balls Scored From Trench]]+Table1[[#This Row],[Balls Scored from Mid]]+Table1[[#This Row],[Balls Scored From Alliance zone]]</f>
        <v>3</v>
      </c>
      <c r="W24" s="8">
        <f>Table1[[#This Row],[balls scored high]]+Table1[[#This Row],[balls scored low]]</f>
        <v>3</v>
      </c>
      <c r="X24" s="8">
        <f>Table1[[#This Row],[Control Panel Spun Time]]+Table1[[#This Row],[Control Panel Color Time]]</f>
        <v>0</v>
      </c>
      <c r="Y24" s="8">
        <f>Table1[[#This Row],[Control Panels Spun]]+Table1[[#This Row],[Control Panel Color]]</f>
        <v>0</v>
      </c>
      <c r="Z2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6</v>
      </c>
      <c r="AA24">
        <v>1</v>
      </c>
      <c r="AB24">
        <v>0</v>
      </c>
      <c r="AC24">
        <v>0</v>
      </c>
      <c r="AD24">
        <v>0</v>
      </c>
      <c r="AE24">
        <v>0</v>
      </c>
      <c r="AF24">
        <v>0</v>
      </c>
      <c r="AG24">
        <v>0</v>
      </c>
      <c r="AI24" t="s">
        <v>43</v>
      </c>
      <c r="AK24" s="17">
        <f>(Table1[[#This Row],[Climbed]]*weighting!$B$18)+(Table1[[#This Row],[Adjustable Climber]]*weighting!$B$19)+(Table1[[#This Row],[Lift other Robot]]*weighting!$B$20)+(Table1[[#This Row],[Balanced]]*weighting!$B$21)</f>
        <v>25</v>
      </c>
      <c r="AL24" s="8">
        <f>+Table1[[#This Row],[Endgame our score]]+Table1[[#This Row],[teleop our score]]+Table1[[#This Row],[auton our score]]</f>
        <v>41</v>
      </c>
      <c r="AM24" s="20">
        <f t="shared" si="0"/>
        <v>1</v>
      </c>
      <c r="AN24" s="20">
        <f t="shared" si="1"/>
        <v>0</v>
      </c>
      <c r="AO24" s="20">
        <f t="shared" si="2"/>
        <v>0</v>
      </c>
      <c r="AP24" s="20">
        <f>Table1[[#This Row],[balls scored]]+Table1[[#This Row],[auton balls scored]]</f>
        <v>6</v>
      </c>
      <c r="AQ24" s="20">
        <f>Table1[[#This Row],[balls scored high]]+Table1[[#This Row],[Auton Scored High]]</f>
        <v>6</v>
      </c>
      <c r="AR24" s="20">
        <f>Table1[[#This Row],[balls scored low]]+Table1[[#This Row],[Auton Scored Low]]</f>
        <v>0</v>
      </c>
      <c r="AS24" s="50">
        <f>IF(Table1[[#This Row],[Control Panel Spun Time]]&gt;0,1,0)</f>
        <v>0</v>
      </c>
      <c r="AT24" s="20">
        <f>IF(Table1[[#This Row],[Control Panel Color Time]]&gt;0,1,0)</f>
        <v>0</v>
      </c>
    </row>
    <row r="25" spans="1:46" s="2" customFormat="1" x14ac:dyDescent="0.25">
      <c r="A25">
        <v>166</v>
      </c>
      <c r="B25">
        <v>3</v>
      </c>
      <c r="C25">
        <v>5</v>
      </c>
      <c r="D25">
        <v>0</v>
      </c>
      <c r="E25">
        <v>0</v>
      </c>
      <c r="F25">
        <v>0</v>
      </c>
      <c r="G25">
        <v>0</v>
      </c>
      <c r="H25">
        <v>1</v>
      </c>
      <c r="I25" s="8">
        <f>+Table1[[#This Row],[Auton ball picked up in our trench]]+Table1[[#This Row],[Auton Balls Picked Up in Mid]]+Table1[[#This Row],[Auton Balls Picked Up In Their Trench]]</f>
        <v>0</v>
      </c>
      <c r="J25" s="8">
        <f>+Table1[[#This Row],[Auton Scored High]]+Table1[[#This Row],[Auton Scored Low]]</f>
        <v>5</v>
      </c>
      <c r="K2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16</v>
      </c>
      <c r="L25">
        <v>0</v>
      </c>
      <c r="M25">
        <v>0</v>
      </c>
      <c r="N25">
        <v>0</v>
      </c>
      <c r="O25">
        <v>0</v>
      </c>
      <c r="P25">
        <v>0</v>
      </c>
      <c r="Q25">
        <v>0</v>
      </c>
      <c r="R25">
        <v>0</v>
      </c>
      <c r="S25">
        <v>0</v>
      </c>
      <c r="T25">
        <v>0</v>
      </c>
      <c r="U25">
        <v>2.5</v>
      </c>
      <c r="V25" s="8">
        <f>Table1[[#This Row],[Balls Scored From Trench]]+Table1[[#This Row],[Balls Scored from Mid]]+Table1[[#This Row],[Balls Scored From Alliance zone]]</f>
        <v>0</v>
      </c>
      <c r="W25" s="8">
        <f>Table1[[#This Row],[balls scored high]]+Table1[[#This Row],[balls scored low]]</f>
        <v>0</v>
      </c>
      <c r="X25" s="8">
        <f>Table1[[#This Row],[Control Panel Spun Time]]+Table1[[#This Row],[Control Panel Color Time]]</f>
        <v>0</v>
      </c>
      <c r="Y25" s="8">
        <f>Table1[[#This Row],[Control Panels Spun]]+Table1[[#This Row],[Control Panel Color]]</f>
        <v>0</v>
      </c>
      <c r="Z2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5</v>
      </c>
      <c r="AA25">
        <v>0</v>
      </c>
      <c r="AB25">
        <v>0</v>
      </c>
      <c r="AC25">
        <v>0</v>
      </c>
      <c r="AD25">
        <v>0</v>
      </c>
      <c r="AE25">
        <v>0</v>
      </c>
      <c r="AF25">
        <v>0</v>
      </c>
      <c r="AG25">
        <v>0</v>
      </c>
      <c r="AH25"/>
      <c r="AI25" t="s">
        <v>179</v>
      </c>
      <c r="AJ25" t="s">
        <v>275</v>
      </c>
      <c r="AK25" s="17">
        <f>(Table1[[#This Row],[Climbed]]*weighting!$B$18)+(Table1[[#This Row],[Adjustable Climber]]*weighting!$B$19)+(Table1[[#This Row],[Lift other Robot]]*weighting!$B$20)+(Table1[[#This Row],[Balanced]]*weighting!$B$21)</f>
        <v>0</v>
      </c>
      <c r="AL25" s="8">
        <f>+Table1[[#This Row],[Endgame our score]]+Table1[[#This Row],[teleop our score]]+Table1[[#This Row],[auton our score]]</f>
        <v>21</v>
      </c>
      <c r="AM25" s="20">
        <f t="shared" si="0"/>
        <v>0</v>
      </c>
      <c r="AN25" s="20">
        <f t="shared" si="1"/>
        <v>0</v>
      </c>
      <c r="AO25" s="20">
        <f t="shared" si="2"/>
        <v>1</v>
      </c>
      <c r="AP25" s="20">
        <f>Table1[[#This Row],[balls scored]]+Table1[[#This Row],[auton balls scored]]</f>
        <v>5</v>
      </c>
      <c r="AQ25" s="20">
        <f>Table1[[#This Row],[balls scored high]]+Table1[[#This Row],[Auton Scored High]]</f>
        <v>5</v>
      </c>
      <c r="AR25" s="20">
        <f>Table1[[#This Row],[balls scored low]]+Table1[[#This Row],[Auton Scored Low]]</f>
        <v>0</v>
      </c>
      <c r="AS25" s="50">
        <f>IF(Table1[[#This Row],[Control Panel Spun Time]]&gt;0,1,0)</f>
        <v>0</v>
      </c>
      <c r="AT25" s="20">
        <f>IF(Table1[[#This Row],[Control Panel Color Time]]&gt;0,1,0)</f>
        <v>0</v>
      </c>
    </row>
    <row r="26" spans="1:46" x14ac:dyDescent="0.25">
      <c r="A26">
        <v>166</v>
      </c>
      <c r="B26">
        <v>3</v>
      </c>
      <c r="C26">
        <v>4</v>
      </c>
      <c r="D26">
        <v>0</v>
      </c>
      <c r="E26">
        <v>0</v>
      </c>
      <c r="F26">
        <v>0</v>
      </c>
      <c r="G26">
        <v>0</v>
      </c>
      <c r="H26">
        <v>1</v>
      </c>
      <c r="I26" s="8">
        <f>+Table1[[#This Row],[Auton ball picked up in our trench]]+Table1[[#This Row],[Auton Balls Picked Up in Mid]]+Table1[[#This Row],[Auton Balls Picked Up In Their Trench]]</f>
        <v>0</v>
      </c>
      <c r="J26" s="8">
        <f>+Table1[[#This Row],[Auton Scored High]]+Table1[[#This Row],[Auton Scored Low]]</f>
        <v>4</v>
      </c>
      <c r="K2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13</v>
      </c>
      <c r="L26">
        <v>0</v>
      </c>
      <c r="M26">
        <v>7</v>
      </c>
      <c r="N26">
        <v>0</v>
      </c>
      <c r="O26">
        <v>0</v>
      </c>
      <c r="P26">
        <v>0</v>
      </c>
      <c r="Q26">
        <v>0</v>
      </c>
      <c r="R26">
        <v>0</v>
      </c>
      <c r="S26">
        <v>0</v>
      </c>
      <c r="T26">
        <v>0</v>
      </c>
      <c r="U26">
        <v>0</v>
      </c>
      <c r="V26" s="8">
        <f>Table1[[#This Row],[Balls Scored From Trench]]+Table1[[#This Row],[Balls Scored from Mid]]+Table1[[#This Row],[Balls Scored From Alliance zone]]</f>
        <v>7</v>
      </c>
      <c r="W26" s="8">
        <f>Table1[[#This Row],[balls scored high]]+Table1[[#This Row],[balls scored low]]</f>
        <v>7</v>
      </c>
      <c r="X26" s="8">
        <f>Table1[[#This Row],[Control Panel Spun Time]]+Table1[[#This Row],[Control Panel Color Time]]</f>
        <v>0</v>
      </c>
      <c r="Y26" s="8">
        <f>Table1[[#This Row],[Control Panels Spun]]+Table1[[#This Row],[Control Panel Color]]</f>
        <v>0</v>
      </c>
      <c r="Z2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14</v>
      </c>
      <c r="AA26">
        <v>0</v>
      </c>
      <c r="AB26">
        <v>0</v>
      </c>
      <c r="AC26">
        <v>0</v>
      </c>
      <c r="AD26">
        <v>0</v>
      </c>
      <c r="AE26">
        <v>0</v>
      </c>
      <c r="AF26">
        <v>0</v>
      </c>
      <c r="AG26">
        <v>0</v>
      </c>
      <c r="AI26" t="s">
        <v>179</v>
      </c>
      <c r="AK26" s="17">
        <f>(Table1[[#This Row],[Climbed]]*weighting!$B$18)+(Table1[[#This Row],[Adjustable Climber]]*weighting!$B$19)+(Table1[[#This Row],[Lift other Robot]]*weighting!$B$20)+(Table1[[#This Row],[Balanced]]*weighting!$B$21)</f>
        <v>0</v>
      </c>
      <c r="AL26" s="8">
        <f>+Table1[[#This Row],[Endgame our score]]+Table1[[#This Row],[teleop our score]]+Table1[[#This Row],[auton our score]]</f>
        <v>27</v>
      </c>
      <c r="AM26" s="20">
        <f t="shared" si="0"/>
        <v>0</v>
      </c>
      <c r="AN26" s="20">
        <f t="shared" si="1"/>
        <v>0</v>
      </c>
      <c r="AO26" s="20">
        <f t="shared" si="2"/>
        <v>1</v>
      </c>
      <c r="AP26" s="20">
        <f>Table1[[#This Row],[balls scored]]+Table1[[#This Row],[auton balls scored]]</f>
        <v>11</v>
      </c>
      <c r="AQ26" s="20">
        <f>Table1[[#This Row],[balls scored high]]+Table1[[#This Row],[Auton Scored High]]</f>
        <v>11</v>
      </c>
      <c r="AR26" s="20">
        <f>Table1[[#This Row],[balls scored low]]+Table1[[#This Row],[Auton Scored Low]]</f>
        <v>0</v>
      </c>
      <c r="AS26" s="50">
        <f>IF(Table1[[#This Row],[Control Panel Spun Time]]&gt;0,1,0)</f>
        <v>0</v>
      </c>
      <c r="AT26" s="20">
        <f>IF(Table1[[#This Row],[Control Panel Color Time]]&gt;0,1,0)</f>
        <v>0</v>
      </c>
    </row>
    <row r="27" spans="1:46" s="2" customFormat="1" x14ac:dyDescent="0.25">
      <c r="A27">
        <v>166</v>
      </c>
      <c r="B27">
        <v>2</v>
      </c>
      <c r="C27">
        <v>4</v>
      </c>
      <c r="D27">
        <v>0</v>
      </c>
      <c r="E27">
        <v>0</v>
      </c>
      <c r="F27">
        <v>0</v>
      </c>
      <c r="G27">
        <v>0</v>
      </c>
      <c r="H27">
        <v>1</v>
      </c>
      <c r="I27" s="8">
        <f>+Table1[[#This Row],[Auton ball picked up in our trench]]+Table1[[#This Row],[Auton Balls Picked Up in Mid]]+Table1[[#This Row],[Auton Balls Picked Up In Their Trench]]</f>
        <v>0</v>
      </c>
      <c r="J27" s="8">
        <f>+Table1[[#This Row],[Auton Scored High]]+Table1[[#This Row],[Auton Scored Low]]</f>
        <v>4</v>
      </c>
      <c r="K2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13</v>
      </c>
      <c r="L27">
        <v>0</v>
      </c>
      <c r="M27">
        <v>0</v>
      </c>
      <c r="N27">
        <v>0</v>
      </c>
      <c r="O27">
        <v>0</v>
      </c>
      <c r="P27">
        <v>0</v>
      </c>
      <c r="Q27">
        <v>0</v>
      </c>
      <c r="R27">
        <v>0</v>
      </c>
      <c r="S27">
        <v>0</v>
      </c>
      <c r="T27">
        <v>0</v>
      </c>
      <c r="U27">
        <v>0</v>
      </c>
      <c r="V27" s="8">
        <f>Table1[[#This Row],[Balls Scored From Trench]]+Table1[[#This Row],[Balls Scored from Mid]]+Table1[[#This Row],[Balls Scored From Alliance zone]]</f>
        <v>0</v>
      </c>
      <c r="W27" s="8">
        <f>Table1[[#This Row],[balls scored high]]+Table1[[#This Row],[balls scored low]]</f>
        <v>0</v>
      </c>
      <c r="X27" s="8">
        <f>Table1[[#This Row],[Control Panel Spun Time]]+Table1[[#This Row],[Control Panel Color Time]]</f>
        <v>0</v>
      </c>
      <c r="Y27" s="8">
        <f>Table1[[#This Row],[Control Panels Spun]]+Table1[[#This Row],[Control Panel Color]]</f>
        <v>0</v>
      </c>
      <c r="Z2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7">
        <v>1</v>
      </c>
      <c r="AB27">
        <v>0</v>
      </c>
      <c r="AC27">
        <v>1</v>
      </c>
      <c r="AD27">
        <v>0</v>
      </c>
      <c r="AE27">
        <v>0</v>
      </c>
      <c r="AF27">
        <v>0</v>
      </c>
      <c r="AG27">
        <v>0</v>
      </c>
      <c r="AH27"/>
      <c r="AI27" t="s">
        <v>176</v>
      </c>
      <c r="AJ27" t="s">
        <v>305</v>
      </c>
      <c r="AK27" s="17">
        <f>(Table1[[#This Row],[Climbed]]*weighting!$B$18)+(Table1[[#This Row],[Adjustable Climber]]*weighting!$B$19)+(Table1[[#This Row],[Lift other Robot]]*weighting!$B$20)+(Table1[[#This Row],[Balanced]]*weighting!$B$21)</f>
        <v>40</v>
      </c>
      <c r="AL27" s="8">
        <f>+Table1[[#This Row],[Endgame our score]]+Table1[[#This Row],[teleop our score]]+Table1[[#This Row],[auton our score]]</f>
        <v>53</v>
      </c>
      <c r="AM27" s="20">
        <f t="shared" si="0"/>
        <v>0</v>
      </c>
      <c r="AN27" s="20">
        <f t="shared" si="1"/>
        <v>1</v>
      </c>
      <c r="AO27" s="20">
        <f t="shared" si="2"/>
        <v>0</v>
      </c>
      <c r="AP27" s="20">
        <f>Table1[[#This Row],[balls scored]]+Table1[[#This Row],[auton balls scored]]</f>
        <v>4</v>
      </c>
      <c r="AQ27" s="20">
        <f>Table1[[#This Row],[balls scored high]]+Table1[[#This Row],[Auton Scored High]]</f>
        <v>4</v>
      </c>
      <c r="AR27" s="20">
        <f>Table1[[#This Row],[balls scored low]]+Table1[[#This Row],[Auton Scored Low]]</f>
        <v>0</v>
      </c>
      <c r="AS27" s="50">
        <f>IF(Table1[[#This Row],[Control Panel Spun Time]]&gt;0,1,0)</f>
        <v>0</v>
      </c>
      <c r="AT27" s="20">
        <f>IF(Table1[[#This Row],[Control Panel Color Time]]&gt;0,1,0)</f>
        <v>0</v>
      </c>
    </row>
    <row r="28" spans="1:46" x14ac:dyDescent="0.25">
      <c r="A28">
        <v>173</v>
      </c>
      <c r="B28">
        <v>1</v>
      </c>
      <c r="C28">
        <v>1</v>
      </c>
      <c r="D28">
        <v>0</v>
      </c>
      <c r="E28">
        <v>0</v>
      </c>
      <c r="F28">
        <v>0</v>
      </c>
      <c r="G28">
        <v>0</v>
      </c>
      <c r="H28">
        <v>0</v>
      </c>
      <c r="I28" s="8">
        <f>+Table1[[#This Row],[Auton ball picked up in our trench]]+Table1[[#This Row],[Auton Balls Picked Up in Mid]]+Table1[[#This Row],[Auton Balls Picked Up In Their Trench]]</f>
        <v>0</v>
      </c>
      <c r="J28" s="8">
        <f>+Table1[[#This Row],[Auton Scored High]]+Table1[[#This Row],[Auton Scored Low]]</f>
        <v>1</v>
      </c>
      <c r="K2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3</v>
      </c>
      <c r="L28">
        <v>0</v>
      </c>
      <c r="M28">
        <v>0</v>
      </c>
      <c r="N28">
        <v>0</v>
      </c>
      <c r="O28">
        <v>0</v>
      </c>
      <c r="P28">
        <v>0</v>
      </c>
      <c r="Q28">
        <v>0</v>
      </c>
      <c r="R28">
        <v>0</v>
      </c>
      <c r="S28">
        <v>0</v>
      </c>
      <c r="T28">
        <v>0</v>
      </c>
      <c r="U28">
        <v>0</v>
      </c>
      <c r="V28" s="8">
        <f>Table1[[#This Row],[Balls Scored From Trench]]+Table1[[#This Row],[Balls Scored from Mid]]+Table1[[#This Row],[Balls Scored From Alliance zone]]</f>
        <v>0</v>
      </c>
      <c r="W28" s="8">
        <f>Table1[[#This Row],[balls scored high]]+Table1[[#This Row],[balls scored low]]</f>
        <v>0</v>
      </c>
      <c r="X28" s="8">
        <f>Table1[[#This Row],[Control Panel Spun Time]]+Table1[[#This Row],[Control Panel Color Time]]</f>
        <v>0</v>
      </c>
      <c r="Y28" s="8">
        <f>Table1[[#This Row],[Control Panels Spun]]+Table1[[#This Row],[Control Panel Color]]</f>
        <v>0</v>
      </c>
      <c r="Z2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8">
        <v>0</v>
      </c>
      <c r="AB28">
        <v>0</v>
      </c>
      <c r="AC28">
        <v>0</v>
      </c>
      <c r="AD28">
        <v>0</v>
      </c>
      <c r="AE28">
        <v>0</v>
      </c>
      <c r="AF28">
        <v>1</v>
      </c>
      <c r="AG28">
        <v>1</v>
      </c>
      <c r="AI28" t="s">
        <v>173</v>
      </c>
      <c r="AK28" s="17">
        <f>(Table1[[#This Row],[Climbed]]*weighting!$B$18)+(Table1[[#This Row],[Adjustable Climber]]*weighting!$B$19)+(Table1[[#This Row],[Lift other Robot]]*weighting!$B$20)+(Table1[[#This Row],[Balanced]]*weighting!$B$21)</f>
        <v>0</v>
      </c>
      <c r="AL28" s="8">
        <f>+Table1[[#This Row],[Endgame our score]]+Table1[[#This Row],[teleop our score]]+Table1[[#This Row],[auton our score]]</f>
        <v>3</v>
      </c>
      <c r="AM28" s="20">
        <f t="shared" si="0"/>
        <v>1</v>
      </c>
      <c r="AN28" s="20">
        <f t="shared" si="1"/>
        <v>0</v>
      </c>
      <c r="AO28" s="20">
        <f t="shared" si="2"/>
        <v>0</v>
      </c>
      <c r="AP28" s="20">
        <f>Table1[[#This Row],[balls scored]]+Table1[[#This Row],[auton balls scored]]</f>
        <v>1</v>
      </c>
      <c r="AQ28" s="20">
        <f>Table1[[#This Row],[balls scored high]]+Table1[[#This Row],[Auton Scored High]]</f>
        <v>1</v>
      </c>
      <c r="AR28" s="20">
        <f>Table1[[#This Row],[balls scored low]]+Table1[[#This Row],[Auton Scored Low]]</f>
        <v>0</v>
      </c>
      <c r="AS28" s="50">
        <f>IF(Table1[[#This Row],[Control Panel Spun Time]]&gt;0,1,0)</f>
        <v>0</v>
      </c>
      <c r="AT28" s="20">
        <f>IF(Table1[[#This Row],[Control Panel Color Time]]&gt;0,1,0)</f>
        <v>0</v>
      </c>
    </row>
    <row r="29" spans="1:46" s="2" customFormat="1" x14ac:dyDescent="0.25">
      <c r="A29">
        <v>173</v>
      </c>
      <c r="B29">
        <v>2</v>
      </c>
      <c r="C29">
        <v>3</v>
      </c>
      <c r="D29">
        <v>0</v>
      </c>
      <c r="E29">
        <v>0</v>
      </c>
      <c r="F29">
        <v>0</v>
      </c>
      <c r="G29">
        <v>0</v>
      </c>
      <c r="H29">
        <v>1</v>
      </c>
      <c r="I29" s="8">
        <f>+Table1[[#This Row],[Auton ball picked up in our trench]]+Table1[[#This Row],[Auton Balls Picked Up in Mid]]+Table1[[#This Row],[Auton Balls Picked Up In Their Trench]]</f>
        <v>0</v>
      </c>
      <c r="J29" s="8">
        <f>+Table1[[#This Row],[Auton Scored High]]+Table1[[#This Row],[Auton Scored Low]]</f>
        <v>3</v>
      </c>
      <c r="K2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29">
        <v>0</v>
      </c>
      <c r="M29">
        <v>1</v>
      </c>
      <c r="N29">
        <v>2</v>
      </c>
      <c r="O29">
        <v>0</v>
      </c>
      <c r="P29">
        <v>0</v>
      </c>
      <c r="Q29">
        <v>0</v>
      </c>
      <c r="R29">
        <v>0</v>
      </c>
      <c r="S29">
        <v>0</v>
      </c>
      <c r="T29">
        <v>0</v>
      </c>
      <c r="U29">
        <v>0</v>
      </c>
      <c r="V29" s="8">
        <f>Table1[[#This Row],[Balls Scored From Trench]]+Table1[[#This Row],[Balls Scored from Mid]]+Table1[[#This Row],[Balls Scored From Alliance zone]]</f>
        <v>3</v>
      </c>
      <c r="W29" s="8">
        <f>Table1[[#This Row],[balls scored high]]+Table1[[#This Row],[balls scored low]]</f>
        <v>3</v>
      </c>
      <c r="X29" s="8">
        <f>Table1[[#This Row],[Control Panel Spun Time]]+Table1[[#This Row],[Control Panel Color Time]]</f>
        <v>0</v>
      </c>
      <c r="Y29" s="8">
        <f>Table1[[#This Row],[Control Panels Spun]]+Table1[[#This Row],[Control Panel Color]]</f>
        <v>0</v>
      </c>
      <c r="Z2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4</v>
      </c>
      <c r="AA29">
        <v>0</v>
      </c>
      <c r="AB29">
        <v>0</v>
      </c>
      <c r="AC29">
        <v>0</v>
      </c>
      <c r="AD29">
        <v>0</v>
      </c>
      <c r="AE29">
        <v>0</v>
      </c>
      <c r="AF29">
        <v>0</v>
      </c>
      <c r="AG29">
        <v>0</v>
      </c>
      <c r="AH29"/>
      <c r="AI29" t="s">
        <v>184</v>
      </c>
      <c r="AJ29" t="s">
        <v>210</v>
      </c>
      <c r="AK29" s="17">
        <f>(Table1[[#This Row],[Climbed]]*weighting!$B$18)+(Table1[[#This Row],[Adjustable Climber]]*weighting!$B$19)+(Table1[[#This Row],[Lift other Robot]]*weighting!$B$20)+(Table1[[#This Row],[Balanced]]*weighting!$B$21)</f>
        <v>0</v>
      </c>
      <c r="AL29" s="8">
        <f>+Table1[[#This Row],[Endgame our score]]+Table1[[#This Row],[teleop our score]]+Table1[[#This Row],[auton our score]]</f>
        <v>14</v>
      </c>
      <c r="AM29" s="20">
        <f t="shared" si="0"/>
        <v>0</v>
      </c>
      <c r="AN29" s="20">
        <f t="shared" si="1"/>
        <v>1</v>
      </c>
      <c r="AO29" s="20">
        <f t="shared" si="2"/>
        <v>0</v>
      </c>
      <c r="AP29" s="20">
        <f>Table1[[#This Row],[balls scored]]+Table1[[#This Row],[auton balls scored]]</f>
        <v>6</v>
      </c>
      <c r="AQ29" s="20">
        <f>Table1[[#This Row],[balls scored high]]+Table1[[#This Row],[Auton Scored High]]</f>
        <v>6</v>
      </c>
      <c r="AR29" s="20">
        <f>Table1[[#This Row],[balls scored low]]+Table1[[#This Row],[Auton Scored Low]]</f>
        <v>0</v>
      </c>
      <c r="AS29" s="50">
        <f>IF(Table1[[#This Row],[Control Panel Spun Time]]&gt;0,1,0)</f>
        <v>0</v>
      </c>
      <c r="AT29" s="20">
        <f>IF(Table1[[#This Row],[Control Panel Color Time]]&gt;0,1,0)</f>
        <v>0</v>
      </c>
    </row>
    <row r="30" spans="1:46" x14ac:dyDescent="0.25">
      <c r="A30">
        <v>173</v>
      </c>
      <c r="B30">
        <v>3</v>
      </c>
      <c r="C30">
        <v>3</v>
      </c>
      <c r="D30">
        <v>0</v>
      </c>
      <c r="E30">
        <v>0</v>
      </c>
      <c r="F30">
        <v>0</v>
      </c>
      <c r="G30">
        <v>0</v>
      </c>
      <c r="H30">
        <v>0</v>
      </c>
      <c r="I30" s="8">
        <f>+Table1[[#This Row],[Auton ball picked up in our trench]]+Table1[[#This Row],[Auton Balls Picked Up in Mid]]+Table1[[#This Row],[Auton Balls Picked Up In Their Trench]]</f>
        <v>0</v>
      </c>
      <c r="J30" s="8">
        <f>+Table1[[#This Row],[Auton Scored High]]+Table1[[#This Row],[Auton Scored Low]]</f>
        <v>3</v>
      </c>
      <c r="K3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9</v>
      </c>
      <c r="L30">
        <v>0</v>
      </c>
      <c r="M30">
        <v>0</v>
      </c>
      <c r="N30">
        <v>3</v>
      </c>
      <c r="O30">
        <v>0</v>
      </c>
      <c r="P30">
        <v>0</v>
      </c>
      <c r="Q30">
        <v>0</v>
      </c>
      <c r="R30">
        <v>0</v>
      </c>
      <c r="S30">
        <v>0</v>
      </c>
      <c r="T30">
        <v>0</v>
      </c>
      <c r="U30">
        <v>0</v>
      </c>
      <c r="V30" s="8">
        <f>Table1[[#This Row],[Balls Scored From Trench]]+Table1[[#This Row],[Balls Scored from Mid]]+Table1[[#This Row],[Balls Scored From Alliance zone]]</f>
        <v>3</v>
      </c>
      <c r="W30" s="8">
        <f>Table1[[#This Row],[balls scored high]]+Table1[[#This Row],[balls scored low]]</f>
        <v>3</v>
      </c>
      <c r="X30" s="8">
        <f>Table1[[#This Row],[Control Panel Spun Time]]+Table1[[#This Row],[Control Panel Color Time]]</f>
        <v>0</v>
      </c>
      <c r="Y30" s="8">
        <f>Table1[[#This Row],[Control Panels Spun]]+Table1[[#This Row],[Control Panel Color]]</f>
        <v>0</v>
      </c>
      <c r="Z3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3</v>
      </c>
      <c r="AA30">
        <v>0</v>
      </c>
      <c r="AB30">
        <v>0</v>
      </c>
      <c r="AC30">
        <v>0</v>
      </c>
      <c r="AD30">
        <v>0</v>
      </c>
      <c r="AE30">
        <v>0</v>
      </c>
      <c r="AF30">
        <v>0</v>
      </c>
      <c r="AG30">
        <v>0</v>
      </c>
      <c r="AI30" t="s">
        <v>43</v>
      </c>
      <c r="AK30" s="17">
        <f>(Table1[[#This Row],[Climbed]]*weighting!$B$18)+(Table1[[#This Row],[Adjustable Climber]]*weighting!$B$19)+(Table1[[#This Row],[Lift other Robot]]*weighting!$B$20)+(Table1[[#This Row],[Balanced]]*weighting!$B$21)</f>
        <v>0</v>
      </c>
      <c r="AL30" s="8">
        <f>+Table1[[#This Row],[Endgame our score]]+Table1[[#This Row],[teleop our score]]+Table1[[#This Row],[auton our score]]</f>
        <v>12</v>
      </c>
      <c r="AM30" s="20">
        <f t="shared" si="0"/>
        <v>0</v>
      </c>
      <c r="AN30" s="20">
        <f t="shared" si="1"/>
        <v>0</v>
      </c>
      <c r="AO30" s="20">
        <f t="shared" si="2"/>
        <v>1</v>
      </c>
      <c r="AP30" s="20">
        <f>Table1[[#This Row],[balls scored]]+Table1[[#This Row],[auton balls scored]]</f>
        <v>6</v>
      </c>
      <c r="AQ30" s="20">
        <f>Table1[[#This Row],[balls scored high]]+Table1[[#This Row],[Auton Scored High]]</f>
        <v>6</v>
      </c>
      <c r="AR30" s="20">
        <f>Table1[[#This Row],[balls scored low]]+Table1[[#This Row],[Auton Scored Low]]</f>
        <v>0</v>
      </c>
      <c r="AS30" s="50">
        <f>IF(Table1[[#This Row],[Control Panel Spun Time]]&gt;0,1,0)</f>
        <v>0</v>
      </c>
      <c r="AT30" s="20">
        <f>IF(Table1[[#This Row],[Control Panel Color Time]]&gt;0,1,0)</f>
        <v>0</v>
      </c>
    </row>
    <row r="31" spans="1:46" s="2" customFormat="1" x14ac:dyDescent="0.25">
      <c r="A31">
        <v>173</v>
      </c>
      <c r="B31">
        <v>1</v>
      </c>
      <c r="C31">
        <v>3</v>
      </c>
      <c r="D31">
        <v>0</v>
      </c>
      <c r="E31">
        <v>0</v>
      </c>
      <c r="F31">
        <v>0</v>
      </c>
      <c r="G31">
        <v>0</v>
      </c>
      <c r="H31">
        <v>1</v>
      </c>
      <c r="I31" s="8">
        <f>+Table1[[#This Row],[Auton ball picked up in our trench]]+Table1[[#This Row],[Auton Balls Picked Up in Mid]]+Table1[[#This Row],[Auton Balls Picked Up In Their Trench]]</f>
        <v>0</v>
      </c>
      <c r="J31" s="8">
        <f>+Table1[[#This Row],[Auton Scored High]]+Table1[[#This Row],[Auton Scored Low]]</f>
        <v>3</v>
      </c>
      <c r="K3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31">
        <v>0</v>
      </c>
      <c r="M31">
        <v>0</v>
      </c>
      <c r="N31">
        <v>0</v>
      </c>
      <c r="O31">
        <v>0</v>
      </c>
      <c r="P31">
        <v>0</v>
      </c>
      <c r="Q31">
        <v>0</v>
      </c>
      <c r="R31">
        <v>0</v>
      </c>
      <c r="S31">
        <v>0</v>
      </c>
      <c r="T31">
        <v>0</v>
      </c>
      <c r="U31">
        <v>0</v>
      </c>
      <c r="V31" s="8">
        <f>Table1[[#This Row],[Balls Scored From Trench]]+Table1[[#This Row],[Balls Scored from Mid]]+Table1[[#This Row],[Balls Scored From Alliance zone]]</f>
        <v>0</v>
      </c>
      <c r="W31" s="8">
        <f>Table1[[#This Row],[balls scored high]]+Table1[[#This Row],[balls scored low]]</f>
        <v>0</v>
      </c>
      <c r="X31" s="8">
        <f>Table1[[#This Row],[Control Panel Spun Time]]+Table1[[#This Row],[Control Panel Color Time]]</f>
        <v>0</v>
      </c>
      <c r="Y31" s="8">
        <f>Table1[[#This Row],[Control Panels Spun]]+Table1[[#This Row],[Control Panel Color]]</f>
        <v>0</v>
      </c>
      <c r="Z3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1">
        <v>0</v>
      </c>
      <c r="AB31">
        <v>0</v>
      </c>
      <c r="AC31">
        <v>0</v>
      </c>
      <c r="AD31">
        <v>0</v>
      </c>
      <c r="AE31">
        <v>0</v>
      </c>
      <c r="AF31">
        <v>0</v>
      </c>
      <c r="AG31">
        <v>0</v>
      </c>
      <c r="AH31"/>
      <c r="AI31" t="s">
        <v>176</v>
      </c>
      <c r="AJ31"/>
      <c r="AK31" s="17">
        <f>(Table1[[#This Row],[Climbed]]*weighting!$B$18)+(Table1[[#This Row],[Adjustable Climber]]*weighting!$B$19)+(Table1[[#This Row],[Lift other Robot]]*weighting!$B$20)+(Table1[[#This Row],[Balanced]]*weighting!$B$21)</f>
        <v>0</v>
      </c>
      <c r="AL31" s="8">
        <f>+Table1[[#This Row],[Endgame our score]]+Table1[[#This Row],[teleop our score]]+Table1[[#This Row],[auton our score]]</f>
        <v>10</v>
      </c>
      <c r="AM31" s="20">
        <f t="shared" si="0"/>
        <v>1</v>
      </c>
      <c r="AN31" s="20">
        <f t="shared" si="1"/>
        <v>0</v>
      </c>
      <c r="AO31" s="20">
        <f t="shared" si="2"/>
        <v>0</v>
      </c>
      <c r="AP31" s="20">
        <f>Table1[[#This Row],[balls scored]]+Table1[[#This Row],[auton balls scored]]</f>
        <v>3</v>
      </c>
      <c r="AQ31" s="20">
        <f>Table1[[#This Row],[balls scored high]]+Table1[[#This Row],[Auton Scored High]]</f>
        <v>3</v>
      </c>
      <c r="AR31" s="20">
        <f>Table1[[#This Row],[balls scored low]]+Table1[[#This Row],[Auton Scored Low]]</f>
        <v>0</v>
      </c>
      <c r="AS31" s="50">
        <f>IF(Table1[[#This Row],[Control Panel Spun Time]]&gt;0,1,0)</f>
        <v>0</v>
      </c>
      <c r="AT31" s="20">
        <f>IF(Table1[[#This Row],[Control Panel Color Time]]&gt;0,1,0)</f>
        <v>0</v>
      </c>
    </row>
    <row r="32" spans="1:46" x14ac:dyDescent="0.25">
      <c r="A32">
        <v>173</v>
      </c>
      <c r="B32">
        <v>2</v>
      </c>
      <c r="C32">
        <v>2</v>
      </c>
      <c r="D32">
        <v>0</v>
      </c>
      <c r="E32">
        <v>0</v>
      </c>
      <c r="F32">
        <v>0</v>
      </c>
      <c r="G32">
        <v>0</v>
      </c>
      <c r="H32">
        <v>1</v>
      </c>
      <c r="I32" s="8">
        <f>+Table1[[#This Row],[Auton ball picked up in our trench]]+Table1[[#This Row],[Auton Balls Picked Up in Mid]]+Table1[[#This Row],[Auton Balls Picked Up In Their Trench]]</f>
        <v>0</v>
      </c>
      <c r="J32" s="8">
        <f>+Table1[[#This Row],[Auton Scored High]]+Table1[[#This Row],[Auton Scored Low]]</f>
        <v>2</v>
      </c>
      <c r="K3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7</v>
      </c>
      <c r="L32">
        <v>0</v>
      </c>
      <c r="M32">
        <v>0</v>
      </c>
      <c r="N32">
        <v>0</v>
      </c>
      <c r="O32">
        <v>0</v>
      </c>
      <c r="P32">
        <v>0</v>
      </c>
      <c r="Q32">
        <v>0</v>
      </c>
      <c r="R32">
        <v>0</v>
      </c>
      <c r="S32">
        <v>0</v>
      </c>
      <c r="T32">
        <v>0</v>
      </c>
      <c r="U32">
        <v>0</v>
      </c>
      <c r="V32" s="8">
        <f>Table1[[#This Row],[Balls Scored From Trench]]+Table1[[#This Row],[Balls Scored from Mid]]+Table1[[#This Row],[Balls Scored From Alliance zone]]</f>
        <v>0</v>
      </c>
      <c r="W32" s="8">
        <f>Table1[[#This Row],[balls scored high]]+Table1[[#This Row],[balls scored low]]</f>
        <v>0</v>
      </c>
      <c r="X32" s="8">
        <f>Table1[[#This Row],[Control Panel Spun Time]]+Table1[[#This Row],[Control Panel Color Time]]</f>
        <v>0</v>
      </c>
      <c r="Y32" s="8">
        <f>Table1[[#This Row],[Control Panels Spun]]+Table1[[#This Row],[Control Panel Color]]</f>
        <v>0</v>
      </c>
      <c r="Z3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2">
        <v>0</v>
      </c>
      <c r="AB32">
        <v>0</v>
      </c>
      <c r="AC32">
        <v>0</v>
      </c>
      <c r="AD32">
        <v>0</v>
      </c>
      <c r="AE32">
        <v>0</v>
      </c>
      <c r="AF32">
        <v>0</v>
      </c>
      <c r="AG32">
        <v>0</v>
      </c>
      <c r="AI32" t="s">
        <v>176</v>
      </c>
      <c r="AK32" s="17">
        <f>(Table1[[#This Row],[Climbed]]*weighting!$B$18)+(Table1[[#This Row],[Adjustable Climber]]*weighting!$B$19)+(Table1[[#This Row],[Lift other Robot]]*weighting!$B$20)+(Table1[[#This Row],[Balanced]]*weighting!$B$21)</f>
        <v>0</v>
      </c>
      <c r="AL32" s="8">
        <f>+Table1[[#This Row],[Endgame our score]]+Table1[[#This Row],[teleop our score]]+Table1[[#This Row],[auton our score]]</f>
        <v>7</v>
      </c>
      <c r="AM32" s="20">
        <f t="shared" si="0"/>
        <v>0</v>
      </c>
      <c r="AN32" s="20">
        <f t="shared" si="1"/>
        <v>1</v>
      </c>
      <c r="AO32" s="20">
        <f t="shared" si="2"/>
        <v>0</v>
      </c>
      <c r="AP32" s="20">
        <f>Table1[[#This Row],[balls scored]]+Table1[[#This Row],[auton balls scored]]</f>
        <v>2</v>
      </c>
      <c r="AQ32" s="20">
        <f>Table1[[#This Row],[balls scored high]]+Table1[[#This Row],[Auton Scored High]]</f>
        <v>2</v>
      </c>
      <c r="AR32" s="20">
        <f>Table1[[#This Row],[balls scored low]]+Table1[[#This Row],[Auton Scored Low]]</f>
        <v>0</v>
      </c>
      <c r="AS32" s="50">
        <f>IF(Table1[[#This Row],[Control Panel Spun Time]]&gt;0,1,0)</f>
        <v>0</v>
      </c>
      <c r="AT32" s="20">
        <f>IF(Table1[[#This Row],[Control Panel Color Time]]&gt;0,1,0)</f>
        <v>0</v>
      </c>
    </row>
    <row r="33" spans="1:46" s="2" customFormat="1" x14ac:dyDescent="0.25">
      <c r="A33">
        <v>173</v>
      </c>
      <c r="B33">
        <v>2</v>
      </c>
      <c r="C33">
        <v>3</v>
      </c>
      <c r="D33">
        <v>0</v>
      </c>
      <c r="E33">
        <v>0</v>
      </c>
      <c r="F33">
        <v>0</v>
      </c>
      <c r="G33">
        <v>0</v>
      </c>
      <c r="H33">
        <v>1</v>
      </c>
      <c r="I33" s="8">
        <f>+Table1[[#This Row],[Auton ball picked up in our trench]]+Table1[[#This Row],[Auton Balls Picked Up in Mid]]+Table1[[#This Row],[Auton Balls Picked Up In Their Trench]]</f>
        <v>0</v>
      </c>
      <c r="J33" s="8">
        <f>+Table1[[#This Row],[Auton Scored High]]+Table1[[#This Row],[Auton Scored Low]]</f>
        <v>3</v>
      </c>
      <c r="K3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33">
        <v>0</v>
      </c>
      <c r="M33">
        <v>0</v>
      </c>
      <c r="N33">
        <v>0</v>
      </c>
      <c r="O33">
        <v>0</v>
      </c>
      <c r="P33">
        <v>0</v>
      </c>
      <c r="Q33">
        <v>0</v>
      </c>
      <c r="R33">
        <v>0</v>
      </c>
      <c r="S33">
        <v>0</v>
      </c>
      <c r="T33">
        <v>0</v>
      </c>
      <c r="U33">
        <v>0</v>
      </c>
      <c r="V33" s="8">
        <f>Table1[[#This Row],[Balls Scored From Trench]]+Table1[[#This Row],[Balls Scored from Mid]]+Table1[[#This Row],[Balls Scored From Alliance zone]]</f>
        <v>0</v>
      </c>
      <c r="W33" s="8">
        <f>Table1[[#This Row],[balls scored high]]+Table1[[#This Row],[balls scored low]]</f>
        <v>0</v>
      </c>
      <c r="X33" s="8">
        <f>Table1[[#This Row],[Control Panel Spun Time]]+Table1[[#This Row],[Control Panel Color Time]]</f>
        <v>0</v>
      </c>
      <c r="Y33" s="8">
        <f>Table1[[#This Row],[Control Panels Spun]]+Table1[[#This Row],[Control Panel Color]]</f>
        <v>0</v>
      </c>
      <c r="Z3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3">
        <v>0</v>
      </c>
      <c r="AB33">
        <v>0</v>
      </c>
      <c r="AC33">
        <v>0</v>
      </c>
      <c r="AD33">
        <v>0</v>
      </c>
      <c r="AE33">
        <v>0</v>
      </c>
      <c r="AF33">
        <v>0</v>
      </c>
      <c r="AG33">
        <v>0</v>
      </c>
      <c r="AH33"/>
      <c r="AI33" t="s">
        <v>176</v>
      </c>
      <c r="AJ33"/>
      <c r="AK33" s="17">
        <f>(Table1[[#This Row],[Climbed]]*weighting!$B$18)+(Table1[[#This Row],[Adjustable Climber]]*weighting!$B$19)+(Table1[[#This Row],[Lift other Robot]]*weighting!$B$20)+(Table1[[#This Row],[Balanced]]*weighting!$B$21)</f>
        <v>0</v>
      </c>
      <c r="AL33" s="8">
        <f>+Table1[[#This Row],[Endgame our score]]+Table1[[#This Row],[teleop our score]]+Table1[[#This Row],[auton our score]]</f>
        <v>10</v>
      </c>
      <c r="AM33" s="20">
        <f t="shared" si="0"/>
        <v>0</v>
      </c>
      <c r="AN33" s="20">
        <f t="shared" si="1"/>
        <v>1</v>
      </c>
      <c r="AO33" s="20">
        <f t="shared" si="2"/>
        <v>0</v>
      </c>
      <c r="AP33" s="20">
        <f>Table1[[#This Row],[balls scored]]+Table1[[#This Row],[auton balls scored]]</f>
        <v>3</v>
      </c>
      <c r="AQ33" s="20">
        <f>Table1[[#This Row],[balls scored high]]+Table1[[#This Row],[Auton Scored High]]</f>
        <v>3</v>
      </c>
      <c r="AR33" s="20">
        <f>Table1[[#This Row],[balls scored low]]+Table1[[#This Row],[Auton Scored Low]]</f>
        <v>0</v>
      </c>
      <c r="AS33" s="50">
        <f>IF(Table1[[#This Row],[Control Panel Spun Time]]&gt;0,1,0)</f>
        <v>0</v>
      </c>
      <c r="AT33" s="20">
        <f>IF(Table1[[#This Row],[Control Panel Color Time]]&gt;0,1,0)</f>
        <v>0</v>
      </c>
    </row>
    <row r="34" spans="1:46" x14ac:dyDescent="0.25">
      <c r="A34">
        <v>181</v>
      </c>
      <c r="B34">
        <v>1</v>
      </c>
      <c r="C34">
        <v>0</v>
      </c>
      <c r="D34">
        <v>0</v>
      </c>
      <c r="E34">
        <v>0</v>
      </c>
      <c r="F34">
        <v>0</v>
      </c>
      <c r="G34">
        <v>0</v>
      </c>
      <c r="H34">
        <v>1</v>
      </c>
      <c r="I34" s="8">
        <f>+Table1[[#This Row],[Auton ball picked up in our trench]]+Table1[[#This Row],[Auton Balls Picked Up in Mid]]+Table1[[#This Row],[Auton Balls Picked Up In Their Trench]]</f>
        <v>0</v>
      </c>
      <c r="J34" s="8">
        <f>+Table1[[#This Row],[Auton Scored High]]+Table1[[#This Row],[Auton Scored Low]]</f>
        <v>0</v>
      </c>
      <c r="K3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34">
        <v>0</v>
      </c>
      <c r="M34">
        <v>0</v>
      </c>
      <c r="N34">
        <v>0</v>
      </c>
      <c r="O34">
        <v>0</v>
      </c>
      <c r="P34">
        <v>0</v>
      </c>
      <c r="Q34">
        <v>0</v>
      </c>
      <c r="R34">
        <v>0</v>
      </c>
      <c r="S34">
        <v>0</v>
      </c>
      <c r="T34">
        <v>0</v>
      </c>
      <c r="U34">
        <v>1</v>
      </c>
      <c r="V34" s="8">
        <f>Table1[[#This Row],[Balls Scored From Trench]]+Table1[[#This Row],[Balls Scored from Mid]]+Table1[[#This Row],[Balls Scored From Alliance zone]]</f>
        <v>0</v>
      </c>
      <c r="W34" s="8">
        <f>Table1[[#This Row],[balls scored high]]+Table1[[#This Row],[balls scored low]]</f>
        <v>0</v>
      </c>
      <c r="X34" s="8">
        <f>Table1[[#This Row],[Control Panel Spun Time]]+Table1[[#This Row],[Control Panel Color Time]]</f>
        <v>0</v>
      </c>
      <c r="Y34" s="8">
        <f>Table1[[#This Row],[Control Panels Spun]]+Table1[[#This Row],[Control Panel Color]]</f>
        <v>0</v>
      </c>
      <c r="Z3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2</v>
      </c>
      <c r="AA34">
        <v>0</v>
      </c>
      <c r="AB34">
        <v>0</v>
      </c>
      <c r="AC34">
        <v>0</v>
      </c>
      <c r="AD34">
        <v>0</v>
      </c>
      <c r="AE34">
        <v>0</v>
      </c>
      <c r="AF34">
        <v>0</v>
      </c>
      <c r="AG34">
        <v>0</v>
      </c>
      <c r="AI34" t="s">
        <v>176</v>
      </c>
      <c r="AJ34" t="s">
        <v>177</v>
      </c>
      <c r="AK34" s="17">
        <f>(Table1[[#This Row],[Climbed]]*weighting!$B$18)+(Table1[[#This Row],[Adjustable Climber]]*weighting!$B$19)+(Table1[[#This Row],[Lift other Robot]]*weighting!$B$20)+(Table1[[#This Row],[Balanced]]*weighting!$B$21)</f>
        <v>0</v>
      </c>
      <c r="AL34" s="8">
        <f>+Table1[[#This Row],[Endgame our score]]+Table1[[#This Row],[teleop our score]]+Table1[[#This Row],[auton our score]]</f>
        <v>3</v>
      </c>
      <c r="AM34" s="20">
        <f t="shared" si="0"/>
        <v>1</v>
      </c>
      <c r="AN34" s="20">
        <f t="shared" si="1"/>
        <v>0</v>
      </c>
      <c r="AO34" s="20">
        <f t="shared" si="2"/>
        <v>0</v>
      </c>
      <c r="AP34" s="20">
        <f>Table1[[#This Row],[balls scored]]+Table1[[#This Row],[auton balls scored]]</f>
        <v>0</v>
      </c>
      <c r="AQ34" s="20">
        <f>Table1[[#This Row],[balls scored high]]+Table1[[#This Row],[Auton Scored High]]</f>
        <v>0</v>
      </c>
      <c r="AR34" s="20">
        <f>Table1[[#This Row],[balls scored low]]+Table1[[#This Row],[Auton Scored Low]]</f>
        <v>0</v>
      </c>
      <c r="AS34" s="50">
        <f>IF(Table1[[#This Row],[Control Panel Spun Time]]&gt;0,1,0)</f>
        <v>0</v>
      </c>
      <c r="AT34" s="20">
        <f>IF(Table1[[#This Row],[Control Panel Color Time]]&gt;0,1,0)</f>
        <v>0</v>
      </c>
    </row>
    <row r="35" spans="1:46" s="2" customFormat="1" x14ac:dyDescent="0.25">
      <c r="A35">
        <v>181</v>
      </c>
      <c r="B35">
        <v>1</v>
      </c>
      <c r="C35">
        <v>0</v>
      </c>
      <c r="D35">
        <v>0</v>
      </c>
      <c r="E35">
        <v>0</v>
      </c>
      <c r="F35">
        <v>0</v>
      </c>
      <c r="G35">
        <v>0</v>
      </c>
      <c r="H35">
        <v>1</v>
      </c>
      <c r="I35" s="8">
        <f>+Table1[[#This Row],[Auton ball picked up in our trench]]+Table1[[#This Row],[Auton Balls Picked Up in Mid]]+Table1[[#This Row],[Auton Balls Picked Up In Their Trench]]</f>
        <v>0</v>
      </c>
      <c r="J35" s="8">
        <f>+Table1[[#This Row],[Auton Scored High]]+Table1[[#This Row],[Auton Scored Low]]</f>
        <v>0</v>
      </c>
      <c r="K3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35">
        <v>0</v>
      </c>
      <c r="M35">
        <v>0</v>
      </c>
      <c r="N35">
        <v>1</v>
      </c>
      <c r="O35">
        <v>0</v>
      </c>
      <c r="P35">
        <v>0</v>
      </c>
      <c r="Q35">
        <v>0</v>
      </c>
      <c r="R35">
        <v>0</v>
      </c>
      <c r="S35">
        <v>0</v>
      </c>
      <c r="T35">
        <v>0</v>
      </c>
      <c r="U35">
        <v>5</v>
      </c>
      <c r="V35" s="8">
        <f>Table1[[#This Row],[Balls Scored From Trench]]+Table1[[#This Row],[Balls Scored from Mid]]+Table1[[#This Row],[Balls Scored From Alliance zone]]</f>
        <v>1</v>
      </c>
      <c r="W35" s="8">
        <f>Table1[[#This Row],[balls scored high]]+Table1[[#This Row],[balls scored low]]</f>
        <v>1</v>
      </c>
      <c r="X35" s="8">
        <f>Table1[[#This Row],[Control Panel Spun Time]]+Table1[[#This Row],[Control Panel Color Time]]</f>
        <v>0</v>
      </c>
      <c r="Y35" s="8">
        <f>Table1[[#This Row],[Control Panels Spun]]+Table1[[#This Row],[Control Panel Color]]</f>
        <v>0</v>
      </c>
      <c r="Z3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11</v>
      </c>
      <c r="AA35">
        <v>0</v>
      </c>
      <c r="AB35">
        <v>0</v>
      </c>
      <c r="AC35">
        <v>0</v>
      </c>
      <c r="AD35">
        <v>0</v>
      </c>
      <c r="AE35">
        <v>0</v>
      </c>
      <c r="AF35">
        <v>0</v>
      </c>
      <c r="AG35">
        <v>0</v>
      </c>
      <c r="AH35"/>
      <c r="AI35" t="s">
        <v>43</v>
      </c>
      <c r="AJ35"/>
      <c r="AK35" s="17">
        <f>(Table1[[#This Row],[Climbed]]*weighting!$B$18)+(Table1[[#This Row],[Adjustable Climber]]*weighting!$B$19)+(Table1[[#This Row],[Lift other Robot]]*weighting!$B$20)+(Table1[[#This Row],[Balanced]]*weighting!$B$21)</f>
        <v>0</v>
      </c>
      <c r="AL35" s="8">
        <f>+Table1[[#This Row],[Endgame our score]]+Table1[[#This Row],[teleop our score]]+Table1[[#This Row],[auton our score]]</f>
        <v>12</v>
      </c>
      <c r="AM35" s="20">
        <f t="shared" si="0"/>
        <v>1</v>
      </c>
      <c r="AN35" s="20">
        <f t="shared" si="1"/>
        <v>0</v>
      </c>
      <c r="AO35" s="20">
        <f t="shared" si="2"/>
        <v>0</v>
      </c>
      <c r="AP35" s="20">
        <f>Table1[[#This Row],[balls scored]]+Table1[[#This Row],[auton balls scored]]</f>
        <v>1</v>
      </c>
      <c r="AQ35" s="20">
        <f>Table1[[#This Row],[balls scored high]]+Table1[[#This Row],[Auton Scored High]]</f>
        <v>1</v>
      </c>
      <c r="AR35" s="20">
        <f>Table1[[#This Row],[balls scored low]]+Table1[[#This Row],[Auton Scored Low]]</f>
        <v>0</v>
      </c>
      <c r="AS35" s="50">
        <f>IF(Table1[[#This Row],[Control Panel Spun Time]]&gt;0,1,0)</f>
        <v>0</v>
      </c>
      <c r="AT35" s="20">
        <f>IF(Table1[[#This Row],[Control Panel Color Time]]&gt;0,1,0)</f>
        <v>0</v>
      </c>
    </row>
    <row r="36" spans="1:46" x14ac:dyDescent="0.25">
      <c r="A36">
        <v>181</v>
      </c>
      <c r="B36">
        <v>1</v>
      </c>
      <c r="C36">
        <v>0</v>
      </c>
      <c r="D36">
        <v>0</v>
      </c>
      <c r="E36">
        <v>0</v>
      </c>
      <c r="F36">
        <v>0</v>
      </c>
      <c r="G36">
        <v>0</v>
      </c>
      <c r="H36">
        <v>1</v>
      </c>
      <c r="I36" s="8">
        <f>+Table1[[#This Row],[Auton ball picked up in our trench]]+Table1[[#This Row],[Auton Balls Picked Up in Mid]]+Table1[[#This Row],[Auton Balls Picked Up In Their Trench]]</f>
        <v>0</v>
      </c>
      <c r="J36" s="8">
        <f>+Table1[[#This Row],[Auton Scored High]]+Table1[[#This Row],[Auton Scored Low]]</f>
        <v>0</v>
      </c>
      <c r="K3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36">
        <v>0</v>
      </c>
      <c r="M36">
        <v>0</v>
      </c>
      <c r="N36">
        <v>0</v>
      </c>
      <c r="O36">
        <v>0</v>
      </c>
      <c r="P36">
        <v>0</v>
      </c>
      <c r="Q36">
        <v>0</v>
      </c>
      <c r="R36">
        <v>0</v>
      </c>
      <c r="S36">
        <v>0</v>
      </c>
      <c r="T36">
        <v>0</v>
      </c>
      <c r="U36">
        <v>0</v>
      </c>
      <c r="V36" s="8">
        <f>Table1[[#This Row],[Balls Scored From Trench]]+Table1[[#This Row],[Balls Scored from Mid]]+Table1[[#This Row],[Balls Scored From Alliance zone]]</f>
        <v>0</v>
      </c>
      <c r="W36" s="8">
        <f>Table1[[#This Row],[balls scored high]]+Table1[[#This Row],[balls scored low]]</f>
        <v>0</v>
      </c>
      <c r="X36" s="8">
        <f>Table1[[#This Row],[Control Panel Spun Time]]+Table1[[#This Row],[Control Panel Color Time]]</f>
        <v>0</v>
      </c>
      <c r="Y36" s="8">
        <f>Table1[[#This Row],[Control Panels Spun]]+Table1[[#This Row],[Control Panel Color]]</f>
        <v>0</v>
      </c>
      <c r="Z3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6">
        <v>0</v>
      </c>
      <c r="AB36">
        <v>0</v>
      </c>
      <c r="AC36">
        <v>0</v>
      </c>
      <c r="AD36">
        <v>0</v>
      </c>
      <c r="AE36">
        <v>0</v>
      </c>
      <c r="AF36">
        <v>0</v>
      </c>
      <c r="AG36">
        <v>0</v>
      </c>
      <c r="AI36" t="s">
        <v>176</v>
      </c>
      <c r="AJ36" t="s">
        <v>239</v>
      </c>
      <c r="AK36" s="17">
        <f>(Table1[[#This Row],[Climbed]]*weighting!$B$18)+(Table1[[#This Row],[Adjustable Climber]]*weighting!$B$19)+(Table1[[#This Row],[Lift other Robot]]*weighting!$B$20)+(Table1[[#This Row],[Balanced]]*weighting!$B$21)</f>
        <v>0</v>
      </c>
      <c r="AL36" s="8">
        <f>+Table1[[#This Row],[Endgame our score]]+Table1[[#This Row],[teleop our score]]+Table1[[#This Row],[auton our score]]</f>
        <v>1</v>
      </c>
      <c r="AM36" s="20">
        <f t="shared" si="0"/>
        <v>1</v>
      </c>
      <c r="AN36" s="20">
        <f t="shared" si="1"/>
        <v>0</v>
      </c>
      <c r="AO36" s="20">
        <f t="shared" si="2"/>
        <v>0</v>
      </c>
      <c r="AP36" s="20">
        <f>Table1[[#This Row],[balls scored]]+Table1[[#This Row],[auton balls scored]]</f>
        <v>0</v>
      </c>
      <c r="AQ36" s="20">
        <f>Table1[[#This Row],[balls scored high]]+Table1[[#This Row],[Auton Scored High]]</f>
        <v>0</v>
      </c>
      <c r="AR36" s="20">
        <f>Table1[[#This Row],[balls scored low]]+Table1[[#This Row],[Auton Scored Low]]</f>
        <v>0</v>
      </c>
      <c r="AS36" s="50">
        <f>IF(Table1[[#This Row],[Control Panel Spun Time]]&gt;0,1,0)</f>
        <v>0</v>
      </c>
      <c r="AT36" s="20">
        <f>IF(Table1[[#This Row],[Control Panel Color Time]]&gt;0,1,0)</f>
        <v>0</v>
      </c>
    </row>
    <row r="37" spans="1:46" s="2" customFormat="1" x14ac:dyDescent="0.25">
      <c r="A37">
        <v>181</v>
      </c>
      <c r="B37">
        <v>1</v>
      </c>
      <c r="C37">
        <v>0</v>
      </c>
      <c r="D37">
        <v>0</v>
      </c>
      <c r="E37">
        <v>0</v>
      </c>
      <c r="F37">
        <v>0</v>
      </c>
      <c r="G37">
        <v>0</v>
      </c>
      <c r="H37">
        <v>1</v>
      </c>
      <c r="I37" s="8">
        <f>+Table1[[#This Row],[Auton ball picked up in our trench]]+Table1[[#This Row],[Auton Balls Picked Up in Mid]]+Table1[[#This Row],[Auton Balls Picked Up In Their Trench]]</f>
        <v>0</v>
      </c>
      <c r="J37" s="8">
        <f>+Table1[[#This Row],[Auton Scored High]]+Table1[[#This Row],[Auton Scored Low]]</f>
        <v>0</v>
      </c>
      <c r="K3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37">
        <v>0</v>
      </c>
      <c r="M37">
        <v>0</v>
      </c>
      <c r="N37">
        <v>5</v>
      </c>
      <c r="O37">
        <v>0</v>
      </c>
      <c r="P37">
        <v>0</v>
      </c>
      <c r="Q37">
        <v>0</v>
      </c>
      <c r="R37">
        <v>0</v>
      </c>
      <c r="S37">
        <v>0</v>
      </c>
      <c r="T37">
        <v>0</v>
      </c>
      <c r="U37">
        <v>0</v>
      </c>
      <c r="V37" s="8">
        <f>Table1[[#This Row],[Balls Scored From Trench]]+Table1[[#This Row],[Balls Scored from Mid]]+Table1[[#This Row],[Balls Scored From Alliance zone]]</f>
        <v>5</v>
      </c>
      <c r="W37" s="8">
        <f>Table1[[#This Row],[balls scored high]]+Table1[[#This Row],[balls scored low]]</f>
        <v>5</v>
      </c>
      <c r="X37" s="8">
        <f>Table1[[#This Row],[Control Panel Spun Time]]+Table1[[#This Row],[Control Panel Color Time]]</f>
        <v>0</v>
      </c>
      <c r="Y37" s="8">
        <f>Table1[[#This Row],[Control Panels Spun]]+Table1[[#This Row],[Control Panel Color]]</f>
        <v>0</v>
      </c>
      <c r="Z3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5</v>
      </c>
      <c r="AA37">
        <v>0</v>
      </c>
      <c r="AB37">
        <v>0</v>
      </c>
      <c r="AC37">
        <v>0</v>
      </c>
      <c r="AD37">
        <v>0</v>
      </c>
      <c r="AE37">
        <v>0</v>
      </c>
      <c r="AF37">
        <v>0</v>
      </c>
      <c r="AG37">
        <v>0</v>
      </c>
      <c r="AH37"/>
      <c r="AI37" t="s">
        <v>43</v>
      </c>
      <c r="AJ37"/>
      <c r="AK37" s="17">
        <f>(Table1[[#This Row],[Climbed]]*weighting!$B$18)+(Table1[[#This Row],[Adjustable Climber]]*weighting!$B$19)+(Table1[[#This Row],[Lift other Robot]]*weighting!$B$20)+(Table1[[#This Row],[Balanced]]*weighting!$B$21)</f>
        <v>0</v>
      </c>
      <c r="AL37" s="8">
        <f>+Table1[[#This Row],[Endgame our score]]+Table1[[#This Row],[teleop our score]]+Table1[[#This Row],[auton our score]]</f>
        <v>6</v>
      </c>
      <c r="AM37" s="20">
        <f t="shared" si="0"/>
        <v>1</v>
      </c>
      <c r="AN37" s="20">
        <f t="shared" si="1"/>
        <v>0</v>
      </c>
      <c r="AO37" s="20">
        <f t="shared" si="2"/>
        <v>0</v>
      </c>
      <c r="AP37" s="20">
        <f>Table1[[#This Row],[balls scored]]+Table1[[#This Row],[auton balls scored]]</f>
        <v>5</v>
      </c>
      <c r="AQ37" s="20">
        <f>Table1[[#This Row],[balls scored high]]+Table1[[#This Row],[Auton Scored High]]</f>
        <v>5</v>
      </c>
      <c r="AR37" s="20">
        <f>Table1[[#This Row],[balls scored low]]+Table1[[#This Row],[Auton Scored Low]]</f>
        <v>0</v>
      </c>
      <c r="AS37" s="50">
        <f>IF(Table1[[#This Row],[Control Panel Spun Time]]&gt;0,1,0)</f>
        <v>0</v>
      </c>
      <c r="AT37" s="20">
        <f>IF(Table1[[#This Row],[Control Panel Color Time]]&gt;0,1,0)</f>
        <v>0</v>
      </c>
    </row>
    <row r="38" spans="1:46" ht="20.25" customHeight="1" x14ac:dyDescent="0.25">
      <c r="A38">
        <v>181</v>
      </c>
      <c r="B38">
        <v>2</v>
      </c>
      <c r="C38">
        <v>0</v>
      </c>
      <c r="D38">
        <v>0</v>
      </c>
      <c r="E38">
        <v>0</v>
      </c>
      <c r="F38">
        <v>0</v>
      </c>
      <c r="G38">
        <v>0</v>
      </c>
      <c r="H38">
        <v>1</v>
      </c>
      <c r="I38" s="8">
        <f>+Table1[[#This Row],[Auton ball picked up in our trench]]+Table1[[#This Row],[Auton Balls Picked Up in Mid]]+Table1[[#This Row],[Auton Balls Picked Up In Their Trench]]</f>
        <v>0</v>
      </c>
      <c r="J38" s="8">
        <f>+Table1[[#This Row],[Auton Scored High]]+Table1[[#This Row],[Auton Scored Low]]</f>
        <v>0</v>
      </c>
      <c r="K3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38">
        <v>0</v>
      </c>
      <c r="M38">
        <v>0</v>
      </c>
      <c r="N38">
        <v>11</v>
      </c>
      <c r="O38">
        <v>0</v>
      </c>
      <c r="P38">
        <v>0</v>
      </c>
      <c r="Q38">
        <v>0</v>
      </c>
      <c r="R38">
        <v>0</v>
      </c>
      <c r="S38">
        <v>0</v>
      </c>
      <c r="T38">
        <v>0</v>
      </c>
      <c r="U38">
        <v>0</v>
      </c>
      <c r="V38" s="8">
        <f>Table1[[#This Row],[Balls Scored From Trench]]+Table1[[#This Row],[Balls Scored from Mid]]+Table1[[#This Row],[Balls Scored From Alliance zone]]</f>
        <v>11</v>
      </c>
      <c r="W38" s="8">
        <f>Table1[[#This Row],[balls scored high]]+Table1[[#This Row],[balls scored low]]</f>
        <v>11</v>
      </c>
      <c r="X38" s="8">
        <f>Table1[[#This Row],[Control Panel Spun Time]]+Table1[[#This Row],[Control Panel Color Time]]</f>
        <v>0</v>
      </c>
      <c r="Y38" s="8">
        <f>Table1[[#This Row],[Control Panels Spun]]+Table1[[#This Row],[Control Panel Color]]</f>
        <v>0</v>
      </c>
      <c r="Z3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11</v>
      </c>
      <c r="AA38">
        <v>0</v>
      </c>
      <c r="AB38">
        <v>0</v>
      </c>
      <c r="AC38">
        <v>0</v>
      </c>
      <c r="AD38">
        <v>0</v>
      </c>
      <c r="AE38">
        <v>0</v>
      </c>
      <c r="AF38">
        <v>0</v>
      </c>
      <c r="AG38">
        <v>0</v>
      </c>
      <c r="AI38" t="s">
        <v>179</v>
      </c>
      <c r="AJ38" t="s">
        <v>270</v>
      </c>
      <c r="AK38" s="17">
        <f>(Table1[[#This Row],[Climbed]]*weighting!$B$18)+(Table1[[#This Row],[Adjustable Climber]]*weighting!$B$19)+(Table1[[#This Row],[Lift other Robot]]*weighting!$B$20)+(Table1[[#This Row],[Balanced]]*weighting!$B$21)</f>
        <v>0</v>
      </c>
      <c r="AL38" s="8">
        <f>+Table1[[#This Row],[Endgame our score]]+Table1[[#This Row],[teleop our score]]+Table1[[#This Row],[auton our score]]</f>
        <v>12</v>
      </c>
      <c r="AM38" s="20">
        <f t="shared" si="0"/>
        <v>0</v>
      </c>
      <c r="AN38" s="20">
        <f t="shared" si="1"/>
        <v>1</v>
      </c>
      <c r="AO38" s="20">
        <f t="shared" si="2"/>
        <v>0</v>
      </c>
      <c r="AP38" s="20">
        <f>Table1[[#This Row],[balls scored]]+Table1[[#This Row],[auton balls scored]]</f>
        <v>11</v>
      </c>
      <c r="AQ38" s="20">
        <f>Table1[[#This Row],[balls scored high]]+Table1[[#This Row],[Auton Scored High]]</f>
        <v>11</v>
      </c>
      <c r="AR38" s="20">
        <f>Table1[[#This Row],[balls scored low]]+Table1[[#This Row],[Auton Scored Low]]</f>
        <v>0</v>
      </c>
      <c r="AS38" s="50">
        <f>IF(Table1[[#This Row],[Control Panel Spun Time]]&gt;0,1,0)</f>
        <v>0</v>
      </c>
      <c r="AT38" s="20">
        <f>IF(Table1[[#This Row],[Control Panel Color Time]]&gt;0,1,0)</f>
        <v>0</v>
      </c>
    </row>
    <row r="39" spans="1:46" s="2" customFormat="1" x14ac:dyDescent="0.25">
      <c r="A39">
        <v>181</v>
      </c>
      <c r="B39">
        <v>2</v>
      </c>
      <c r="C39">
        <v>0</v>
      </c>
      <c r="D39">
        <v>0</v>
      </c>
      <c r="E39">
        <v>0</v>
      </c>
      <c r="F39">
        <v>0</v>
      </c>
      <c r="G39">
        <v>0</v>
      </c>
      <c r="H39">
        <v>1</v>
      </c>
      <c r="I39" s="8">
        <f>+Table1[[#This Row],[Auton ball picked up in our trench]]+Table1[[#This Row],[Auton Balls Picked Up in Mid]]+Table1[[#This Row],[Auton Balls Picked Up In Their Trench]]</f>
        <v>0</v>
      </c>
      <c r="J39" s="8">
        <f>+Table1[[#This Row],[Auton Scored High]]+Table1[[#This Row],[Auton Scored Low]]</f>
        <v>0</v>
      </c>
      <c r="K3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39">
        <v>9</v>
      </c>
      <c r="M39">
        <v>0</v>
      </c>
      <c r="N39">
        <v>0</v>
      </c>
      <c r="O39">
        <v>0</v>
      </c>
      <c r="P39">
        <v>0</v>
      </c>
      <c r="Q39">
        <v>0</v>
      </c>
      <c r="R39">
        <v>0</v>
      </c>
      <c r="S39">
        <v>0</v>
      </c>
      <c r="T39">
        <v>0</v>
      </c>
      <c r="U39">
        <v>0</v>
      </c>
      <c r="V39" s="8">
        <f>Table1[[#This Row],[Balls Scored From Trench]]+Table1[[#This Row],[Balls Scored from Mid]]+Table1[[#This Row],[Balls Scored From Alliance zone]]</f>
        <v>9</v>
      </c>
      <c r="W39" s="8">
        <f>Table1[[#This Row],[balls scored high]]+Table1[[#This Row],[balls scored low]]</f>
        <v>9</v>
      </c>
      <c r="X39" s="8">
        <f>Table1[[#This Row],[Control Panel Spun Time]]+Table1[[#This Row],[Control Panel Color Time]]</f>
        <v>0</v>
      </c>
      <c r="Y39" s="8">
        <f>Table1[[#This Row],[Control Panels Spun]]+Table1[[#This Row],[Control Panel Color]]</f>
        <v>0</v>
      </c>
      <c r="Z3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27</v>
      </c>
      <c r="AA39">
        <v>0</v>
      </c>
      <c r="AB39">
        <v>0</v>
      </c>
      <c r="AC39">
        <v>0</v>
      </c>
      <c r="AD39">
        <v>0</v>
      </c>
      <c r="AE39">
        <v>0</v>
      </c>
      <c r="AF39">
        <v>0</v>
      </c>
      <c r="AG39">
        <v>0</v>
      </c>
      <c r="AH39"/>
      <c r="AI39" t="s">
        <v>179</v>
      </c>
      <c r="AJ39"/>
      <c r="AK39" s="17">
        <f>(Table1[[#This Row],[Climbed]]*weighting!$B$18)+(Table1[[#This Row],[Adjustable Climber]]*weighting!$B$19)+(Table1[[#This Row],[Lift other Robot]]*weighting!$B$20)+(Table1[[#This Row],[Balanced]]*weighting!$B$21)</f>
        <v>0</v>
      </c>
      <c r="AL39" s="8">
        <f>+Table1[[#This Row],[Endgame our score]]+Table1[[#This Row],[teleop our score]]+Table1[[#This Row],[auton our score]]</f>
        <v>28</v>
      </c>
      <c r="AM39" s="20">
        <f t="shared" si="0"/>
        <v>0</v>
      </c>
      <c r="AN39" s="20">
        <f t="shared" si="1"/>
        <v>1</v>
      </c>
      <c r="AO39" s="20">
        <f t="shared" si="2"/>
        <v>0</v>
      </c>
      <c r="AP39" s="20">
        <f>Table1[[#This Row],[balls scored]]+Table1[[#This Row],[auton balls scored]]</f>
        <v>9</v>
      </c>
      <c r="AQ39" s="20">
        <f>Table1[[#This Row],[balls scored high]]+Table1[[#This Row],[Auton Scored High]]</f>
        <v>9</v>
      </c>
      <c r="AR39" s="20">
        <f>Table1[[#This Row],[balls scored low]]+Table1[[#This Row],[Auton Scored Low]]</f>
        <v>0</v>
      </c>
      <c r="AS39" s="50">
        <f>IF(Table1[[#This Row],[Control Panel Spun Time]]&gt;0,1,0)</f>
        <v>0</v>
      </c>
      <c r="AT39" s="20">
        <f>IF(Table1[[#This Row],[Control Panel Color Time]]&gt;0,1,0)</f>
        <v>0</v>
      </c>
    </row>
    <row r="40" spans="1:46" x14ac:dyDescent="0.25">
      <c r="A40">
        <v>190</v>
      </c>
      <c r="B40">
        <v>2</v>
      </c>
      <c r="C40">
        <v>1</v>
      </c>
      <c r="D40">
        <v>0</v>
      </c>
      <c r="E40">
        <v>0</v>
      </c>
      <c r="F40">
        <v>0</v>
      </c>
      <c r="G40">
        <v>0</v>
      </c>
      <c r="H40">
        <v>0</v>
      </c>
      <c r="I40" s="8">
        <f>+Table1[[#This Row],[Auton ball picked up in our trench]]+Table1[[#This Row],[Auton Balls Picked Up in Mid]]+Table1[[#This Row],[Auton Balls Picked Up In Their Trench]]</f>
        <v>0</v>
      </c>
      <c r="J40" s="8">
        <f>+Table1[[#This Row],[Auton Scored High]]+Table1[[#This Row],[Auton Scored Low]]</f>
        <v>1</v>
      </c>
      <c r="K4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3</v>
      </c>
      <c r="L40">
        <v>0</v>
      </c>
      <c r="M40">
        <v>1</v>
      </c>
      <c r="N40">
        <v>0</v>
      </c>
      <c r="O40">
        <v>0</v>
      </c>
      <c r="P40">
        <v>0</v>
      </c>
      <c r="Q40">
        <v>0</v>
      </c>
      <c r="R40">
        <v>0</v>
      </c>
      <c r="S40">
        <v>0</v>
      </c>
      <c r="T40">
        <v>0</v>
      </c>
      <c r="U40">
        <v>1</v>
      </c>
      <c r="V40" s="8">
        <f>Table1[[#This Row],[Balls Scored From Trench]]+Table1[[#This Row],[Balls Scored from Mid]]+Table1[[#This Row],[Balls Scored From Alliance zone]]</f>
        <v>1</v>
      </c>
      <c r="W40" s="8">
        <f>Table1[[#This Row],[balls scored high]]+Table1[[#This Row],[balls scored low]]</f>
        <v>1</v>
      </c>
      <c r="X40" s="8">
        <f>Table1[[#This Row],[Control Panel Spun Time]]+Table1[[#This Row],[Control Panel Color Time]]</f>
        <v>0</v>
      </c>
      <c r="Y40" s="8">
        <f>Table1[[#This Row],[Control Panels Spun]]+Table1[[#This Row],[Control Panel Color]]</f>
        <v>0</v>
      </c>
      <c r="Z4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4</v>
      </c>
      <c r="AA40">
        <v>0</v>
      </c>
      <c r="AB40">
        <v>0</v>
      </c>
      <c r="AC40">
        <v>0</v>
      </c>
      <c r="AD40">
        <v>0</v>
      </c>
      <c r="AE40">
        <v>0</v>
      </c>
      <c r="AF40">
        <v>0</v>
      </c>
      <c r="AG40">
        <v>0</v>
      </c>
      <c r="AI40" t="s">
        <v>176</v>
      </c>
      <c r="AJ40" t="s">
        <v>178</v>
      </c>
      <c r="AK40" s="17">
        <f>(Table1[[#This Row],[Climbed]]*weighting!$B$18)+(Table1[[#This Row],[Adjustable Climber]]*weighting!$B$19)+(Table1[[#This Row],[Lift other Robot]]*weighting!$B$20)+(Table1[[#This Row],[Balanced]]*weighting!$B$21)</f>
        <v>0</v>
      </c>
      <c r="AL40" s="8">
        <f>+Table1[[#This Row],[Endgame our score]]+Table1[[#This Row],[teleop our score]]+Table1[[#This Row],[auton our score]]</f>
        <v>7</v>
      </c>
      <c r="AM40" s="20">
        <f t="shared" si="0"/>
        <v>0</v>
      </c>
      <c r="AN40" s="20">
        <f t="shared" si="1"/>
        <v>1</v>
      </c>
      <c r="AO40" s="20">
        <f t="shared" si="2"/>
        <v>0</v>
      </c>
      <c r="AP40" s="20">
        <f>Table1[[#This Row],[balls scored]]+Table1[[#This Row],[auton balls scored]]</f>
        <v>2</v>
      </c>
      <c r="AQ40" s="20">
        <f>Table1[[#This Row],[balls scored high]]+Table1[[#This Row],[Auton Scored High]]</f>
        <v>2</v>
      </c>
      <c r="AR40" s="20">
        <f>Table1[[#This Row],[balls scored low]]+Table1[[#This Row],[Auton Scored Low]]</f>
        <v>0</v>
      </c>
      <c r="AS40" s="50">
        <f>IF(Table1[[#This Row],[Control Panel Spun Time]]&gt;0,1,0)</f>
        <v>0</v>
      </c>
      <c r="AT40" s="20">
        <f>IF(Table1[[#This Row],[Control Panel Color Time]]&gt;0,1,0)</f>
        <v>0</v>
      </c>
    </row>
    <row r="41" spans="1:46" s="2" customFormat="1" x14ac:dyDescent="0.25">
      <c r="A41">
        <v>190</v>
      </c>
      <c r="B41">
        <v>2</v>
      </c>
      <c r="C41">
        <v>0</v>
      </c>
      <c r="D41">
        <v>0</v>
      </c>
      <c r="E41">
        <v>0</v>
      </c>
      <c r="F41">
        <v>0</v>
      </c>
      <c r="G41">
        <v>0</v>
      </c>
      <c r="H41">
        <v>1</v>
      </c>
      <c r="I41" s="8">
        <f>+Table1[[#This Row],[Auton ball picked up in our trench]]+Table1[[#This Row],[Auton Balls Picked Up in Mid]]+Table1[[#This Row],[Auton Balls Picked Up In Their Trench]]</f>
        <v>0</v>
      </c>
      <c r="J41" s="8">
        <f>+Table1[[#This Row],[Auton Scored High]]+Table1[[#This Row],[Auton Scored Low]]</f>
        <v>0</v>
      </c>
      <c r="K4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41">
        <v>0</v>
      </c>
      <c r="M41">
        <v>0</v>
      </c>
      <c r="N41">
        <v>0</v>
      </c>
      <c r="O41">
        <v>0</v>
      </c>
      <c r="P41">
        <v>0</v>
      </c>
      <c r="Q41">
        <v>0</v>
      </c>
      <c r="R41">
        <v>0</v>
      </c>
      <c r="S41">
        <v>0</v>
      </c>
      <c r="T41">
        <v>0</v>
      </c>
      <c r="U41">
        <v>5</v>
      </c>
      <c r="V41" s="8">
        <f>Table1[[#This Row],[Balls Scored From Trench]]+Table1[[#This Row],[Balls Scored from Mid]]+Table1[[#This Row],[Balls Scored From Alliance zone]]</f>
        <v>0</v>
      </c>
      <c r="W41" s="8">
        <f>Table1[[#This Row],[balls scored high]]+Table1[[#This Row],[balls scored low]]</f>
        <v>0</v>
      </c>
      <c r="X41" s="8">
        <f>Table1[[#This Row],[Control Panel Spun Time]]+Table1[[#This Row],[Control Panel Color Time]]</f>
        <v>0</v>
      </c>
      <c r="Y41" s="8">
        <f>Table1[[#This Row],[Control Panels Spun]]+Table1[[#This Row],[Control Panel Color]]</f>
        <v>0</v>
      </c>
      <c r="Z4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10</v>
      </c>
      <c r="AA41">
        <v>0</v>
      </c>
      <c r="AB41">
        <v>0</v>
      </c>
      <c r="AC41">
        <v>0</v>
      </c>
      <c r="AD41">
        <v>0</v>
      </c>
      <c r="AE41">
        <v>0</v>
      </c>
      <c r="AF41">
        <v>0</v>
      </c>
      <c r="AG41">
        <v>0</v>
      </c>
      <c r="AH41"/>
      <c r="AI41" t="s">
        <v>43</v>
      </c>
      <c r="AJ41" t="s">
        <v>211</v>
      </c>
      <c r="AK41" s="17">
        <f>(Table1[[#This Row],[Climbed]]*weighting!$B$18)+(Table1[[#This Row],[Adjustable Climber]]*weighting!$B$19)+(Table1[[#This Row],[Lift other Robot]]*weighting!$B$20)+(Table1[[#This Row],[Balanced]]*weighting!$B$21)</f>
        <v>0</v>
      </c>
      <c r="AL41" s="8">
        <f>+Table1[[#This Row],[Endgame our score]]+Table1[[#This Row],[teleop our score]]+Table1[[#This Row],[auton our score]]</f>
        <v>11</v>
      </c>
      <c r="AM41" s="20">
        <f t="shared" si="0"/>
        <v>0</v>
      </c>
      <c r="AN41" s="20">
        <f t="shared" si="1"/>
        <v>1</v>
      </c>
      <c r="AO41" s="20">
        <f t="shared" si="2"/>
        <v>0</v>
      </c>
      <c r="AP41" s="20">
        <f>Table1[[#This Row],[balls scored]]+Table1[[#This Row],[auton balls scored]]</f>
        <v>0</v>
      </c>
      <c r="AQ41" s="20">
        <f>Table1[[#This Row],[balls scored high]]+Table1[[#This Row],[Auton Scored High]]</f>
        <v>0</v>
      </c>
      <c r="AR41" s="20">
        <f>Table1[[#This Row],[balls scored low]]+Table1[[#This Row],[Auton Scored Low]]</f>
        <v>0</v>
      </c>
      <c r="AS41" s="50">
        <f>IF(Table1[[#This Row],[Control Panel Spun Time]]&gt;0,1,0)</f>
        <v>0</v>
      </c>
      <c r="AT41" s="20">
        <f>IF(Table1[[#This Row],[Control Panel Color Time]]&gt;0,1,0)</f>
        <v>0</v>
      </c>
    </row>
    <row r="42" spans="1:46" x14ac:dyDescent="0.25">
      <c r="A42">
        <v>190</v>
      </c>
      <c r="B42">
        <v>1</v>
      </c>
      <c r="C42">
        <v>3</v>
      </c>
      <c r="D42">
        <v>0</v>
      </c>
      <c r="E42">
        <v>0</v>
      </c>
      <c r="F42">
        <v>0</v>
      </c>
      <c r="G42">
        <v>0</v>
      </c>
      <c r="H42">
        <v>1</v>
      </c>
      <c r="I42" s="8">
        <f>+Table1[[#This Row],[Auton ball picked up in our trench]]+Table1[[#This Row],[Auton Balls Picked Up in Mid]]+Table1[[#This Row],[Auton Balls Picked Up In Their Trench]]</f>
        <v>0</v>
      </c>
      <c r="J42" s="8">
        <f>+Table1[[#This Row],[Auton Scored High]]+Table1[[#This Row],[Auton Scored Low]]</f>
        <v>3</v>
      </c>
      <c r="K4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42">
        <v>0</v>
      </c>
      <c r="M42">
        <v>0</v>
      </c>
      <c r="N42">
        <v>0</v>
      </c>
      <c r="O42">
        <v>0</v>
      </c>
      <c r="P42">
        <v>0</v>
      </c>
      <c r="Q42">
        <v>0</v>
      </c>
      <c r="R42">
        <v>0</v>
      </c>
      <c r="S42">
        <v>0</v>
      </c>
      <c r="T42">
        <v>0</v>
      </c>
      <c r="U42">
        <v>0</v>
      </c>
      <c r="V42" s="8">
        <f>Table1[[#This Row],[Balls Scored From Trench]]+Table1[[#This Row],[Balls Scored from Mid]]+Table1[[#This Row],[Balls Scored From Alliance zone]]</f>
        <v>0</v>
      </c>
      <c r="W42" s="8">
        <f>Table1[[#This Row],[balls scored high]]+Table1[[#This Row],[balls scored low]]</f>
        <v>0</v>
      </c>
      <c r="X42" s="8">
        <f>Table1[[#This Row],[Control Panel Spun Time]]+Table1[[#This Row],[Control Panel Color Time]]</f>
        <v>0</v>
      </c>
      <c r="Y42" s="8">
        <f>Table1[[#This Row],[Control Panels Spun]]+Table1[[#This Row],[Control Panel Color]]</f>
        <v>0</v>
      </c>
      <c r="Z4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2">
        <v>0</v>
      </c>
      <c r="AB42">
        <v>0</v>
      </c>
      <c r="AC42">
        <v>0</v>
      </c>
      <c r="AD42">
        <v>0</v>
      </c>
      <c r="AE42">
        <v>0</v>
      </c>
      <c r="AF42">
        <v>0</v>
      </c>
      <c r="AG42">
        <v>0</v>
      </c>
      <c r="AI42" t="s">
        <v>174</v>
      </c>
      <c r="AK42" s="17">
        <f>(Table1[[#This Row],[Climbed]]*weighting!$B$18)+(Table1[[#This Row],[Adjustable Climber]]*weighting!$B$19)+(Table1[[#This Row],[Lift other Robot]]*weighting!$B$20)+(Table1[[#This Row],[Balanced]]*weighting!$B$21)</f>
        <v>0</v>
      </c>
      <c r="AL42" s="8">
        <f>+Table1[[#This Row],[Endgame our score]]+Table1[[#This Row],[teleop our score]]+Table1[[#This Row],[auton our score]]</f>
        <v>10</v>
      </c>
      <c r="AM42" s="20">
        <f t="shared" si="0"/>
        <v>1</v>
      </c>
      <c r="AN42" s="20">
        <f t="shared" si="1"/>
        <v>0</v>
      </c>
      <c r="AO42" s="20">
        <f t="shared" si="2"/>
        <v>0</v>
      </c>
      <c r="AP42" s="20">
        <f>Table1[[#This Row],[balls scored]]+Table1[[#This Row],[auton balls scored]]</f>
        <v>3</v>
      </c>
      <c r="AQ42" s="20">
        <f>Table1[[#This Row],[balls scored high]]+Table1[[#This Row],[Auton Scored High]]</f>
        <v>3</v>
      </c>
      <c r="AR42" s="20">
        <f>Table1[[#This Row],[balls scored low]]+Table1[[#This Row],[Auton Scored Low]]</f>
        <v>0</v>
      </c>
      <c r="AS42" s="50">
        <f>IF(Table1[[#This Row],[Control Panel Spun Time]]&gt;0,1,0)</f>
        <v>0</v>
      </c>
      <c r="AT42" s="20">
        <f>IF(Table1[[#This Row],[Control Panel Color Time]]&gt;0,1,0)</f>
        <v>0</v>
      </c>
    </row>
    <row r="43" spans="1:46" s="2" customFormat="1" x14ac:dyDescent="0.25">
      <c r="A43">
        <v>190</v>
      </c>
      <c r="B43">
        <v>2</v>
      </c>
      <c r="C43">
        <v>1</v>
      </c>
      <c r="D43">
        <v>0</v>
      </c>
      <c r="E43">
        <v>0</v>
      </c>
      <c r="F43">
        <v>0</v>
      </c>
      <c r="G43">
        <v>0</v>
      </c>
      <c r="H43">
        <v>1</v>
      </c>
      <c r="I43" s="8">
        <f>+Table1[[#This Row],[Auton ball picked up in our trench]]+Table1[[#This Row],[Auton Balls Picked Up in Mid]]+Table1[[#This Row],[Auton Balls Picked Up In Their Trench]]</f>
        <v>0</v>
      </c>
      <c r="J43" s="8">
        <f>+Table1[[#This Row],[Auton Scored High]]+Table1[[#This Row],[Auton Scored Low]]</f>
        <v>1</v>
      </c>
      <c r="K4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4</v>
      </c>
      <c r="L43">
        <v>0</v>
      </c>
      <c r="M43">
        <v>0</v>
      </c>
      <c r="N43">
        <v>0</v>
      </c>
      <c r="O43">
        <v>0</v>
      </c>
      <c r="P43">
        <v>0</v>
      </c>
      <c r="Q43">
        <v>0</v>
      </c>
      <c r="R43">
        <v>0</v>
      </c>
      <c r="S43">
        <v>0</v>
      </c>
      <c r="T43">
        <v>0</v>
      </c>
      <c r="U43">
        <v>0</v>
      </c>
      <c r="V43" s="8">
        <f>Table1[[#This Row],[Balls Scored From Trench]]+Table1[[#This Row],[Balls Scored from Mid]]+Table1[[#This Row],[Balls Scored From Alliance zone]]</f>
        <v>0</v>
      </c>
      <c r="W43" s="8">
        <f>Table1[[#This Row],[balls scored high]]+Table1[[#This Row],[balls scored low]]</f>
        <v>0</v>
      </c>
      <c r="X43" s="8">
        <f>Table1[[#This Row],[Control Panel Spun Time]]+Table1[[#This Row],[Control Panel Color Time]]</f>
        <v>0</v>
      </c>
      <c r="Y43" s="8">
        <f>Table1[[#This Row],[Control Panels Spun]]+Table1[[#This Row],[Control Panel Color]]</f>
        <v>0</v>
      </c>
      <c r="Z4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3">
        <v>1</v>
      </c>
      <c r="AB43">
        <v>0</v>
      </c>
      <c r="AC43">
        <v>1</v>
      </c>
      <c r="AD43">
        <v>0</v>
      </c>
      <c r="AE43">
        <v>0</v>
      </c>
      <c r="AF43">
        <v>0</v>
      </c>
      <c r="AG43">
        <v>0</v>
      </c>
      <c r="AH43"/>
      <c r="AI43" t="s">
        <v>174</v>
      </c>
      <c r="AJ43"/>
      <c r="AK43" s="17">
        <f>(Table1[[#This Row],[Climbed]]*weighting!$B$18)+(Table1[[#This Row],[Adjustable Climber]]*weighting!$B$19)+(Table1[[#This Row],[Lift other Robot]]*weighting!$B$20)+(Table1[[#This Row],[Balanced]]*weighting!$B$21)</f>
        <v>40</v>
      </c>
      <c r="AL43" s="8">
        <f>+Table1[[#This Row],[Endgame our score]]+Table1[[#This Row],[teleop our score]]+Table1[[#This Row],[auton our score]]</f>
        <v>44</v>
      </c>
      <c r="AM43" s="20">
        <f t="shared" si="0"/>
        <v>0</v>
      </c>
      <c r="AN43" s="20">
        <f t="shared" si="1"/>
        <v>1</v>
      </c>
      <c r="AO43" s="20">
        <f t="shared" si="2"/>
        <v>0</v>
      </c>
      <c r="AP43" s="20">
        <f>Table1[[#This Row],[balls scored]]+Table1[[#This Row],[auton balls scored]]</f>
        <v>1</v>
      </c>
      <c r="AQ43" s="20">
        <f>Table1[[#This Row],[balls scored high]]+Table1[[#This Row],[Auton Scored High]]</f>
        <v>1</v>
      </c>
      <c r="AR43" s="20">
        <f>Table1[[#This Row],[balls scored low]]+Table1[[#This Row],[Auton Scored Low]]</f>
        <v>0</v>
      </c>
      <c r="AS43" s="50">
        <f>IF(Table1[[#This Row],[Control Panel Spun Time]]&gt;0,1,0)</f>
        <v>0</v>
      </c>
      <c r="AT43" s="20">
        <f>IF(Table1[[#This Row],[Control Panel Color Time]]&gt;0,1,0)</f>
        <v>0</v>
      </c>
    </row>
    <row r="44" spans="1:46" x14ac:dyDescent="0.25">
      <c r="A44">
        <v>190</v>
      </c>
      <c r="B44">
        <v>3</v>
      </c>
      <c r="C44">
        <v>3</v>
      </c>
      <c r="D44">
        <v>0</v>
      </c>
      <c r="E44">
        <v>0</v>
      </c>
      <c r="F44">
        <v>0</v>
      </c>
      <c r="G44">
        <v>0</v>
      </c>
      <c r="H44">
        <v>1</v>
      </c>
      <c r="I44" s="8">
        <f>+Table1[[#This Row],[Auton ball picked up in our trench]]+Table1[[#This Row],[Auton Balls Picked Up in Mid]]+Table1[[#This Row],[Auton Balls Picked Up In Their Trench]]</f>
        <v>0</v>
      </c>
      <c r="J44" s="8">
        <f>+Table1[[#This Row],[Auton Scored High]]+Table1[[#This Row],[Auton Scored Low]]</f>
        <v>3</v>
      </c>
      <c r="K4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44">
        <v>0</v>
      </c>
      <c r="M44">
        <v>0</v>
      </c>
      <c r="N44">
        <v>0</v>
      </c>
      <c r="O44">
        <v>0</v>
      </c>
      <c r="P44">
        <v>0</v>
      </c>
      <c r="Q44">
        <v>0</v>
      </c>
      <c r="R44">
        <v>0</v>
      </c>
      <c r="S44">
        <v>0</v>
      </c>
      <c r="T44">
        <v>0</v>
      </c>
      <c r="U44">
        <v>2.5</v>
      </c>
      <c r="V44" s="8">
        <f>Table1[[#This Row],[Balls Scored From Trench]]+Table1[[#This Row],[Balls Scored from Mid]]+Table1[[#This Row],[Balls Scored From Alliance zone]]</f>
        <v>0</v>
      </c>
      <c r="W44" s="8">
        <f>Table1[[#This Row],[balls scored high]]+Table1[[#This Row],[balls scored low]]</f>
        <v>0</v>
      </c>
      <c r="X44" s="8">
        <f>Table1[[#This Row],[Control Panel Spun Time]]+Table1[[#This Row],[Control Panel Color Time]]</f>
        <v>0</v>
      </c>
      <c r="Y44" s="8">
        <f>Table1[[#This Row],[Control Panels Spun]]+Table1[[#This Row],[Control Panel Color]]</f>
        <v>0</v>
      </c>
      <c r="Z4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5</v>
      </c>
      <c r="AA44">
        <v>0</v>
      </c>
      <c r="AB44">
        <v>0</v>
      </c>
      <c r="AC44">
        <v>0</v>
      </c>
      <c r="AD44">
        <v>0</v>
      </c>
      <c r="AE44">
        <v>0</v>
      </c>
      <c r="AF44">
        <v>0</v>
      </c>
      <c r="AG44">
        <v>0</v>
      </c>
      <c r="AI44" t="s">
        <v>174</v>
      </c>
      <c r="AJ44" t="s">
        <v>306</v>
      </c>
      <c r="AK44" s="17">
        <f>(Table1[[#This Row],[Climbed]]*weighting!$B$18)+(Table1[[#This Row],[Adjustable Climber]]*weighting!$B$19)+(Table1[[#This Row],[Lift other Robot]]*weighting!$B$20)+(Table1[[#This Row],[Balanced]]*weighting!$B$21)</f>
        <v>0</v>
      </c>
      <c r="AL44" s="8">
        <f>+Table1[[#This Row],[Endgame our score]]+Table1[[#This Row],[teleop our score]]+Table1[[#This Row],[auton our score]]</f>
        <v>15</v>
      </c>
      <c r="AM44" s="20">
        <f t="shared" si="0"/>
        <v>0</v>
      </c>
      <c r="AN44" s="20">
        <f t="shared" si="1"/>
        <v>0</v>
      </c>
      <c r="AO44" s="20">
        <f t="shared" si="2"/>
        <v>1</v>
      </c>
      <c r="AP44" s="20">
        <f>Table1[[#This Row],[balls scored]]+Table1[[#This Row],[auton balls scored]]</f>
        <v>3</v>
      </c>
      <c r="AQ44" s="20">
        <f>Table1[[#This Row],[balls scored high]]+Table1[[#This Row],[Auton Scored High]]</f>
        <v>3</v>
      </c>
      <c r="AR44" s="20">
        <f>Table1[[#This Row],[balls scored low]]+Table1[[#This Row],[Auton Scored Low]]</f>
        <v>0</v>
      </c>
      <c r="AS44" s="50">
        <f>IF(Table1[[#This Row],[Control Panel Spun Time]]&gt;0,1,0)</f>
        <v>0</v>
      </c>
      <c r="AT44" s="20">
        <f>IF(Table1[[#This Row],[Control Panel Color Time]]&gt;0,1,0)</f>
        <v>0</v>
      </c>
    </row>
    <row r="45" spans="1:46" s="2" customFormat="1" x14ac:dyDescent="0.25">
      <c r="A45">
        <v>316</v>
      </c>
      <c r="B45">
        <v>2</v>
      </c>
      <c r="C45">
        <v>1</v>
      </c>
      <c r="D45">
        <v>0</v>
      </c>
      <c r="E45">
        <v>0</v>
      </c>
      <c r="F45">
        <v>0</v>
      </c>
      <c r="G45">
        <v>0</v>
      </c>
      <c r="H45">
        <v>1</v>
      </c>
      <c r="I45" s="8">
        <f>+Table1[[#This Row],[Auton ball picked up in our trench]]+Table1[[#This Row],[Auton Balls Picked Up in Mid]]+Table1[[#This Row],[Auton Balls Picked Up In Their Trench]]</f>
        <v>0</v>
      </c>
      <c r="J45" s="8">
        <f>+Table1[[#This Row],[Auton Scored High]]+Table1[[#This Row],[Auton Scored Low]]</f>
        <v>1</v>
      </c>
      <c r="K4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4</v>
      </c>
      <c r="L45">
        <v>0</v>
      </c>
      <c r="M45">
        <v>0</v>
      </c>
      <c r="N45">
        <v>1</v>
      </c>
      <c r="O45">
        <v>0</v>
      </c>
      <c r="P45">
        <v>0</v>
      </c>
      <c r="Q45">
        <v>0</v>
      </c>
      <c r="R45">
        <v>0</v>
      </c>
      <c r="S45">
        <v>0</v>
      </c>
      <c r="T45">
        <v>0</v>
      </c>
      <c r="U45">
        <v>0</v>
      </c>
      <c r="V45" s="8">
        <f>Table1[[#This Row],[Balls Scored From Trench]]+Table1[[#This Row],[Balls Scored from Mid]]+Table1[[#This Row],[Balls Scored From Alliance zone]]</f>
        <v>1</v>
      </c>
      <c r="W45" s="8">
        <f>Table1[[#This Row],[balls scored high]]+Table1[[#This Row],[balls scored low]]</f>
        <v>1</v>
      </c>
      <c r="X45" s="8">
        <f>Table1[[#This Row],[Control Panel Spun Time]]+Table1[[#This Row],[Control Panel Color Time]]</f>
        <v>0</v>
      </c>
      <c r="Y45" s="8">
        <f>Table1[[#This Row],[Control Panels Spun]]+Table1[[#This Row],[Control Panel Color]]</f>
        <v>0</v>
      </c>
      <c r="Z4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v>
      </c>
      <c r="AA45">
        <v>1</v>
      </c>
      <c r="AB45">
        <v>0</v>
      </c>
      <c r="AC45">
        <v>0</v>
      </c>
      <c r="AD45">
        <v>0</v>
      </c>
      <c r="AE45">
        <v>0</v>
      </c>
      <c r="AF45">
        <v>0</v>
      </c>
      <c r="AG45">
        <v>0</v>
      </c>
      <c r="AH45"/>
      <c r="AI45" t="s">
        <v>173</v>
      </c>
      <c r="AJ45"/>
      <c r="AK45" s="17">
        <f>(Table1[[#This Row],[Climbed]]*weighting!$B$18)+(Table1[[#This Row],[Adjustable Climber]]*weighting!$B$19)+(Table1[[#This Row],[Lift other Robot]]*weighting!$B$20)+(Table1[[#This Row],[Balanced]]*weighting!$B$21)</f>
        <v>25</v>
      </c>
      <c r="AL45" s="8">
        <f>+Table1[[#This Row],[Endgame our score]]+Table1[[#This Row],[teleop our score]]+Table1[[#This Row],[auton our score]]</f>
        <v>30</v>
      </c>
      <c r="AM45" s="20">
        <f t="shared" si="0"/>
        <v>0</v>
      </c>
      <c r="AN45" s="20">
        <f t="shared" si="1"/>
        <v>1</v>
      </c>
      <c r="AO45" s="20">
        <f t="shared" si="2"/>
        <v>0</v>
      </c>
      <c r="AP45" s="20">
        <f>Table1[[#This Row],[balls scored]]+Table1[[#This Row],[auton balls scored]]</f>
        <v>2</v>
      </c>
      <c r="AQ45" s="20">
        <f>Table1[[#This Row],[balls scored high]]+Table1[[#This Row],[Auton Scored High]]</f>
        <v>2</v>
      </c>
      <c r="AR45" s="20">
        <f>Table1[[#This Row],[balls scored low]]+Table1[[#This Row],[Auton Scored Low]]</f>
        <v>0</v>
      </c>
      <c r="AS45" s="50">
        <f>IF(Table1[[#This Row],[Control Panel Spun Time]]&gt;0,1,0)</f>
        <v>0</v>
      </c>
      <c r="AT45" s="20">
        <f>IF(Table1[[#This Row],[Control Panel Color Time]]&gt;0,1,0)</f>
        <v>0</v>
      </c>
    </row>
    <row r="46" spans="1:46" x14ac:dyDescent="0.25">
      <c r="A46">
        <v>316</v>
      </c>
      <c r="B46">
        <v>2</v>
      </c>
      <c r="C46">
        <v>2</v>
      </c>
      <c r="D46">
        <v>0</v>
      </c>
      <c r="E46">
        <v>0</v>
      </c>
      <c r="F46">
        <v>0</v>
      </c>
      <c r="G46">
        <v>0</v>
      </c>
      <c r="H46">
        <v>1</v>
      </c>
      <c r="I46" s="8">
        <f>+Table1[[#This Row],[Auton ball picked up in our trench]]+Table1[[#This Row],[Auton Balls Picked Up in Mid]]+Table1[[#This Row],[Auton Balls Picked Up In Their Trench]]</f>
        <v>0</v>
      </c>
      <c r="J46" s="8">
        <f>+Table1[[#This Row],[Auton Scored High]]+Table1[[#This Row],[Auton Scored Low]]</f>
        <v>2</v>
      </c>
      <c r="K4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7</v>
      </c>
      <c r="L46">
        <v>0</v>
      </c>
      <c r="M46">
        <v>6</v>
      </c>
      <c r="N46">
        <v>0</v>
      </c>
      <c r="O46">
        <v>0</v>
      </c>
      <c r="P46">
        <v>0</v>
      </c>
      <c r="Q46">
        <v>0</v>
      </c>
      <c r="R46">
        <v>0</v>
      </c>
      <c r="S46">
        <v>0</v>
      </c>
      <c r="T46">
        <v>0</v>
      </c>
      <c r="U46">
        <v>0</v>
      </c>
      <c r="V46" s="8">
        <f>Table1[[#This Row],[Balls Scored From Trench]]+Table1[[#This Row],[Balls Scored from Mid]]+Table1[[#This Row],[Balls Scored From Alliance zone]]</f>
        <v>6</v>
      </c>
      <c r="W46" s="8">
        <f>Table1[[#This Row],[balls scored high]]+Table1[[#This Row],[balls scored low]]</f>
        <v>6</v>
      </c>
      <c r="X46" s="8">
        <f>Table1[[#This Row],[Control Panel Spun Time]]+Table1[[#This Row],[Control Panel Color Time]]</f>
        <v>0</v>
      </c>
      <c r="Y46" s="8">
        <f>Table1[[#This Row],[Control Panels Spun]]+Table1[[#This Row],[Control Panel Color]]</f>
        <v>0</v>
      </c>
      <c r="Z4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12</v>
      </c>
      <c r="AA46">
        <v>0</v>
      </c>
      <c r="AB46">
        <v>0</v>
      </c>
      <c r="AC46">
        <v>0</v>
      </c>
      <c r="AD46">
        <v>0</v>
      </c>
      <c r="AE46">
        <v>0</v>
      </c>
      <c r="AF46">
        <v>0</v>
      </c>
      <c r="AG46">
        <v>0</v>
      </c>
      <c r="AI46" t="s">
        <v>176</v>
      </c>
      <c r="AJ46" t="s">
        <v>212</v>
      </c>
      <c r="AK46" s="17">
        <f>(Table1[[#This Row],[Climbed]]*weighting!$B$18)+(Table1[[#This Row],[Adjustable Climber]]*weighting!$B$19)+(Table1[[#This Row],[Lift other Robot]]*weighting!$B$20)+(Table1[[#This Row],[Balanced]]*weighting!$B$21)</f>
        <v>0</v>
      </c>
      <c r="AL46" s="8">
        <f>+Table1[[#This Row],[Endgame our score]]+Table1[[#This Row],[teleop our score]]+Table1[[#This Row],[auton our score]]</f>
        <v>19</v>
      </c>
      <c r="AM46" s="20">
        <f t="shared" si="0"/>
        <v>0</v>
      </c>
      <c r="AN46" s="20">
        <f t="shared" si="1"/>
        <v>1</v>
      </c>
      <c r="AO46" s="20">
        <f t="shared" si="2"/>
        <v>0</v>
      </c>
      <c r="AP46" s="20">
        <f>Table1[[#This Row],[balls scored]]+Table1[[#This Row],[auton balls scored]]</f>
        <v>8</v>
      </c>
      <c r="AQ46" s="20">
        <f>Table1[[#This Row],[balls scored high]]+Table1[[#This Row],[Auton Scored High]]</f>
        <v>8</v>
      </c>
      <c r="AR46" s="20">
        <f>Table1[[#This Row],[balls scored low]]+Table1[[#This Row],[Auton Scored Low]]</f>
        <v>0</v>
      </c>
      <c r="AS46" s="50">
        <f>IF(Table1[[#This Row],[Control Panel Spun Time]]&gt;0,1,0)</f>
        <v>0</v>
      </c>
      <c r="AT46" s="20">
        <f>IF(Table1[[#This Row],[Control Panel Color Time]]&gt;0,1,0)</f>
        <v>0</v>
      </c>
    </row>
    <row r="47" spans="1:46" s="2" customFormat="1" x14ac:dyDescent="0.25">
      <c r="A47">
        <v>316</v>
      </c>
      <c r="B47">
        <v>2</v>
      </c>
      <c r="C47">
        <v>0</v>
      </c>
      <c r="D47">
        <v>0</v>
      </c>
      <c r="E47">
        <v>0</v>
      </c>
      <c r="F47">
        <v>0</v>
      </c>
      <c r="G47">
        <v>0</v>
      </c>
      <c r="H47">
        <v>1</v>
      </c>
      <c r="I47" s="8">
        <f>+Table1[[#This Row],[Auton ball picked up in our trench]]+Table1[[#This Row],[Auton Balls Picked Up in Mid]]+Table1[[#This Row],[Auton Balls Picked Up In Their Trench]]</f>
        <v>0</v>
      </c>
      <c r="J47" s="8">
        <f>+Table1[[#This Row],[Auton Scored High]]+Table1[[#This Row],[Auton Scored Low]]</f>
        <v>0</v>
      </c>
      <c r="K4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47">
        <v>0</v>
      </c>
      <c r="M47">
        <v>0</v>
      </c>
      <c r="N47">
        <v>0</v>
      </c>
      <c r="O47">
        <v>0</v>
      </c>
      <c r="P47">
        <v>0</v>
      </c>
      <c r="Q47">
        <v>0</v>
      </c>
      <c r="R47">
        <v>0</v>
      </c>
      <c r="S47">
        <v>0</v>
      </c>
      <c r="T47">
        <v>0</v>
      </c>
      <c r="U47">
        <v>2.5</v>
      </c>
      <c r="V47" s="8">
        <f>Table1[[#This Row],[Balls Scored From Trench]]+Table1[[#This Row],[Balls Scored from Mid]]+Table1[[#This Row],[Balls Scored From Alliance zone]]</f>
        <v>0</v>
      </c>
      <c r="W47" s="8">
        <f>Table1[[#This Row],[balls scored high]]+Table1[[#This Row],[balls scored low]]</f>
        <v>0</v>
      </c>
      <c r="X47" s="8">
        <f>Table1[[#This Row],[Control Panel Spun Time]]+Table1[[#This Row],[Control Panel Color Time]]</f>
        <v>0</v>
      </c>
      <c r="Y47" s="8">
        <f>Table1[[#This Row],[Control Panels Spun]]+Table1[[#This Row],[Control Panel Color]]</f>
        <v>0</v>
      </c>
      <c r="Z4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5</v>
      </c>
      <c r="AA47">
        <v>0</v>
      </c>
      <c r="AB47">
        <v>0</v>
      </c>
      <c r="AC47">
        <v>0</v>
      </c>
      <c r="AD47">
        <v>0</v>
      </c>
      <c r="AE47">
        <v>0</v>
      </c>
      <c r="AF47">
        <v>0</v>
      </c>
      <c r="AG47">
        <v>0</v>
      </c>
      <c r="AH47"/>
      <c r="AI47" t="s">
        <v>176</v>
      </c>
      <c r="AJ47" t="s">
        <v>226</v>
      </c>
      <c r="AK47" s="17">
        <f>(Table1[[#This Row],[Climbed]]*weighting!$B$18)+(Table1[[#This Row],[Adjustable Climber]]*weighting!$B$19)+(Table1[[#This Row],[Lift other Robot]]*weighting!$B$20)+(Table1[[#This Row],[Balanced]]*weighting!$B$21)</f>
        <v>0</v>
      </c>
      <c r="AL47" s="8">
        <f>+Table1[[#This Row],[Endgame our score]]+Table1[[#This Row],[teleop our score]]+Table1[[#This Row],[auton our score]]</f>
        <v>6</v>
      </c>
      <c r="AM47" s="20">
        <f t="shared" si="0"/>
        <v>0</v>
      </c>
      <c r="AN47" s="20">
        <f t="shared" si="1"/>
        <v>1</v>
      </c>
      <c r="AO47" s="20">
        <f t="shared" si="2"/>
        <v>0</v>
      </c>
      <c r="AP47" s="20">
        <f>Table1[[#This Row],[balls scored]]+Table1[[#This Row],[auton balls scored]]</f>
        <v>0</v>
      </c>
      <c r="AQ47" s="20">
        <f>Table1[[#This Row],[balls scored high]]+Table1[[#This Row],[Auton Scored High]]</f>
        <v>0</v>
      </c>
      <c r="AR47" s="20">
        <f>Table1[[#This Row],[balls scored low]]+Table1[[#This Row],[Auton Scored Low]]</f>
        <v>0</v>
      </c>
      <c r="AS47" s="50">
        <f>IF(Table1[[#This Row],[Control Panel Spun Time]]&gt;0,1,0)</f>
        <v>0</v>
      </c>
      <c r="AT47" s="20">
        <f>IF(Table1[[#This Row],[Control Panel Color Time]]&gt;0,1,0)</f>
        <v>0</v>
      </c>
    </row>
    <row r="48" spans="1:46" x14ac:dyDescent="0.25">
      <c r="A48">
        <v>316</v>
      </c>
      <c r="B48">
        <v>3</v>
      </c>
      <c r="C48">
        <v>3</v>
      </c>
      <c r="D48">
        <v>0</v>
      </c>
      <c r="E48">
        <v>0</v>
      </c>
      <c r="F48">
        <v>0</v>
      </c>
      <c r="G48">
        <v>0</v>
      </c>
      <c r="H48">
        <v>1</v>
      </c>
      <c r="I48" s="8">
        <f>+Table1[[#This Row],[Auton ball picked up in our trench]]+Table1[[#This Row],[Auton Balls Picked Up in Mid]]+Table1[[#This Row],[Auton Balls Picked Up In Their Trench]]</f>
        <v>0</v>
      </c>
      <c r="J48" s="8">
        <f>+Table1[[#This Row],[Auton Scored High]]+Table1[[#This Row],[Auton Scored Low]]</f>
        <v>3</v>
      </c>
      <c r="K4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48">
        <v>0</v>
      </c>
      <c r="M48">
        <v>0</v>
      </c>
      <c r="N48">
        <v>1</v>
      </c>
      <c r="O48">
        <v>0</v>
      </c>
      <c r="P48">
        <v>0</v>
      </c>
      <c r="Q48">
        <v>0</v>
      </c>
      <c r="R48">
        <v>0</v>
      </c>
      <c r="S48">
        <v>0</v>
      </c>
      <c r="T48">
        <v>0</v>
      </c>
      <c r="U48">
        <v>1</v>
      </c>
      <c r="V48" s="8">
        <f>Table1[[#This Row],[Balls Scored From Trench]]+Table1[[#This Row],[Balls Scored from Mid]]+Table1[[#This Row],[Balls Scored From Alliance zone]]</f>
        <v>1</v>
      </c>
      <c r="W48" s="8">
        <f>Table1[[#This Row],[balls scored high]]+Table1[[#This Row],[balls scored low]]</f>
        <v>1</v>
      </c>
      <c r="X48" s="8">
        <f>Table1[[#This Row],[Control Panel Spun Time]]+Table1[[#This Row],[Control Panel Color Time]]</f>
        <v>0</v>
      </c>
      <c r="Y48" s="8">
        <f>Table1[[#This Row],[Control Panels Spun]]+Table1[[#This Row],[Control Panel Color]]</f>
        <v>0</v>
      </c>
      <c r="Z4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3</v>
      </c>
      <c r="AA48">
        <v>0</v>
      </c>
      <c r="AB48">
        <v>0</v>
      </c>
      <c r="AC48">
        <v>0</v>
      </c>
      <c r="AD48">
        <v>0</v>
      </c>
      <c r="AE48">
        <v>1</v>
      </c>
      <c r="AF48">
        <v>0</v>
      </c>
      <c r="AG48">
        <v>0</v>
      </c>
      <c r="AI48" t="s">
        <v>179</v>
      </c>
      <c r="AJ48" t="s">
        <v>240</v>
      </c>
      <c r="AK48" s="17">
        <f>(Table1[[#This Row],[Climbed]]*weighting!$B$18)+(Table1[[#This Row],[Adjustable Climber]]*weighting!$B$19)+(Table1[[#This Row],[Lift other Robot]]*weighting!$B$20)+(Table1[[#This Row],[Balanced]]*weighting!$B$21)</f>
        <v>0</v>
      </c>
      <c r="AL48" s="8">
        <f>+Table1[[#This Row],[Endgame our score]]+Table1[[#This Row],[teleop our score]]+Table1[[#This Row],[auton our score]]</f>
        <v>13</v>
      </c>
      <c r="AM48" s="20">
        <f t="shared" si="0"/>
        <v>0</v>
      </c>
      <c r="AN48" s="20">
        <f t="shared" si="1"/>
        <v>0</v>
      </c>
      <c r="AO48" s="20">
        <f t="shared" si="2"/>
        <v>1</v>
      </c>
      <c r="AP48" s="20">
        <f>Table1[[#This Row],[balls scored]]+Table1[[#This Row],[auton balls scored]]</f>
        <v>4</v>
      </c>
      <c r="AQ48" s="20">
        <f>Table1[[#This Row],[balls scored high]]+Table1[[#This Row],[Auton Scored High]]</f>
        <v>4</v>
      </c>
      <c r="AR48" s="20">
        <f>Table1[[#This Row],[balls scored low]]+Table1[[#This Row],[Auton Scored Low]]</f>
        <v>0</v>
      </c>
      <c r="AS48" s="50">
        <f>IF(Table1[[#This Row],[Control Panel Spun Time]]&gt;0,1,0)</f>
        <v>0</v>
      </c>
      <c r="AT48" s="20">
        <f>IF(Table1[[#This Row],[Control Panel Color Time]]&gt;0,1,0)</f>
        <v>0</v>
      </c>
    </row>
    <row r="49" spans="1:46" s="2" customFormat="1" x14ac:dyDescent="0.25">
      <c r="A49">
        <v>316</v>
      </c>
      <c r="B49">
        <v>2</v>
      </c>
      <c r="C49">
        <v>3</v>
      </c>
      <c r="D49">
        <v>0</v>
      </c>
      <c r="E49">
        <v>0</v>
      </c>
      <c r="F49">
        <v>0</v>
      </c>
      <c r="G49">
        <v>0</v>
      </c>
      <c r="H49">
        <v>1</v>
      </c>
      <c r="I49" s="8">
        <f>+Table1[[#This Row],[Auton ball picked up in our trench]]+Table1[[#This Row],[Auton Balls Picked Up in Mid]]+Table1[[#This Row],[Auton Balls Picked Up In Their Trench]]</f>
        <v>0</v>
      </c>
      <c r="J49" s="8">
        <f>+Table1[[#This Row],[Auton Scored High]]+Table1[[#This Row],[Auton Scored Low]]</f>
        <v>3</v>
      </c>
      <c r="K4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49">
        <v>0</v>
      </c>
      <c r="M49">
        <v>4</v>
      </c>
      <c r="N49">
        <v>0</v>
      </c>
      <c r="O49">
        <v>0</v>
      </c>
      <c r="P49">
        <v>0</v>
      </c>
      <c r="Q49">
        <v>0</v>
      </c>
      <c r="R49">
        <v>0</v>
      </c>
      <c r="S49">
        <v>0</v>
      </c>
      <c r="T49">
        <v>0</v>
      </c>
      <c r="U49">
        <v>0</v>
      </c>
      <c r="V49" s="8">
        <f>Table1[[#This Row],[Balls Scored From Trench]]+Table1[[#This Row],[Balls Scored from Mid]]+Table1[[#This Row],[Balls Scored From Alliance zone]]</f>
        <v>4</v>
      </c>
      <c r="W49" s="8">
        <f>Table1[[#This Row],[balls scored high]]+Table1[[#This Row],[balls scored low]]</f>
        <v>4</v>
      </c>
      <c r="X49" s="8">
        <f>Table1[[#This Row],[Control Panel Spun Time]]+Table1[[#This Row],[Control Panel Color Time]]</f>
        <v>0</v>
      </c>
      <c r="Y49" s="8">
        <f>Table1[[#This Row],[Control Panels Spun]]+Table1[[#This Row],[Control Panel Color]]</f>
        <v>0</v>
      </c>
      <c r="Z4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8</v>
      </c>
      <c r="AA49">
        <v>1</v>
      </c>
      <c r="AB49">
        <v>0</v>
      </c>
      <c r="AC49">
        <v>1</v>
      </c>
      <c r="AD49">
        <v>0</v>
      </c>
      <c r="AE49">
        <v>0</v>
      </c>
      <c r="AF49">
        <v>0</v>
      </c>
      <c r="AG49">
        <v>0</v>
      </c>
      <c r="AH49"/>
      <c r="AI49" t="s">
        <v>43</v>
      </c>
      <c r="AJ49" t="s">
        <v>276</v>
      </c>
      <c r="AK49" s="17">
        <f>(Table1[[#This Row],[Climbed]]*weighting!$B$18)+(Table1[[#This Row],[Adjustable Climber]]*weighting!$B$19)+(Table1[[#This Row],[Lift other Robot]]*weighting!$B$20)+(Table1[[#This Row],[Balanced]]*weighting!$B$21)</f>
        <v>40</v>
      </c>
      <c r="AL49" s="8">
        <f>+Table1[[#This Row],[Endgame our score]]+Table1[[#This Row],[teleop our score]]+Table1[[#This Row],[auton our score]]</f>
        <v>58</v>
      </c>
      <c r="AM49" s="20">
        <f t="shared" si="0"/>
        <v>0</v>
      </c>
      <c r="AN49" s="20">
        <f t="shared" si="1"/>
        <v>1</v>
      </c>
      <c r="AO49" s="20">
        <f t="shared" si="2"/>
        <v>0</v>
      </c>
      <c r="AP49" s="20">
        <f>Table1[[#This Row],[balls scored]]+Table1[[#This Row],[auton balls scored]]</f>
        <v>7</v>
      </c>
      <c r="AQ49" s="20">
        <f>Table1[[#This Row],[balls scored high]]+Table1[[#This Row],[Auton Scored High]]</f>
        <v>7</v>
      </c>
      <c r="AR49" s="20">
        <f>Table1[[#This Row],[balls scored low]]+Table1[[#This Row],[Auton Scored Low]]</f>
        <v>0</v>
      </c>
      <c r="AS49" s="50">
        <f>IF(Table1[[#This Row],[Control Panel Spun Time]]&gt;0,1,0)</f>
        <v>0</v>
      </c>
      <c r="AT49" s="20">
        <f>IF(Table1[[#This Row],[Control Panel Color Time]]&gt;0,1,0)</f>
        <v>0</v>
      </c>
    </row>
    <row r="50" spans="1:46" x14ac:dyDescent="0.25">
      <c r="A50">
        <v>316</v>
      </c>
      <c r="B50">
        <v>2</v>
      </c>
      <c r="C50">
        <v>2</v>
      </c>
      <c r="D50">
        <v>0</v>
      </c>
      <c r="E50">
        <v>0</v>
      </c>
      <c r="F50">
        <v>0</v>
      </c>
      <c r="G50">
        <v>0</v>
      </c>
      <c r="H50">
        <v>1</v>
      </c>
      <c r="I50" s="8">
        <f>+Table1[[#This Row],[Auton ball picked up in our trench]]+Table1[[#This Row],[Auton Balls Picked Up in Mid]]+Table1[[#This Row],[Auton Balls Picked Up In Their Trench]]</f>
        <v>0</v>
      </c>
      <c r="J50" s="8">
        <f>+Table1[[#This Row],[Auton Scored High]]+Table1[[#This Row],[Auton Scored Low]]</f>
        <v>2</v>
      </c>
      <c r="K5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7</v>
      </c>
      <c r="L50">
        <v>0</v>
      </c>
      <c r="M50">
        <v>5</v>
      </c>
      <c r="N50">
        <v>2</v>
      </c>
      <c r="O50">
        <v>0</v>
      </c>
      <c r="P50">
        <v>0</v>
      </c>
      <c r="Q50">
        <v>0</v>
      </c>
      <c r="R50">
        <v>0</v>
      </c>
      <c r="S50">
        <v>0</v>
      </c>
      <c r="T50">
        <v>0</v>
      </c>
      <c r="U50">
        <v>0</v>
      </c>
      <c r="V50" s="8">
        <f>Table1[[#This Row],[Balls Scored From Trench]]+Table1[[#This Row],[Balls Scored from Mid]]+Table1[[#This Row],[Balls Scored From Alliance zone]]</f>
        <v>7</v>
      </c>
      <c r="W50" s="8">
        <f>Table1[[#This Row],[balls scored high]]+Table1[[#This Row],[balls scored low]]</f>
        <v>7</v>
      </c>
      <c r="X50" s="8">
        <f>Table1[[#This Row],[Control Panel Spun Time]]+Table1[[#This Row],[Control Panel Color Time]]</f>
        <v>0</v>
      </c>
      <c r="Y50" s="8">
        <f>Table1[[#This Row],[Control Panels Spun]]+Table1[[#This Row],[Control Panel Color]]</f>
        <v>0</v>
      </c>
      <c r="Z5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12</v>
      </c>
      <c r="AA50">
        <v>1</v>
      </c>
      <c r="AB50">
        <v>0</v>
      </c>
      <c r="AC50">
        <v>1</v>
      </c>
      <c r="AD50">
        <v>0</v>
      </c>
      <c r="AE50">
        <v>0</v>
      </c>
      <c r="AF50">
        <v>0</v>
      </c>
      <c r="AG50">
        <v>0</v>
      </c>
      <c r="AI50" t="s">
        <v>43</v>
      </c>
      <c r="AJ50" t="s">
        <v>307</v>
      </c>
      <c r="AK50" s="17">
        <f>(Table1[[#This Row],[Climbed]]*weighting!$B$18)+(Table1[[#This Row],[Adjustable Climber]]*weighting!$B$19)+(Table1[[#This Row],[Lift other Robot]]*weighting!$B$20)+(Table1[[#This Row],[Balanced]]*weighting!$B$21)</f>
        <v>40</v>
      </c>
      <c r="AL50" s="8">
        <f>+Table1[[#This Row],[Endgame our score]]+Table1[[#This Row],[teleop our score]]+Table1[[#This Row],[auton our score]]</f>
        <v>59</v>
      </c>
      <c r="AM50" s="20">
        <f t="shared" si="0"/>
        <v>0</v>
      </c>
      <c r="AN50" s="20">
        <f t="shared" si="1"/>
        <v>1</v>
      </c>
      <c r="AO50" s="20">
        <f t="shared" si="2"/>
        <v>0</v>
      </c>
      <c r="AP50" s="20">
        <f>Table1[[#This Row],[balls scored]]+Table1[[#This Row],[auton balls scored]]</f>
        <v>9</v>
      </c>
      <c r="AQ50" s="20">
        <f>Table1[[#This Row],[balls scored high]]+Table1[[#This Row],[Auton Scored High]]</f>
        <v>9</v>
      </c>
      <c r="AR50" s="20">
        <f>Table1[[#This Row],[balls scored low]]+Table1[[#This Row],[Auton Scored Low]]</f>
        <v>0</v>
      </c>
      <c r="AS50" s="50">
        <f>IF(Table1[[#This Row],[Control Panel Spun Time]]&gt;0,1,0)</f>
        <v>0</v>
      </c>
      <c r="AT50" s="20">
        <f>IF(Table1[[#This Row],[Control Panel Color Time]]&gt;0,1,0)</f>
        <v>0</v>
      </c>
    </row>
    <row r="51" spans="1:46" s="2" customFormat="1" x14ac:dyDescent="0.25">
      <c r="A51">
        <v>316</v>
      </c>
      <c r="B51">
        <v>3</v>
      </c>
      <c r="C51">
        <v>3</v>
      </c>
      <c r="D51">
        <v>0</v>
      </c>
      <c r="E51">
        <v>0</v>
      </c>
      <c r="F51">
        <v>0</v>
      </c>
      <c r="G51">
        <v>0</v>
      </c>
      <c r="H51">
        <v>1</v>
      </c>
      <c r="I51" s="8">
        <f>+Table1[[#This Row],[Auton ball picked up in our trench]]+Table1[[#This Row],[Auton Balls Picked Up in Mid]]+Table1[[#This Row],[Auton Balls Picked Up In Their Trench]]</f>
        <v>0</v>
      </c>
      <c r="J51" s="8">
        <f>+Table1[[#This Row],[Auton Scored High]]+Table1[[#This Row],[Auton Scored Low]]</f>
        <v>3</v>
      </c>
      <c r="K5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51">
        <v>0</v>
      </c>
      <c r="M51">
        <v>9</v>
      </c>
      <c r="N51">
        <v>0</v>
      </c>
      <c r="O51">
        <v>0</v>
      </c>
      <c r="P51">
        <v>0</v>
      </c>
      <c r="Q51">
        <v>0</v>
      </c>
      <c r="R51">
        <v>0</v>
      </c>
      <c r="S51">
        <v>0</v>
      </c>
      <c r="T51">
        <v>0</v>
      </c>
      <c r="U51">
        <v>0</v>
      </c>
      <c r="V51" s="8">
        <f>Table1[[#This Row],[Balls Scored From Trench]]+Table1[[#This Row],[Balls Scored from Mid]]+Table1[[#This Row],[Balls Scored From Alliance zone]]</f>
        <v>9</v>
      </c>
      <c r="W51" s="8">
        <f>Table1[[#This Row],[balls scored high]]+Table1[[#This Row],[balls scored low]]</f>
        <v>9</v>
      </c>
      <c r="X51" s="8">
        <f>Table1[[#This Row],[Control Panel Spun Time]]+Table1[[#This Row],[Control Panel Color Time]]</f>
        <v>0</v>
      </c>
      <c r="Y51" s="8">
        <f>Table1[[#This Row],[Control Panels Spun]]+Table1[[#This Row],[Control Panel Color]]</f>
        <v>0</v>
      </c>
      <c r="Z5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18</v>
      </c>
      <c r="AA51">
        <v>0</v>
      </c>
      <c r="AB51">
        <v>0</v>
      </c>
      <c r="AC51">
        <v>0</v>
      </c>
      <c r="AD51">
        <v>0</v>
      </c>
      <c r="AE51">
        <v>0</v>
      </c>
      <c r="AF51">
        <v>0</v>
      </c>
      <c r="AG51">
        <v>0</v>
      </c>
      <c r="AH51"/>
      <c r="AI51" t="s">
        <v>174</v>
      </c>
      <c r="AJ51"/>
      <c r="AK51" s="17">
        <f>(Table1[[#This Row],[Climbed]]*weighting!$B$18)+(Table1[[#This Row],[Adjustable Climber]]*weighting!$B$19)+(Table1[[#This Row],[Lift other Robot]]*weighting!$B$20)+(Table1[[#This Row],[Balanced]]*weighting!$B$21)</f>
        <v>0</v>
      </c>
      <c r="AL51" s="8">
        <f>+Table1[[#This Row],[Endgame our score]]+Table1[[#This Row],[teleop our score]]+Table1[[#This Row],[auton our score]]</f>
        <v>28</v>
      </c>
      <c r="AM51" s="20">
        <f t="shared" si="0"/>
        <v>0</v>
      </c>
      <c r="AN51" s="20">
        <f t="shared" si="1"/>
        <v>0</v>
      </c>
      <c r="AO51" s="20">
        <f t="shared" si="2"/>
        <v>1</v>
      </c>
      <c r="AP51" s="20">
        <f>Table1[[#This Row],[balls scored]]+Table1[[#This Row],[auton balls scored]]</f>
        <v>12</v>
      </c>
      <c r="AQ51" s="20">
        <f>Table1[[#This Row],[balls scored high]]+Table1[[#This Row],[Auton Scored High]]</f>
        <v>12</v>
      </c>
      <c r="AR51" s="20">
        <f>Table1[[#This Row],[balls scored low]]+Table1[[#This Row],[Auton Scored Low]]</f>
        <v>0</v>
      </c>
      <c r="AS51" s="50">
        <f>IF(Table1[[#This Row],[Control Panel Spun Time]]&gt;0,1,0)</f>
        <v>0</v>
      </c>
      <c r="AT51" s="20">
        <f>IF(Table1[[#This Row],[Control Panel Color Time]]&gt;0,1,0)</f>
        <v>0</v>
      </c>
    </row>
    <row r="52" spans="1:46" x14ac:dyDescent="0.25">
      <c r="A52">
        <v>348</v>
      </c>
      <c r="B52">
        <v>1</v>
      </c>
      <c r="C52">
        <v>0</v>
      </c>
      <c r="D52">
        <v>0</v>
      </c>
      <c r="E52">
        <v>0</v>
      </c>
      <c r="F52">
        <v>0</v>
      </c>
      <c r="G52">
        <v>0</v>
      </c>
      <c r="H52">
        <v>1</v>
      </c>
      <c r="I52" s="8">
        <f>+Table1[[#This Row],[Auton ball picked up in our trench]]+Table1[[#This Row],[Auton Balls Picked Up in Mid]]+Table1[[#This Row],[Auton Balls Picked Up In Their Trench]]</f>
        <v>0</v>
      </c>
      <c r="J52" s="8">
        <f>+Table1[[#This Row],[Auton Scored High]]+Table1[[#This Row],[Auton Scored Low]]</f>
        <v>0</v>
      </c>
      <c r="K5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52">
        <v>0</v>
      </c>
      <c r="M52">
        <v>0</v>
      </c>
      <c r="N52">
        <v>0</v>
      </c>
      <c r="O52">
        <v>3</v>
      </c>
      <c r="P52">
        <v>0</v>
      </c>
      <c r="Q52">
        <v>0</v>
      </c>
      <c r="R52">
        <v>0</v>
      </c>
      <c r="S52">
        <v>0</v>
      </c>
      <c r="T52">
        <v>0</v>
      </c>
      <c r="U52">
        <v>0</v>
      </c>
      <c r="V52" s="8">
        <f>Table1[[#This Row],[Balls Scored From Trench]]+Table1[[#This Row],[Balls Scored from Mid]]+Table1[[#This Row],[Balls Scored From Alliance zone]]</f>
        <v>0</v>
      </c>
      <c r="W52" s="8">
        <f>Table1[[#This Row],[balls scored high]]+Table1[[#This Row],[balls scored low]]</f>
        <v>3</v>
      </c>
      <c r="X52" s="8">
        <f>Table1[[#This Row],[Control Panel Spun Time]]+Table1[[#This Row],[Control Panel Color Time]]</f>
        <v>0</v>
      </c>
      <c r="Y52" s="8">
        <f>Table1[[#This Row],[Control Panels Spun]]+Table1[[#This Row],[Control Panel Color]]</f>
        <v>0</v>
      </c>
      <c r="Z5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3</v>
      </c>
      <c r="AA52">
        <v>0</v>
      </c>
      <c r="AB52">
        <v>0</v>
      </c>
      <c r="AC52">
        <v>0</v>
      </c>
      <c r="AD52">
        <v>0</v>
      </c>
      <c r="AE52">
        <v>0</v>
      </c>
      <c r="AF52">
        <v>0</v>
      </c>
      <c r="AG52">
        <v>0</v>
      </c>
      <c r="AI52" t="s">
        <v>173</v>
      </c>
      <c r="AK52" s="17">
        <f>(Table1[[#This Row],[Climbed]]*weighting!$B$18)+(Table1[[#This Row],[Adjustable Climber]]*weighting!$B$19)+(Table1[[#This Row],[Lift other Robot]]*weighting!$B$20)+(Table1[[#This Row],[Balanced]]*weighting!$B$21)</f>
        <v>0</v>
      </c>
      <c r="AL52" s="8">
        <f>+Table1[[#This Row],[Endgame our score]]+Table1[[#This Row],[teleop our score]]+Table1[[#This Row],[auton our score]]</f>
        <v>4</v>
      </c>
      <c r="AM52" s="20">
        <f t="shared" si="0"/>
        <v>1</v>
      </c>
      <c r="AN52" s="20">
        <f t="shared" si="1"/>
        <v>0</v>
      </c>
      <c r="AO52" s="20">
        <f t="shared" si="2"/>
        <v>0</v>
      </c>
      <c r="AP52" s="20">
        <f>Table1[[#This Row],[balls scored]]+Table1[[#This Row],[auton balls scored]]</f>
        <v>3</v>
      </c>
      <c r="AQ52" s="20">
        <f>Table1[[#This Row],[balls scored high]]+Table1[[#This Row],[Auton Scored High]]</f>
        <v>0</v>
      </c>
      <c r="AR52" s="20">
        <f>Table1[[#This Row],[balls scored low]]+Table1[[#This Row],[Auton Scored Low]]</f>
        <v>3</v>
      </c>
      <c r="AS52" s="50">
        <f>IF(Table1[[#This Row],[Control Panel Spun Time]]&gt;0,1,0)</f>
        <v>0</v>
      </c>
      <c r="AT52" s="20">
        <f>IF(Table1[[#This Row],[Control Panel Color Time]]&gt;0,1,0)</f>
        <v>0</v>
      </c>
    </row>
    <row r="53" spans="1:46" s="2" customFormat="1" x14ac:dyDescent="0.25">
      <c r="A53">
        <v>348</v>
      </c>
      <c r="B53">
        <v>1</v>
      </c>
      <c r="C53">
        <v>0</v>
      </c>
      <c r="D53">
        <v>0</v>
      </c>
      <c r="E53">
        <v>0</v>
      </c>
      <c r="F53">
        <v>0</v>
      </c>
      <c r="G53">
        <v>0</v>
      </c>
      <c r="H53">
        <v>1</v>
      </c>
      <c r="I53" s="8">
        <f>+Table1[[#This Row],[Auton ball picked up in our trench]]+Table1[[#This Row],[Auton Balls Picked Up in Mid]]+Table1[[#This Row],[Auton Balls Picked Up In Their Trench]]</f>
        <v>0</v>
      </c>
      <c r="J53" s="8">
        <f>+Table1[[#This Row],[Auton Scored High]]+Table1[[#This Row],[Auton Scored Low]]</f>
        <v>0</v>
      </c>
      <c r="K5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53">
        <v>0</v>
      </c>
      <c r="M53">
        <v>0</v>
      </c>
      <c r="N53">
        <v>0</v>
      </c>
      <c r="O53">
        <v>1</v>
      </c>
      <c r="P53">
        <v>0</v>
      </c>
      <c r="Q53">
        <v>0</v>
      </c>
      <c r="R53">
        <v>0</v>
      </c>
      <c r="S53">
        <v>0</v>
      </c>
      <c r="T53">
        <v>0</v>
      </c>
      <c r="U53">
        <v>0</v>
      </c>
      <c r="V53" s="8">
        <f>Table1[[#This Row],[Balls Scored From Trench]]+Table1[[#This Row],[Balls Scored from Mid]]+Table1[[#This Row],[Balls Scored From Alliance zone]]</f>
        <v>0</v>
      </c>
      <c r="W53" s="8">
        <f>Table1[[#This Row],[balls scored high]]+Table1[[#This Row],[balls scored low]]</f>
        <v>1</v>
      </c>
      <c r="X53" s="8">
        <f>Table1[[#This Row],[Control Panel Spun Time]]+Table1[[#This Row],[Control Panel Color Time]]</f>
        <v>0</v>
      </c>
      <c r="Y53" s="8">
        <f>Table1[[#This Row],[Control Panels Spun]]+Table1[[#This Row],[Control Panel Color]]</f>
        <v>0</v>
      </c>
      <c r="Z5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v>
      </c>
      <c r="AA53">
        <v>0</v>
      </c>
      <c r="AB53">
        <v>0</v>
      </c>
      <c r="AC53">
        <v>0</v>
      </c>
      <c r="AD53">
        <v>0</v>
      </c>
      <c r="AE53">
        <v>0</v>
      </c>
      <c r="AF53">
        <v>0</v>
      </c>
      <c r="AG53">
        <v>0</v>
      </c>
      <c r="AH53"/>
      <c r="AI53" t="s">
        <v>179</v>
      </c>
      <c r="AJ53" t="s">
        <v>213</v>
      </c>
      <c r="AK53" s="17">
        <f>(Table1[[#This Row],[Climbed]]*weighting!$B$18)+(Table1[[#This Row],[Adjustable Climber]]*weighting!$B$19)+(Table1[[#This Row],[Lift other Robot]]*weighting!$B$20)+(Table1[[#This Row],[Balanced]]*weighting!$B$21)</f>
        <v>0</v>
      </c>
      <c r="AL53" s="8">
        <f>+Table1[[#This Row],[Endgame our score]]+Table1[[#This Row],[teleop our score]]+Table1[[#This Row],[auton our score]]</f>
        <v>2</v>
      </c>
      <c r="AM53" s="20">
        <f t="shared" si="0"/>
        <v>1</v>
      </c>
      <c r="AN53" s="20">
        <f t="shared" si="1"/>
        <v>0</v>
      </c>
      <c r="AO53" s="20">
        <f t="shared" si="2"/>
        <v>0</v>
      </c>
      <c r="AP53" s="20">
        <f>Table1[[#This Row],[balls scored]]+Table1[[#This Row],[auton balls scored]]</f>
        <v>1</v>
      </c>
      <c r="AQ53" s="20">
        <f>Table1[[#This Row],[balls scored high]]+Table1[[#This Row],[Auton Scored High]]</f>
        <v>0</v>
      </c>
      <c r="AR53" s="20">
        <f>Table1[[#This Row],[balls scored low]]+Table1[[#This Row],[Auton Scored Low]]</f>
        <v>1</v>
      </c>
      <c r="AS53" s="50">
        <f>IF(Table1[[#This Row],[Control Panel Spun Time]]&gt;0,1,0)</f>
        <v>0</v>
      </c>
      <c r="AT53" s="20">
        <f>IF(Table1[[#This Row],[Control Panel Color Time]]&gt;0,1,0)</f>
        <v>0</v>
      </c>
    </row>
    <row r="54" spans="1:46" x14ac:dyDescent="0.25">
      <c r="A54">
        <v>348</v>
      </c>
      <c r="B54">
        <v>1</v>
      </c>
      <c r="C54">
        <v>0</v>
      </c>
      <c r="D54">
        <v>0</v>
      </c>
      <c r="E54">
        <v>0</v>
      </c>
      <c r="F54">
        <v>0</v>
      </c>
      <c r="G54">
        <v>0</v>
      </c>
      <c r="H54">
        <v>1</v>
      </c>
      <c r="I54" s="8">
        <f>+Table1[[#This Row],[Auton ball picked up in our trench]]+Table1[[#This Row],[Auton Balls Picked Up in Mid]]+Table1[[#This Row],[Auton Balls Picked Up In Their Trench]]</f>
        <v>0</v>
      </c>
      <c r="J54" s="8">
        <f>+Table1[[#This Row],[Auton Scored High]]+Table1[[#This Row],[Auton Scored Low]]</f>
        <v>0</v>
      </c>
      <c r="K5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54">
        <v>0</v>
      </c>
      <c r="M54">
        <v>0</v>
      </c>
      <c r="N54">
        <v>0</v>
      </c>
      <c r="O54">
        <v>2</v>
      </c>
      <c r="P54">
        <v>0</v>
      </c>
      <c r="Q54">
        <v>0</v>
      </c>
      <c r="R54">
        <v>0</v>
      </c>
      <c r="S54">
        <v>0</v>
      </c>
      <c r="T54">
        <v>0</v>
      </c>
      <c r="U54">
        <v>0</v>
      </c>
      <c r="V54" s="8">
        <f>Table1[[#This Row],[Balls Scored From Trench]]+Table1[[#This Row],[Balls Scored from Mid]]+Table1[[#This Row],[Balls Scored From Alliance zone]]</f>
        <v>0</v>
      </c>
      <c r="W54" s="8">
        <f>Table1[[#This Row],[balls scored high]]+Table1[[#This Row],[balls scored low]]</f>
        <v>2</v>
      </c>
      <c r="X54" s="8">
        <f>Table1[[#This Row],[Control Panel Spun Time]]+Table1[[#This Row],[Control Panel Color Time]]</f>
        <v>0</v>
      </c>
      <c r="Y54" s="8">
        <f>Table1[[#This Row],[Control Panels Spun]]+Table1[[#This Row],[Control Panel Color]]</f>
        <v>0</v>
      </c>
      <c r="Z5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2</v>
      </c>
      <c r="AA54">
        <v>0</v>
      </c>
      <c r="AB54">
        <v>0</v>
      </c>
      <c r="AC54">
        <v>0</v>
      </c>
      <c r="AD54">
        <v>0</v>
      </c>
      <c r="AE54">
        <v>0</v>
      </c>
      <c r="AF54">
        <v>0</v>
      </c>
      <c r="AG54">
        <v>0</v>
      </c>
      <c r="AI54" t="s">
        <v>43</v>
      </c>
      <c r="AK54" s="17">
        <f>(Table1[[#This Row],[Climbed]]*weighting!$B$18)+(Table1[[#This Row],[Adjustable Climber]]*weighting!$B$19)+(Table1[[#This Row],[Lift other Robot]]*weighting!$B$20)+(Table1[[#This Row],[Balanced]]*weighting!$B$21)</f>
        <v>0</v>
      </c>
      <c r="AL54" s="8">
        <f>+Table1[[#This Row],[Endgame our score]]+Table1[[#This Row],[teleop our score]]+Table1[[#This Row],[auton our score]]</f>
        <v>3</v>
      </c>
      <c r="AM54" s="20">
        <f t="shared" si="0"/>
        <v>1</v>
      </c>
      <c r="AN54" s="20">
        <f t="shared" si="1"/>
        <v>0</v>
      </c>
      <c r="AO54" s="20">
        <f t="shared" si="2"/>
        <v>0</v>
      </c>
      <c r="AP54" s="20">
        <f>Table1[[#This Row],[balls scored]]+Table1[[#This Row],[auton balls scored]]</f>
        <v>2</v>
      </c>
      <c r="AQ54" s="20">
        <f>Table1[[#This Row],[balls scored high]]+Table1[[#This Row],[Auton Scored High]]</f>
        <v>0</v>
      </c>
      <c r="AR54" s="20">
        <f>Table1[[#This Row],[balls scored low]]+Table1[[#This Row],[Auton Scored Low]]</f>
        <v>2</v>
      </c>
      <c r="AS54" s="50">
        <f>IF(Table1[[#This Row],[Control Panel Spun Time]]&gt;0,1,0)</f>
        <v>0</v>
      </c>
      <c r="AT54" s="20">
        <f>IF(Table1[[#This Row],[Control Panel Color Time]]&gt;0,1,0)</f>
        <v>0</v>
      </c>
    </row>
    <row r="55" spans="1:46" s="2" customFormat="1" x14ac:dyDescent="0.25">
      <c r="A55">
        <v>348</v>
      </c>
      <c r="B55">
        <v>1</v>
      </c>
      <c r="C55">
        <v>0</v>
      </c>
      <c r="D55">
        <v>0</v>
      </c>
      <c r="E55">
        <v>0</v>
      </c>
      <c r="F55">
        <v>0</v>
      </c>
      <c r="G55">
        <v>0</v>
      </c>
      <c r="H55">
        <v>1</v>
      </c>
      <c r="I55" s="8">
        <f>+Table1[[#This Row],[Auton ball picked up in our trench]]+Table1[[#This Row],[Auton Balls Picked Up in Mid]]+Table1[[#This Row],[Auton Balls Picked Up In Their Trench]]</f>
        <v>0</v>
      </c>
      <c r="J55" s="8">
        <f>+Table1[[#This Row],[Auton Scored High]]+Table1[[#This Row],[Auton Scored Low]]</f>
        <v>0</v>
      </c>
      <c r="K5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55">
        <v>0</v>
      </c>
      <c r="M55">
        <v>0</v>
      </c>
      <c r="N55">
        <v>0</v>
      </c>
      <c r="O55">
        <v>3</v>
      </c>
      <c r="P55">
        <v>0</v>
      </c>
      <c r="Q55">
        <v>0</v>
      </c>
      <c r="R55">
        <v>0</v>
      </c>
      <c r="S55">
        <v>0</v>
      </c>
      <c r="T55">
        <v>0</v>
      </c>
      <c r="U55">
        <v>0</v>
      </c>
      <c r="V55" s="8">
        <f>Table1[[#This Row],[Balls Scored From Trench]]+Table1[[#This Row],[Balls Scored from Mid]]+Table1[[#This Row],[Balls Scored From Alliance zone]]</f>
        <v>0</v>
      </c>
      <c r="W55" s="8">
        <f>Table1[[#This Row],[balls scored high]]+Table1[[#This Row],[balls scored low]]</f>
        <v>3</v>
      </c>
      <c r="X55" s="8">
        <f>Table1[[#This Row],[Control Panel Spun Time]]+Table1[[#This Row],[Control Panel Color Time]]</f>
        <v>0</v>
      </c>
      <c r="Y55" s="8">
        <f>Table1[[#This Row],[Control Panels Spun]]+Table1[[#This Row],[Control Panel Color]]</f>
        <v>0</v>
      </c>
      <c r="Z5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3</v>
      </c>
      <c r="AA55">
        <v>0</v>
      </c>
      <c r="AB55">
        <v>0</v>
      </c>
      <c r="AC55">
        <v>0</v>
      </c>
      <c r="AD55">
        <v>0</v>
      </c>
      <c r="AE55">
        <v>0</v>
      </c>
      <c r="AF55">
        <v>0</v>
      </c>
      <c r="AG55">
        <v>0</v>
      </c>
      <c r="AH55"/>
      <c r="AI55" t="s">
        <v>176</v>
      </c>
      <c r="AJ55"/>
      <c r="AK55" s="17">
        <f>(Table1[[#This Row],[Climbed]]*weighting!$B$18)+(Table1[[#This Row],[Adjustable Climber]]*weighting!$B$19)+(Table1[[#This Row],[Lift other Robot]]*weighting!$B$20)+(Table1[[#This Row],[Balanced]]*weighting!$B$21)</f>
        <v>0</v>
      </c>
      <c r="AL55" s="8">
        <f>+Table1[[#This Row],[Endgame our score]]+Table1[[#This Row],[teleop our score]]+Table1[[#This Row],[auton our score]]</f>
        <v>4</v>
      </c>
      <c r="AM55" s="20">
        <f t="shared" si="0"/>
        <v>1</v>
      </c>
      <c r="AN55" s="20">
        <f t="shared" si="1"/>
        <v>0</v>
      </c>
      <c r="AO55" s="20">
        <f t="shared" si="2"/>
        <v>0</v>
      </c>
      <c r="AP55" s="20">
        <f>Table1[[#This Row],[balls scored]]+Table1[[#This Row],[auton balls scored]]</f>
        <v>3</v>
      </c>
      <c r="AQ55" s="20">
        <f>Table1[[#This Row],[balls scored high]]+Table1[[#This Row],[Auton Scored High]]</f>
        <v>0</v>
      </c>
      <c r="AR55" s="20">
        <f>Table1[[#This Row],[balls scored low]]+Table1[[#This Row],[Auton Scored Low]]</f>
        <v>3</v>
      </c>
      <c r="AS55" s="50">
        <f>IF(Table1[[#This Row],[Control Panel Spun Time]]&gt;0,1,0)</f>
        <v>0</v>
      </c>
      <c r="AT55" s="20">
        <f>IF(Table1[[#This Row],[Control Panel Color Time]]&gt;0,1,0)</f>
        <v>0</v>
      </c>
    </row>
    <row r="56" spans="1:46" x14ac:dyDescent="0.25">
      <c r="A56">
        <v>348</v>
      </c>
      <c r="B56">
        <v>1</v>
      </c>
      <c r="C56">
        <v>0</v>
      </c>
      <c r="D56">
        <v>0</v>
      </c>
      <c r="E56">
        <v>0</v>
      </c>
      <c r="F56">
        <v>0</v>
      </c>
      <c r="G56">
        <v>0</v>
      </c>
      <c r="H56">
        <v>1</v>
      </c>
      <c r="I56" s="8">
        <f>+Table1[[#This Row],[Auton ball picked up in our trench]]+Table1[[#This Row],[Auton Balls Picked Up in Mid]]+Table1[[#This Row],[Auton Balls Picked Up In Their Trench]]</f>
        <v>0</v>
      </c>
      <c r="J56" s="8">
        <f>+Table1[[#This Row],[Auton Scored High]]+Table1[[#This Row],[Auton Scored Low]]</f>
        <v>0</v>
      </c>
      <c r="K5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56">
        <v>0</v>
      </c>
      <c r="M56">
        <v>0</v>
      </c>
      <c r="N56">
        <v>0</v>
      </c>
      <c r="O56">
        <v>1</v>
      </c>
      <c r="P56">
        <v>0</v>
      </c>
      <c r="Q56">
        <v>0</v>
      </c>
      <c r="R56">
        <v>0</v>
      </c>
      <c r="S56">
        <v>0</v>
      </c>
      <c r="T56">
        <v>0</v>
      </c>
      <c r="U56">
        <v>1</v>
      </c>
      <c r="V56" s="8">
        <f>Table1[[#This Row],[Balls Scored From Trench]]+Table1[[#This Row],[Balls Scored from Mid]]+Table1[[#This Row],[Balls Scored From Alliance zone]]</f>
        <v>0</v>
      </c>
      <c r="W56" s="8">
        <f>Table1[[#This Row],[balls scored high]]+Table1[[#This Row],[balls scored low]]</f>
        <v>1</v>
      </c>
      <c r="X56" s="8">
        <f>Table1[[#This Row],[Control Panel Spun Time]]+Table1[[#This Row],[Control Panel Color Time]]</f>
        <v>0</v>
      </c>
      <c r="Y56" s="8">
        <f>Table1[[#This Row],[Control Panels Spun]]+Table1[[#This Row],[Control Panel Color]]</f>
        <v>0</v>
      </c>
      <c r="Z5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3</v>
      </c>
      <c r="AA56">
        <v>1</v>
      </c>
      <c r="AB56">
        <v>0</v>
      </c>
      <c r="AC56">
        <v>0</v>
      </c>
      <c r="AD56">
        <v>0</v>
      </c>
      <c r="AE56">
        <v>0</v>
      </c>
      <c r="AF56">
        <v>0</v>
      </c>
      <c r="AG56">
        <v>0</v>
      </c>
      <c r="AI56" t="s">
        <v>176</v>
      </c>
      <c r="AJ56" t="s">
        <v>241</v>
      </c>
      <c r="AK56" s="17">
        <f>(Table1[[#This Row],[Climbed]]*weighting!$B$18)+(Table1[[#This Row],[Adjustable Climber]]*weighting!$B$19)+(Table1[[#This Row],[Lift other Robot]]*weighting!$B$20)+(Table1[[#This Row],[Balanced]]*weighting!$B$21)</f>
        <v>25</v>
      </c>
      <c r="AL56" s="8">
        <f>+Table1[[#This Row],[Endgame our score]]+Table1[[#This Row],[teleop our score]]+Table1[[#This Row],[auton our score]]</f>
        <v>29</v>
      </c>
      <c r="AM56" s="20">
        <f t="shared" si="0"/>
        <v>1</v>
      </c>
      <c r="AN56" s="20">
        <f t="shared" si="1"/>
        <v>0</v>
      </c>
      <c r="AO56" s="20">
        <f t="shared" si="2"/>
        <v>0</v>
      </c>
      <c r="AP56" s="20">
        <f>Table1[[#This Row],[balls scored]]+Table1[[#This Row],[auton balls scored]]</f>
        <v>1</v>
      </c>
      <c r="AQ56" s="20">
        <f>Table1[[#This Row],[balls scored high]]+Table1[[#This Row],[Auton Scored High]]</f>
        <v>0</v>
      </c>
      <c r="AR56" s="20">
        <f>Table1[[#This Row],[balls scored low]]+Table1[[#This Row],[Auton Scored Low]]</f>
        <v>1</v>
      </c>
      <c r="AS56" s="50">
        <f>IF(Table1[[#This Row],[Control Panel Spun Time]]&gt;0,1,0)</f>
        <v>0</v>
      </c>
      <c r="AT56" s="20">
        <f>IF(Table1[[#This Row],[Control Panel Color Time]]&gt;0,1,0)</f>
        <v>0</v>
      </c>
    </row>
    <row r="57" spans="1:46" s="2" customFormat="1" x14ac:dyDescent="0.25">
      <c r="A57">
        <v>348</v>
      </c>
      <c r="B57">
        <v>1</v>
      </c>
      <c r="C57">
        <v>0</v>
      </c>
      <c r="D57">
        <v>0</v>
      </c>
      <c r="E57">
        <v>0</v>
      </c>
      <c r="F57">
        <v>0</v>
      </c>
      <c r="G57">
        <v>0</v>
      </c>
      <c r="H57">
        <v>1</v>
      </c>
      <c r="I57" s="8">
        <f>+Table1[[#This Row],[Auton ball picked up in our trench]]+Table1[[#This Row],[Auton Balls Picked Up in Mid]]+Table1[[#This Row],[Auton Balls Picked Up In Their Trench]]</f>
        <v>0</v>
      </c>
      <c r="J57" s="8">
        <f>+Table1[[#This Row],[Auton Scored High]]+Table1[[#This Row],[Auton Scored Low]]</f>
        <v>0</v>
      </c>
      <c r="K5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57">
        <v>0</v>
      </c>
      <c r="M57">
        <v>0</v>
      </c>
      <c r="N57">
        <v>0</v>
      </c>
      <c r="O57">
        <v>5</v>
      </c>
      <c r="P57">
        <v>0</v>
      </c>
      <c r="Q57">
        <v>0</v>
      </c>
      <c r="R57">
        <v>0</v>
      </c>
      <c r="S57">
        <v>0</v>
      </c>
      <c r="T57">
        <v>0</v>
      </c>
      <c r="U57">
        <v>0</v>
      </c>
      <c r="V57" s="8">
        <f>Table1[[#This Row],[Balls Scored From Trench]]+Table1[[#This Row],[Balls Scored from Mid]]+Table1[[#This Row],[Balls Scored From Alliance zone]]</f>
        <v>0</v>
      </c>
      <c r="W57" s="8">
        <f>Table1[[#This Row],[balls scored high]]+Table1[[#This Row],[balls scored low]]</f>
        <v>5</v>
      </c>
      <c r="X57" s="8">
        <f>Table1[[#This Row],[Control Panel Spun Time]]+Table1[[#This Row],[Control Panel Color Time]]</f>
        <v>0</v>
      </c>
      <c r="Y57" s="8">
        <f>Table1[[#This Row],[Control Panels Spun]]+Table1[[#This Row],[Control Panel Color]]</f>
        <v>0</v>
      </c>
      <c r="Z5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5</v>
      </c>
      <c r="AA57">
        <v>0</v>
      </c>
      <c r="AB57">
        <v>0</v>
      </c>
      <c r="AC57">
        <v>0</v>
      </c>
      <c r="AD57">
        <v>0</v>
      </c>
      <c r="AE57">
        <v>0</v>
      </c>
      <c r="AF57">
        <v>0</v>
      </c>
      <c r="AG57">
        <v>0</v>
      </c>
      <c r="AH57"/>
      <c r="AI57" t="s">
        <v>184</v>
      </c>
      <c r="AJ57" t="s">
        <v>277</v>
      </c>
      <c r="AK57" s="17">
        <f>(Table1[[#This Row],[Climbed]]*weighting!$B$18)+(Table1[[#This Row],[Adjustable Climber]]*weighting!$B$19)+(Table1[[#This Row],[Lift other Robot]]*weighting!$B$20)+(Table1[[#This Row],[Balanced]]*weighting!$B$21)</f>
        <v>0</v>
      </c>
      <c r="AL57" s="8">
        <f>+Table1[[#This Row],[Endgame our score]]+Table1[[#This Row],[teleop our score]]+Table1[[#This Row],[auton our score]]</f>
        <v>6</v>
      </c>
      <c r="AM57" s="20">
        <f t="shared" si="0"/>
        <v>1</v>
      </c>
      <c r="AN57" s="20">
        <f t="shared" si="1"/>
        <v>0</v>
      </c>
      <c r="AO57" s="20">
        <f t="shared" si="2"/>
        <v>0</v>
      </c>
      <c r="AP57" s="20">
        <f>Table1[[#This Row],[balls scored]]+Table1[[#This Row],[auton balls scored]]</f>
        <v>5</v>
      </c>
      <c r="AQ57" s="20">
        <f>Table1[[#This Row],[balls scored high]]+Table1[[#This Row],[Auton Scored High]]</f>
        <v>0</v>
      </c>
      <c r="AR57" s="20">
        <f>Table1[[#This Row],[balls scored low]]+Table1[[#This Row],[Auton Scored Low]]</f>
        <v>5</v>
      </c>
      <c r="AS57" s="50">
        <f>IF(Table1[[#This Row],[Control Panel Spun Time]]&gt;0,1,0)</f>
        <v>0</v>
      </c>
      <c r="AT57" s="20">
        <f>IF(Table1[[#This Row],[Control Panel Color Time]]&gt;0,1,0)</f>
        <v>0</v>
      </c>
    </row>
    <row r="58" spans="1:46" x14ac:dyDescent="0.25">
      <c r="A58">
        <v>348</v>
      </c>
      <c r="B58">
        <v>2</v>
      </c>
      <c r="C58">
        <v>0</v>
      </c>
      <c r="D58">
        <v>0</v>
      </c>
      <c r="E58">
        <v>0</v>
      </c>
      <c r="F58">
        <v>0</v>
      </c>
      <c r="G58">
        <v>0</v>
      </c>
      <c r="H58">
        <v>1</v>
      </c>
      <c r="I58" s="8">
        <f>+Table1[[#This Row],[Auton ball picked up in our trench]]+Table1[[#This Row],[Auton Balls Picked Up in Mid]]+Table1[[#This Row],[Auton Balls Picked Up In Their Trench]]</f>
        <v>0</v>
      </c>
      <c r="J58" s="8">
        <f>+Table1[[#This Row],[Auton Scored High]]+Table1[[#This Row],[Auton Scored Low]]</f>
        <v>0</v>
      </c>
      <c r="K5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58">
        <v>0</v>
      </c>
      <c r="M58">
        <v>0</v>
      </c>
      <c r="N58">
        <v>0</v>
      </c>
      <c r="O58">
        <v>0</v>
      </c>
      <c r="P58">
        <v>0</v>
      </c>
      <c r="Q58">
        <v>0</v>
      </c>
      <c r="R58">
        <v>0</v>
      </c>
      <c r="S58">
        <v>0</v>
      </c>
      <c r="T58">
        <v>0</v>
      </c>
      <c r="U58">
        <v>2.5</v>
      </c>
      <c r="V58" s="8">
        <f>Table1[[#This Row],[Balls Scored From Trench]]+Table1[[#This Row],[Balls Scored from Mid]]+Table1[[#This Row],[Balls Scored From Alliance zone]]</f>
        <v>0</v>
      </c>
      <c r="W58" s="8">
        <f>Table1[[#This Row],[balls scored high]]+Table1[[#This Row],[balls scored low]]</f>
        <v>0</v>
      </c>
      <c r="X58" s="8">
        <f>Table1[[#This Row],[Control Panel Spun Time]]+Table1[[#This Row],[Control Panel Color Time]]</f>
        <v>0</v>
      </c>
      <c r="Y58" s="8">
        <f>Table1[[#This Row],[Control Panels Spun]]+Table1[[#This Row],[Control Panel Color]]</f>
        <v>0</v>
      </c>
      <c r="Z5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5</v>
      </c>
      <c r="AA58">
        <v>0</v>
      </c>
      <c r="AB58">
        <v>0</v>
      </c>
      <c r="AC58">
        <v>0</v>
      </c>
      <c r="AD58">
        <v>0</v>
      </c>
      <c r="AE58">
        <v>0</v>
      </c>
      <c r="AF58">
        <v>0</v>
      </c>
      <c r="AG58">
        <v>0</v>
      </c>
      <c r="AI58" t="s">
        <v>184</v>
      </c>
      <c r="AJ58" t="s">
        <v>308</v>
      </c>
      <c r="AK58" s="17">
        <f>(Table1[[#This Row],[Climbed]]*weighting!$B$18)+(Table1[[#This Row],[Adjustable Climber]]*weighting!$B$19)+(Table1[[#This Row],[Lift other Robot]]*weighting!$B$20)+(Table1[[#This Row],[Balanced]]*weighting!$B$21)</f>
        <v>0</v>
      </c>
      <c r="AL58" s="8">
        <f>+Table1[[#This Row],[Endgame our score]]+Table1[[#This Row],[teleop our score]]+Table1[[#This Row],[auton our score]]</f>
        <v>6</v>
      </c>
      <c r="AM58" s="20">
        <f t="shared" si="0"/>
        <v>0</v>
      </c>
      <c r="AN58" s="20">
        <f t="shared" si="1"/>
        <v>1</v>
      </c>
      <c r="AO58" s="20">
        <f t="shared" si="2"/>
        <v>0</v>
      </c>
      <c r="AP58" s="20">
        <f>Table1[[#This Row],[balls scored]]+Table1[[#This Row],[auton balls scored]]</f>
        <v>0</v>
      </c>
      <c r="AQ58" s="20">
        <f>Table1[[#This Row],[balls scored high]]+Table1[[#This Row],[Auton Scored High]]</f>
        <v>0</v>
      </c>
      <c r="AR58" s="20">
        <f>Table1[[#This Row],[balls scored low]]+Table1[[#This Row],[Auton Scored Low]]</f>
        <v>0</v>
      </c>
      <c r="AS58" s="50">
        <f>IF(Table1[[#This Row],[Control Panel Spun Time]]&gt;0,1,0)</f>
        <v>0</v>
      </c>
      <c r="AT58" s="20">
        <f>IF(Table1[[#This Row],[Control Panel Color Time]]&gt;0,1,0)</f>
        <v>0</v>
      </c>
    </row>
    <row r="59" spans="1:46" s="2" customFormat="1" x14ac:dyDescent="0.25">
      <c r="A59">
        <v>1027</v>
      </c>
      <c r="B59">
        <v>1</v>
      </c>
      <c r="C59">
        <v>0</v>
      </c>
      <c r="D59">
        <v>0</v>
      </c>
      <c r="E59">
        <v>0</v>
      </c>
      <c r="F59">
        <v>0</v>
      </c>
      <c r="G59">
        <v>0</v>
      </c>
      <c r="H59">
        <v>1</v>
      </c>
      <c r="I59" s="8">
        <f>+Table1[[#This Row],[Auton ball picked up in our trench]]+Table1[[#This Row],[Auton Balls Picked Up in Mid]]+Table1[[#This Row],[Auton Balls Picked Up In Their Trench]]</f>
        <v>0</v>
      </c>
      <c r="J59" s="8">
        <f>+Table1[[#This Row],[Auton Scored High]]+Table1[[#This Row],[Auton Scored Low]]</f>
        <v>0</v>
      </c>
      <c r="K5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59">
        <v>0</v>
      </c>
      <c r="M59">
        <v>0</v>
      </c>
      <c r="N59">
        <v>2</v>
      </c>
      <c r="O59">
        <v>0</v>
      </c>
      <c r="P59">
        <v>0</v>
      </c>
      <c r="Q59">
        <v>0</v>
      </c>
      <c r="R59">
        <v>0</v>
      </c>
      <c r="S59">
        <v>0</v>
      </c>
      <c r="T59">
        <v>0</v>
      </c>
      <c r="U59">
        <v>0</v>
      </c>
      <c r="V59" s="8">
        <f>Table1[[#This Row],[Balls Scored From Trench]]+Table1[[#This Row],[Balls Scored from Mid]]+Table1[[#This Row],[Balls Scored From Alliance zone]]</f>
        <v>2</v>
      </c>
      <c r="W59" s="8">
        <f>Table1[[#This Row],[balls scored high]]+Table1[[#This Row],[balls scored low]]</f>
        <v>2</v>
      </c>
      <c r="X59" s="8">
        <f>Table1[[#This Row],[Control Panel Spun Time]]+Table1[[#This Row],[Control Panel Color Time]]</f>
        <v>0</v>
      </c>
      <c r="Y59" s="8">
        <f>Table1[[#This Row],[Control Panels Spun]]+Table1[[#This Row],[Control Panel Color]]</f>
        <v>0</v>
      </c>
      <c r="Z5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2</v>
      </c>
      <c r="AA59">
        <v>0</v>
      </c>
      <c r="AB59">
        <v>0</v>
      </c>
      <c r="AC59">
        <v>0</v>
      </c>
      <c r="AD59">
        <v>0</v>
      </c>
      <c r="AE59">
        <v>0</v>
      </c>
      <c r="AF59">
        <v>0</v>
      </c>
      <c r="AG59">
        <v>0</v>
      </c>
      <c r="AH59"/>
      <c r="AI59" t="s">
        <v>184</v>
      </c>
      <c r="AJ59" t="s">
        <v>227</v>
      </c>
      <c r="AK59" s="17">
        <f>(Table1[[#This Row],[Climbed]]*weighting!$B$18)+(Table1[[#This Row],[Adjustable Climber]]*weighting!$B$19)+(Table1[[#This Row],[Lift other Robot]]*weighting!$B$20)+(Table1[[#This Row],[Balanced]]*weighting!$B$21)</f>
        <v>0</v>
      </c>
      <c r="AL59" s="8">
        <f>+Table1[[#This Row],[Endgame our score]]+Table1[[#This Row],[teleop our score]]+Table1[[#This Row],[auton our score]]</f>
        <v>3</v>
      </c>
      <c r="AM59" s="20">
        <f t="shared" si="0"/>
        <v>1</v>
      </c>
      <c r="AN59" s="20">
        <f t="shared" si="1"/>
        <v>0</v>
      </c>
      <c r="AO59" s="20">
        <f t="shared" si="2"/>
        <v>0</v>
      </c>
      <c r="AP59" s="20">
        <f>Table1[[#This Row],[balls scored]]+Table1[[#This Row],[auton balls scored]]</f>
        <v>2</v>
      </c>
      <c r="AQ59" s="20">
        <f>Table1[[#This Row],[balls scored high]]+Table1[[#This Row],[Auton Scored High]]</f>
        <v>2</v>
      </c>
      <c r="AR59" s="20">
        <f>Table1[[#This Row],[balls scored low]]+Table1[[#This Row],[Auton Scored Low]]</f>
        <v>0</v>
      </c>
      <c r="AS59" s="50">
        <f>IF(Table1[[#This Row],[Control Panel Spun Time]]&gt;0,1,0)</f>
        <v>0</v>
      </c>
      <c r="AT59" s="20">
        <f>IF(Table1[[#This Row],[Control Panel Color Time]]&gt;0,1,0)</f>
        <v>0</v>
      </c>
    </row>
    <row r="60" spans="1:46" x14ac:dyDescent="0.25">
      <c r="A60">
        <v>1027</v>
      </c>
      <c r="B60">
        <v>1</v>
      </c>
      <c r="C60">
        <v>0</v>
      </c>
      <c r="D60">
        <v>0</v>
      </c>
      <c r="E60">
        <v>0</v>
      </c>
      <c r="F60">
        <v>0</v>
      </c>
      <c r="G60">
        <v>0</v>
      </c>
      <c r="H60">
        <v>1</v>
      </c>
      <c r="I60" s="8">
        <f>+Table1[[#This Row],[Auton ball picked up in our trench]]+Table1[[#This Row],[Auton Balls Picked Up in Mid]]+Table1[[#This Row],[Auton Balls Picked Up In Their Trench]]</f>
        <v>0</v>
      </c>
      <c r="J60" s="8">
        <f>+Table1[[#This Row],[Auton Scored High]]+Table1[[#This Row],[Auton Scored Low]]</f>
        <v>0</v>
      </c>
      <c r="K6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60">
        <v>0</v>
      </c>
      <c r="M60">
        <v>4</v>
      </c>
      <c r="N60">
        <v>0</v>
      </c>
      <c r="O60">
        <v>0</v>
      </c>
      <c r="P60">
        <v>0</v>
      </c>
      <c r="Q60">
        <v>0</v>
      </c>
      <c r="R60">
        <v>0</v>
      </c>
      <c r="S60">
        <v>0</v>
      </c>
      <c r="T60">
        <v>0</v>
      </c>
      <c r="U60">
        <v>0</v>
      </c>
      <c r="V60" s="8">
        <f>Table1[[#This Row],[Balls Scored From Trench]]+Table1[[#This Row],[Balls Scored from Mid]]+Table1[[#This Row],[Balls Scored From Alliance zone]]</f>
        <v>4</v>
      </c>
      <c r="W60" s="8">
        <f>Table1[[#This Row],[balls scored high]]+Table1[[#This Row],[balls scored low]]</f>
        <v>4</v>
      </c>
      <c r="X60" s="8">
        <f>Table1[[#This Row],[Control Panel Spun Time]]+Table1[[#This Row],[Control Panel Color Time]]</f>
        <v>0</v>
      </c>
      <c r="Y60" s="8">
        <f>Table1[[#This Row],[Control Panels Spun]]+Table1[[#This Row],[Control Panel Color]]</f>
        <v>0</v>
      </c>
      <c r="Z6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8</v>
      </c>
      <c r="AA60">
        <v>0</v>
      </c>
      <c r="AB60">
        <v>0</v>
      </c>
      <c r="AC60">
        <v>0</v>
      </c>
      <c r="AD60">
        <v>0</v>
      </c>
      <c r="AE60">
        <v>0</v>
      </c>
      <c r="AF60">
        <v>0</v>
      </c>
      <c r="AG60">
        <v>0</v>
      </c>
      <c r="AI60" t="s">
        <v>43</v>
      </c>
      <c r="AJ60" t="s">
        <v>242</v>
      </c>
      <c r="AK60" s="17">
        <f>(Table1[[#This Row],[Climbed]]*weighting!$B$18)+(Table1[[#This Row],[Adjustable Climber]]*weighting!$B$19)+(Table1[[#This Row],[Lift other Robot]]*weighting!$B$20)+(Table1[[#This Row],[Balanced]]*weighting!$B$21)</f>
        <v>0</v>
      </c>
      <c r="AL60" s="8">
        <f>+Table1[[#This Row],[Endgame our score]]+Table1[[#This Row],[teleop our score]]+Table1[[#This Row],[auton our score]]</f>
        <v>9</v>
      </c>
      <c r="AM60" s="20">
        <f t="shared" si="0"/>
        <v>1</v>
      </c>
      <c r="AN60" s="20">
        <f t="shared" si="1"/>
        <v>0</v>
      </c>
      <c r="AO60" s="20">
        <f t="shared" si="2"/>
        <v>0</v>
      </c>
      <c r="AP60" s="20">
        <f>Table1[[#This Row],[balls scored]]+Table1[[#This Row],[auton balls scored]]</f>
        <v>4</v>
      </c>
      <c r="AQ60" s="20">
        <f>Table1[[#This Row],[balls scored high]]+Table1[[#This Row],[Auton Scored High]]</f>
        <v>4</v>
      </c>
      <c r="AR60" s="20">
        <f>Table1[[#This Row],[balls scored low]]+Table1[[#This Row],[Auton Scored Low]]</f>
        <v>0</v>
      </c>
      <c r="AS60" s="50">
        <f>IF(Table1[[#This Row],[Control Panel Spun Time]]&gt;0,1,0)</f>
        <v>0</v>
      </c>
      <c r="AT60" s="20">
        <f>IF(Table1[[#This Row],[Control Panel Color Time]]&gt;0,1,0)</f>
        <v>0</v>
      </c>
    </row>
    <row r="61" spans="1:46" s="2" customFormat="1" x14ac:dyDescent="0.25">
      <c r="A61">
        <v>1027</v>
      </c>
      <c r="B61">
        <v>3</v>
      </c>
      <c r="C61">
        <v>3</v>
      </c>
      <c r="D61">
        <v>0</v>
      </c>
      <c r="E61">
        <v>0</v>
      </c>
      <c r="F61">
        <v>0</v>
      </c>
      <c r="G61">
        <v>0</v>
      </c>
      <c r="H61">
        <v>1</v>
      </c>
      <c r="I61" s="8">
        <f>+Table1[[#This Row],[Auton ball picked up in our trench]]+Table1[[#This Row],[Auton Balls Picked Up in Mid]]+Table1[[#This Row],[Auton Balls Picked Up In Their Trench]]</f>
        <v>0</v>
      </c>
      <c r="J61" s="8">
        <f>+Table1[[#This Row],[Auton Scored High]]+Table1[[#This Row],[Auton Scored Low]]</f>
        <v>3</v>
      </c>
      <c r="K6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61">
        <v>0</v>
      </c>
      <c r="M61">
        <v>2</v>
      </c>
      <c r="N61">
        <v>0</v>
      </c>
      <c r="O61">
        <v>0</v>
      </c>
      <c r="P61">
        <v>0</v>
      </c>
      <c r="Q61">
        <v>0</v>
      </c>
      <c r="R61">
        <v>0</v>
      </c>
      <c r="S61">
        <v>0</v>
      </c>
      <c r="T61">
        <v>0</v>
      </c>
      <c r="U61">
        <v>0</v>
      </c>
      <c r="V61" s="8">
        <f>Table1[[#This Row],[Balls Scored From Trench]]+Table1[[#This Row],[Balls Scored from Mid]]+Table1[[#This Row],[Balls Scored From Alliance zone]]</f>
        <v>2</v>
      </c>
      <c r="W61" s="8">
        <f>Table1[[#This Row],[balls scored high]]+Table1[[#This Row],[balls scored low]]</f>
        <v>2</v>
      </c>
      <c r="X61" s="8">
        <f>Table1[[#This Row],[Control Panel Spun Time]]+Table1[[#This Row],[Control Panel Color Time]]</f>
        <v>0</v>
      </c>
      <c r="Y61" s="8">
        <f>Table1[[#This Row],[Control Panels Spun]]+Table1[[#This Row],[Control Panel Color]]</f>
        <v>0</v>
      </c>
      <c r="Z6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4</v>
      </c>
      <c r="AA61">
        <v>0</v>
      </c>
      <c r="AB61">
        <v>0</v>
      </c>
      <c r="AC61">
        <v>0</v>
      </c>
      <c r="AD61">
        <v>0</v>
      </c>
      <c r="AE61">
        <v>0</v>
      </c>
      <c r="AF61">
        <v>0</v>
      </c>
      <c r="AG61">
        <v>0</v>
      </c>
      <c r="AH61"/>
      <c r="AI61" t="s">
        <v>176</v>
      </c>
      <c r="AJ61"/>
      <c r="AK61" s="17">
        <f>(Table1[[#This Row],[Climbed]]*weighting!$B$18)+(Table1[[#This Row],[Adjustable Climber]]*weighting!$B$19)+(Table1[[#This Row],[Lift other Robot]]*weighting!$B$20)+(Table1[[#This Row],[Balanced]]*weighting!$B$21)</f>
        <v>0</v>
      </c>
      <c r="AL61" s="8">
        <f>+Table1[[#This Row],[Endgame our score]]+Table1[[#This Row],[teleop our score]]+Table1[[#This Row],[auton our score]]</f>
        <v>14</v>
      </c>
      <c r="AM61" s="20">
        <f t="shared" si="0"/>
        <v>0</v>
      </c>
      <c r="AN61" s="20">
        <f t="shared" si="1"/>
        <v>0</v>
      </c>
      <c r="AO61" s="20">
        <f t="shared" si="2"/>
        <v>1</v>
      </c>
      <c r="AP61" s="20">
        <f>Table1[[#This Row],[balls scored]]+Table1[[#This Row],[auton balls scored]]</f>
        <v>5</v>
      </c>
      <c r="AQ61" s="20">
        <f>Table1[[#This Row],[balls scored high]]+Table1[[#This Row],[Auton Scored High]]</f>
        <v>5</v>
      </c>
      <c r="AR61" s="20">
        <f>Table1[[#This Row],[balls scored low]]+Table1[[#This Row],[Auton Scored Low]]</f>
        <v>0</v>
      </c>
      <c r="AS61" s="50">
        <f>IF(Table1[[#This Row],[Control Panel Spun Time]]&gt;0,1,0)</f>
        <v>0</v>
      </c>
      <c r="AT61" s="20">
        <f>IF(Table1[[#This Row],[Control Panel Color Time]]&gt;0,1,0)</f>
        <v>0</v>
      </c>
    </row>
    <row r="62" spans="1:46" x14ac:dyDescent="0.25">
      <c r="A62">
        <v>1027</v>
      </c>
      <c r="B62">
        <v>2</v>
      </c>
      <c r="C62">
        <v>0</v>
      </c>
      <c r="D62">
        <v>0</v>
      </c>
      <c r="E62">
        <v>0</v>
      </c>
      <c r="F62">
        <v>0</v>
      </c>
      <c r="G62">
        <v>0</v>
      </c>
      <c r="H62">
        <v>0</v>
      </c>
      <c r="I62" s="8">
        <f>+Table1[[#This Row],[Auton ball picked up in our trench]]+Table1[[#This Row],[Auton Balls Picked Up in Mid]]+Table1[[#This Row],[Auton Balls Picked Up In Their Trench]]</f>
        <v>0</v>
      </c>
      <c r="J62" s="8">
        <f>+Table1[[#This Row],[Auton Scored High]]+Table1[[#This Row],[Auton Scored Low]]</f>
        <v>0</v>
      </c>
      <c r="K6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2">
        <v>0</v>
      </c>
      <c r="M62">
        <v>0</v>
      </c>
      <c r="N62">
        <v>0</v>
      </c>
      <c r="O62">
        <v>0</v>
      </c>
      <c r="P62">
        <v>0</v>
      </c>
      <c r="Q62">
        <v>0</v>
      </c>
      <c r="R62">
        <v>0</v>
      </c>
      <c r="S62">
        <v>0</v>
      </c>
      <c r="T62">
        <v>0</v>
      </c>
      <c r="U62">
        <v>0</v>
      </c>
      <c r="V62" s="8">
        <f>Table1[[#This Row],[Balls Scored From Trench]]+Table1[[#This Row],[Balls Scored from Mid]]+Table1[[#This Row],[Balls Scored From Alliance zone]]</f>
        <v>0</v>
      </c>
      <c r="W62" s="8">
        <f>Table1[[#This Row],[balls scored high]]+Table1[[#This Row],[balls scored low]]</f>
        <v>0</v>
      </c>
      <c r="X62" s="8">
        <f>Table1[[#This Row],[Control Panel Spun Time]]+Table1[[#This Row],[Control Panel Color Time]]</f>
        <v>0</v>
      </c>
      <c r="Y62" s="8">
        <f>Table1[[#This Row],[Control Panels Spun]]+Table1[[#This Row],[Control Panel Color]]</f>
        <v>0</v>
      </c>
      <c r="Z6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2">
        <v>0</v>
      </c>
      <c r="AB62">
        <v>0</v>
      </c>
      <c r="AC62">
        <v>0</v>
      </c>
      <c r="AD62">
        <v>0</v>
      </c>
      <c r="AE62">
        <v>0</v>
      </c>
      <c r="AF62">
        <v>0</v>
      </c>
      <c r="AG62">
        <v>0</v>
      </c>
      <c r="AI62" t="s">
        <v>179</v>
      </c>
      <c r="AJ62" t="s">
        <v>199</v>
      </c>
      <c r="AK62" s="17">
        <f>(Table1[[#This Row],[Climbed]]*weighting!$B$18)+(Table1[[#This Row],[Adjustable Climber]]*weighting!$B$19)+(Table1[[#This Row],[Lift other Robot]]*weighting!$B$20)+(Table1[[#This Row],[Balanced]]*weighting!$B$21)</f>
        <v>0</v>
      </c>
      <c r="AL62" s="8">
        <f>+Table1[[#This Row],[Endgame our score]]+Table1[[#This Row],[teleop our score]]+Table1[[#This Row],[auton our score]]</f>
        <v>0</v>
      </c>
      <c r="AM62" s="20">
        <f t="shared" si="0"/>
        <v>0</v>
      </c>
      <c r="AN62" s="20">
        <f t="shared" si="1"/>
        <v>1</v>
      </c>
      <c r="AO62" s="20">
        <f t="shared" si="2"/>
        <v>0</v>
      </c>
      <c r="AP62" s="20">
        <f>Table1[[#This Row],[balls scored]]+Table1[[#This Row],[auton balls scored]]</f>
        <v>0</v>
      </c>
      <c r="AQ62" s="20">
        <f>Table1[[#This Row],[balls scored high]]+Table1[[#This Row],[Auton Scored High]]</f>
        <v>0</v>
      </c>
      <c r="AR62" s="20">
        <f>Table1[[#This Row],[balls scored low]]+Table1[[#This Row],[Auton Scored Low]]</f>
        <v>0</v>
      </c>
      <c r="AS62" s="50">
        <f>IF(Table1[[#This Row],[Control Panel Spun Time]]&gt;0,1,0)</f>
        <v>0</v>
      </c>
      <c r="AT62" s="20">
        <f>IF(Table1[[#This Row],[Control Panel Color Time]]&gt;0,1,0)</f>
        <v>0</v>
      </c>
    </row>
    <row r="63" spans="1:46" s="2" customFormat="1" ht="60" x14ac:dyDescent="0.25">
      <c r="A63">
        <v>1100</v>
      </c>
      <c r="B63">
        <v>2</v>
      </c>
      <c r="C63">
        <v>3</v>
      </c>
      <c r="D63">
        <v>0</v>
      </c>
      <c r="E63">
        <v>0</v>
      </c>
      <c r="F63">
        <v>0</v>
      </c>
      <c r="G63">
        <v>0</v>
      </c>
      <c r="H63">
        <v>0</v>
      </c>
      <c r="I63" s="8">
        <f>+Table1[[#This Row],[Auton ball picked up in our trench]]+Table1[[#This Row],[Auton Balls Picked Up in Mid]]+Table1[[#This Row],[Auton Balls Picked Up In Their Trench]]</f>
        <v>0</v>
      </c>
      <c r="J63" s="8">
        <f>+Table1[[#This Row],[Auton Scored High]]+Table1[[#This Row],[Auton Scored Low]]</f>
        <v>3</v>
      </c>
      <c r="K6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9</v>
      </c>
      <c r="L63">
        <v>0</v>
      </c>
      <c r="M63">
        <v>0</v>
      </c>
      <c r="N63">
        <v>0</v>
      </c>
      <c r="O63">
        <v>0</v>
      </c>
      <c r="P63">
        <v>0</v>
      </c>
      <c r="Q63">
        <v>0</v>
      </c>
      <c r="R63">
        <v>0</v>
      </c>
      <c r="S63">
        <v>0</v>
      </c>
      <c r="T63">
        <v>0</v>
      </c>
      <c r="U63">
        <v>1</v>
      </c>
      <c r="V63" s="8">
        <f>Table1[[#This Row],[Balls Scored From Trench]]+Table1[[#This Row],[Balls Scored from Mid]]+Table1[[#This Row],[Balls Scored From Alliance zone]]</f>
        <v>0</v>
      </c>
      <c r="W63" s="8">
        <f>Table1[[#This Row],[balls scored high]]+Table1[[#This Row],[balls scored low]]</f>
        <v>0</v>
      </c>
      <c r="X63" s="8">
        <f>Table1[[#This Row],[Control Panel Spun Time]]+Table1[[#This Row],[Control Panel Color Time]]</f>
        <v>0</v>
      </c>
      <c r="Y63" s="8">
        <f>Table1[[#This Row],[Control Panels Spun]]+Table1[[#This Row],[Control Panel Color]]</f>
        <v>0</v>
      </c>
      <c r="Z6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2</v>
      </c>
      <c r="AA63">
        <v>0</v>
      </c>
      <c r="AB63">
        <v>0</v>
      </c>
      <c r="AC63">
        <v>0</v>
      </c>
      <c r="AD63">
        <v>0</v>
      </c>
      <c r="AE63">
        <v>0</v>
      </c>
      <c r="AF63">
        <v>0</v>
      </c>
      <c r="AG63">
        <v>0</v>
      </c>
      <c r="AH63"/>
      <c r="AI63" t="s">
        <v>179</v>
      </c>
      <c r="AJ63" s="5" t="s">
        <v>180</v>
      </c>
      <c r="AK63" s="17">
        <f>(Table1[[#This Row],[Climbed]]*weighting!$B$18)+(Table1[[#This Row],[Adjustable Climber]]*weighting!$B$19)+(Table1[[#This Row],[Lift other Robot]]*weighting!$B$20)+(Table1[[#This Row],[Balanced]]*weighting!$B$21)</f>
        <v>0</v>
      </c>
      <c r="AL63" s="8">
        <f>+Table1[[#This Row],[Endgame our score]]+Table1[[#This Row],[teleop our score]]+Table1[[#This Row],[auton our score]]</f>
        <v>11</v>
      </c>
      <c r="AM63" s="20">
        <f t="shared" si="0"/>
        <v>0</v>
      </c>
      <c r="AN63" s="20">
        <f t="shared" si="1"/>
        <v>1</v>
      </c>
      <c r="AO63" s="20">
        <f t="shared" si="2"/>
        <v>0</v>
      </c>
      <c r="AP63" s="20">
        <f>Table1[[#This Row],[balls scored]]+Table1[[#This Row],[auton balls scored]]</f>
        <v>3</v>
      </c>
      <c r="AQ63" s="20">
        <f>Table1[[#This Row],[balls scored high]]+Table1[[#This Row],[Auton Scored High]]</f>
        <v>3</v>
      </c>
      <c r="AR63" s="20">
        <f>Table1[[#This Row],[balls scored low]]+Table1[[#This Row],[Auton Scored Low]]</f>
        <v>0</v>
      </c>
      <c r="AS63" s="50">
        <f>IF(Table1[[#This Row],[Control Panel Spun Time]]&gt;0,1,0)</f>
        <v>0</v>
      </c>
      <c r="AT63" s="20">
        <f>IF(Table1[[#This Row],[Control Panel Color Time]]&gt;0,1,0)</f>
        <v>0</v>
      </c>
    </row>
    <row r="64" spans="1:46" x14ac:dyDescent="0.25">
      <c r="A64">
        <v>1100</v>
      </c>
      <c r="B64">
        <v>3</v>
      </c>
      <c r="C64">
        <v>0</v>
      </c>
      <c r="D64">
        <v>0</v>
      </c>
      <c r="E64">
        <v>0</v>
      </c>
      <c r="F64">
        <v>0</v>
      </c>
      <c r="G64">
        <v>0</v>
      </c>
      <c r="H64">
        <v>1</v>
      </c>
      <c r="I64" s="8">
        <f>+Table1[[#This Row],[Auton ball picked up in our trench]]+Table1[[#This Row],[Auton Balls Picked Up in Mid]]+Table1[[#This Row],[Auton Balls Picked Up In Their Trench]]</f>
        <v>0</v>
      </c>
      <c r="J64" s="8">
        <f>+Table1[[#This Row],[Auton Scored High]]+Table1[[#This Row],[Auton Scored Low]]</f>
        <v>0</v>
      </c>
      <c r="K6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64">
        <v>0</v>
      </c>
      <c r="M64">
        <v>0</v>
      </c>
      <c r="N64">
        <v>0</v>
      </c>
      <c r="O64">
        <v>0</v>
      </c>
      <c r="P64">
        <v>0</v>
      </c>
      <c r="Q64">
        <v>0</v>
      </c>
      <c r="R64">
        <v>0</v>
      </c>
      <c r="S64">
        <v>0</v>
      </c>
      <c r="T64">
        <v>0</v>
      </c>
      <c r="U64">
        <v>0</v>
      </c>
      <c r="V64" s="8">
        <f>Table1[[#This Row],[Balls Scored From Trench]]+Table1[[#This Row],[Balls Scored from Mid]]+Table1[[#This Row],[Balls Scored From Alliance zone]]</f>
        <v>0</v>
      </c>
      <c r="W64" s="8">
        <f>Table1[[#This Row],[balls scored high]]+Table1[[#This Row],[balls scored low]]</f>
        <v>0</v>
      </c>
      <c r="X64" s="8">
        <f>Table1[[#This Row],[Control Panel Spun Time]]+Table1[[#This Row],[Control Panel Color Time]]</f>
        <v>0</v>
      </c>
      <c r="Y64" s="8">
        <f>Table1[[#This Row],[Control Panels Spun]]+Table1[[#This Row],[Control Panel Color]]</f>
        <v>0</v>
      </c>
      <c r="Z6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4">
        <v>0</v>
      </c>
      <c r="AB64">
        <v>0</v>
      </c>
      <c r="AC64">
        <v>0</v>
      </c>
      <c r="AD64">
        <v>0</v>
      </c>
      <c r="AE64">
        <v>0</v>
      </c>
      <c r="AF64">
        <v>0</v>
      </c>
      <c r="AG64">
        <v>0</v>
      </c>
      <c r="AI64" t="s">
        <v>179</v>
      </c>
      <c r="AJ64" t="s">
        <v>228</v>
      </c>
      <c r="AK64" s="17">
        <f>(Table1[[#This Row],[Climbed]]*weighting!$B$18)+(Table1[[#This Row],[Adjustable Climber]]*weighting!$B$19)+(Table1[[#This Row],[Lift other Robot]]*weighting!$B$20)+(Table1[[#This Row],[Balanced]]*weighting!$B$21)</f>
        <v>0</v>
      </c>
      <c r="AL64" s="8">
        <f>+Table1[[#This Row],[Endgame our score]]+Table1[[#This Row],[teleop our score]]+Table1[[#This Row],[auton our score]]</f>
        <v>1</v>
      </c>
      <c r="AM64" s="20">
        <f t="shared" si="0"/>
        <v>0</v>
      </c>
      <c r="AN64" s="20">
        <f t="shared" si="1"/>
        <v>0</v>
      </c>
      <c r="AO64" s="20">
        <f t="shared" si="2"/>
        <v>1</v>
      </c>
      <c r="AP64" s="20">
        <f>Table1[[#This Row],[balls scored]]+Table1[[#This Row],[auton balls scored]]</f>
        <v>0</v>
      </c>
      <c r="AQ64" s="20">
        <f>Table1[[#This Row],[balls scored high]]+Table1[[#This Row],[Auton Scored High]]</f>
        <v>0</v>
      </c>
      <c r="AR64" s="20">
        <f>Table1[[#This Row],[balls scored low]]+Table1[[#This Row],[Auton Scored Low]]</f>
        <v>0</v>
      </c>
      <c r="AS64" s="50">
        <f>IF(Table1[[#This Row],[Control Panel Spun Time]]&gt;0,1,0)</f>
        <v>0</v>
      </c>
      <c r="AT64" s="20">
        <f>IF(Table1[[#This Row],[Control Panel Color Time]]&gt;0,1,0)</f>
        <v>0</v>
      </c>
    </row>
    <row r="65" spans="1:46" s="2" customFormat="1" x14ac:dyDescent="0.25">
      <c r="A65">
        <v>1100</v>
      </c>
      <c r="B65">
        <v>3</v>
      </c>
      <c r="C65">
        <v>1</v>
      </c>
      <c r="D65">
        <v>0</v>
      </c>
      <c r="E65">
        <v>0</v>
      </c>
      <c r="F65">
        <v>0</v>
      </c>
      <c r="G65">
        <v>0</v>
      </c>
      <c r="H65">
        <v>1</v>
      </c>
      <c r="I65" s="8">
        <f>+Table1[[#This Row],[Auton ball picked up in our trench]]+Table1[[#This Row],[Auton Balls Picked Up in Mid]]+Table1[[#This Row],[Auton Balls Picked Up In Their Trench]]</f>
        <v>0</v>
      </c>
      <c r="J65" s="8">
        <f>+Table1[[#This Row],[Auton Scored High]]+Table1[[#This Row],[Auton Scored Low]]</f>
        <v>1</v>
      </c>
      <c r="K6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4</v>
      </c>
      <c r="L65">
        <v>2</v>
      </c>
      <c r="M65">
        <v>0</v>
      </c>
      <c r="N65">
        <v>0</v>
      </c>
      <c r="O65">
        <v>0</v>
      </c>
      <c r="P65">
        <v>0</v>
      </c>
      <c r="Q65">
        <v>0</v>
      </c>
      <c r="R65">
        <v>0</v>
      </c>
      <c r="S65">
        <v>0</v>
      </c>
      <c r="T65">
        <v>0</v>
      </c>
      <c r="U65">
        <v>0</v>
      </c>
      <c r="V65" s="8">
        <f>Table1[[#This Row],[Balls Scored From Trench]]+Table1[[#This Row],[Balls Scored from Mid]]+Table1[[#This Row],[Balls Scored From Alliance zone]]</f>
        <v>2</v>
      </c>
      <c r="W65" s="8">
        <f>Table1[[#This Row],[balls scored high]]+Table1[[#This Row],[balls scored low]]</f>
        <v>2</v>
      </c>
      <c r="X65" s="8">
        <f>Table1[[#This Row],[Control Panel Spun Time]]+Table1[[#This Row],[Control Panel Color Time]]</f>
        <v>0</v>
      </c>
      <c r="Y65" s="8">
        <f>Table1[[#This Row],[Control Panels Spun]]+Table1[[#This Row],[Control Panel Color]]</f>
        <v>0</v>
      </c>
      <c r="Z6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6</v>
      </c>
      <c r="AA65">
        <v>0</v>
      </c>
      <c r="AB65">
        <v>0</v>
      </c>
      <c r="AC65">
        <v>0</v>
      </c>
      <c r="AD65">
        <v>0</v>
      </c>
      <c r="AE65">
        <v>0</v>
      </c>
      <c r="AF65">
        <v>0</v>
      </c>
      <c r="AG65">
        <v>0</v>
      </c>
      <c r="AH65"/>
      <c r="AI65" t="s">
        <v>176</v>
      </c>
      <c r="AJ65"/>
      <c r="AK65" s="17">
        <f>(Table1[[#This Row],[Climbed]]*weighting!$B$18)+(Table1[[#This Row],[Adjustable Climber]]*weighting!$B$19)+(Table1[[#This Row],[Lift other Robot]]*weighting!$B$20)+(Table1[[#This Row],[Balanced]]*weighting!$B$21)</f>
        <v>0</v>
      </c>
      <c r="AL65" s="8">
        <f>+Table1[[#This Row],[Endgame our score]]+Table1[[#This Row],[teleop our score]]+Table1[[#This Row],[auton our score]]</f>
        <v>10</v>
      </c>
      <c r="AM65" s="20">
        <f t="shared" si="0"/>
        <v>0</v>
      </c>
      <c r="AN65" s="20">
        <f t="shared" si="1"/>
        <v>0</v>
      </c>
      <c r="AO65" s="20">
        <f t="shared" si="2"/>
        <v>1</v>
      </c>
      <c r="AP65" s="20">
        <f>Table1[[#This Row],[balls scored]]+Table1[[#This Row],[auton balls scored]]</f>
        <v>3</v>
      </c>
      <c r="AQ65" s="20">
        <f>Table1[[#This Row],[balls scored high]]+Table1[[#This Row],[Auton Scored High]]</f>
        <v>3</v>
      </c>
      <c r="AR65" s="20">
        <f>Table1[[#This Row],[balls scored low]]+Table1[[#This Row],[Auton Scored Low]]</f>
        <v>0</v>
      </c>
      <c r="AS65" s="50">
        <f>IF(Table1[[#This Row],[Control Panel Spun Time]]&gt;0,1,0)</f>
        <v>0</v>
      </c>
      <c r="AT65" s="20">
        <f>IF(Table1[[#This Row],[Control Panel Color Time]]&gt;0,1,0)</f>
        <v>0</v>
      </c>
    </row>
    <row r="66" spans="1:46" x14ac:dyDescent="0.25">
      <c r="A66">
        <v>1100</v>
      </c>
      <c r="B66">
        <v>3</v>
      </c>
      <c r="C66">
        <v>0</v>
      </c>
      <c r="D66">
        <v>0</v>
      </c>
      <c r="E66">
        <v>0</v>
      </c>
      <c r="F66">
        <v>0</v>
      </c>
      <c r="G66">
        <v>0</v>
      </c>
      <c r="H66">
        <v>1</v>
      </c>
      <c r="I66" s="8">
        <f>+Table1[[#This Row],[Auton ball picked up in our trench]]+Table1[[#This Row],[Auton Balls Picked Up in Mid]]+Table1[[#This Row],[Auton Balls Picked Up In Their Trench]]</f>
        <v>0</v>
      </c>
      <c r="J66" s="8">
        <f>+Table1[[#This Row],[Auton Scored High]]+Table1[[#This Row],[Auton Scored Low]]</f>
        <v>0</v>
      </c>
      <c r="K6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66">
        <v>1</v>
      </c>
      <c r="M66">
        <v>0</v>
      </c>
      <c r="N66">
        <v>0</v>
      </c>
      <c r="O66">
        <v>0</v>
      </c>
      <c r="P66">
        <v>0</v>
      </c>
      <c r="Q66">
        <v>0</v>
      </c>
      <c r="R66">
        <v>0</v>
      </c>
      <c r="S66">
        <v>0</v>
      </c>
      <c r="T66">
        <v>0</v>
      </c>
      <c r="U66">
        <v>0</v>
      </c>
      <c r="V66" s="8">
        <f>Table1[[#This Row],[Balls Scored From Trench]]+Table1[[#This Row],[Balls Scored from Mid]]+Table1[[#This Row],[Balls Scored From Alliance zone]]</f>
        <v>1</v>
      </c>
      <c r="W66" s="8">
        <f>Table1[[#This Row],[balls scored high]]+Table1[[#This Row],[balls scored low]]</f>
        <v>1</v>
      </c>
      <c r="X66" s="8">
        <f>Table1[[#This Row],[Control Panel Spun Time]]+Table1[[#This Row],[Control Panel Color Time]]</f>
        <v>0</v>
      </c>
      <c r="Y66" s="8">
        <f>Table1[[#This Row],[Control Panels Spun]]+Table1[[#This Row],[Control Panel Color]]</f>
        <v>0</v>
      </c>
      <c r="Z6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3</v>
      </c>
      <c r="AA66">
        <v>0</v>
      </c>
      <c r="AB66">
        <v>0</v>
      </c>
      <c r="AC66">
        <v>0</v>
      </c>
      <c r="AD66">
        <v>0</v>
      </c>
      <c r="AE66">
        <v>0</v>
      </c>
      <c r="AF66">
        <v>0</v>
      </c>
      <c r="AG66">
        <v>0</v>
      </c>
      <c r="AI66" t="s">
        <v>229</v>
      </c>
      <c r="AJ66" t="s">
        <v>243</v>
      </c>
      <c r="AK66" s="17">
        <f>(Table1[[#This Row],[Climbed]]*weighting!$B$18)+(Table1[[#This Row],[Adjustable Climber]]*weighting!$B$19)+(Table1[[#This Row],[Lift other Robot]]*weighting!$B$20)+(Table1[[#This Row],[Balanced]]*weighting!$B$21)</f>
        <v>0</v>
      </c>
      <c r="AL66" s="8">
        <f>+Table1[[#This Row],[Endgame our score]]+Table1[[#This Row],[teleop our score]]+Table1[[#This Row],[auton our score]]</f>
        <v>4</v>
      </c>
      <c r="AM66" s="20">
        <f t="shared" ref="AM66:AM129" si="3">IF(B66=1,1,0)</f>
        <v>0</v>
      </c>
      <c r="AN66" s="20">
        <f t="shared" ref="AN66:AN129" si="4">IF(B66=2,1,0)</f>
        <v>0</v>
      </c>
      <c r="AO66" s="20">
        <f t="shared" ref="AO66:AO129" si="5">IF(B66=3,1,0)</f>
        <v>1</v>
      </c>
      <c r="AP66" s="20">
        <f>Table1[[#This Row],[balls scored]]+Table1[[#This Row],[auton balls scored]]</f>
        <v>1</v>
      </c>
      <c r="AQ66" s="20">
        <f>Table1[[#This Row],[balls scored high]]+Table1[[#This Row],[Auton Scored High]]</f>
        <v>1</v>
      </c>
      <c r="AR66" s="20">
        <f>Table1[[#This Row],[balls scored low]]+Table1[[#This Row],[Auton Scored Low]]</f>
        <v>0</v>
      </c>
      <c r="AS66" s="50">
        <f>IF(Table1[[#This Row],[Control Panel Spun Time]]&gt;0,1,0)</f>
        <v>0</v>
      </c>
      <c r="AT66" s="20">
        <f>IF(Table1[[#This Row],[Control Panel Color Time]]&gt;0,1,0)</f>
        <v>0</v>
      </c>
    </row>
    <row r="67" spans="1:46" s="2" customFormat="1" x14ac:dyDescent="0.25">
      <c r="A67">
        <v>1100</v>
      </c>
      <c r="B67">
        <v>3</v>
      </c>
      <c r="C67">
        <v>2</v>
      </c>
      <c r="D67">
        <v>0</v>
      </c>
      <c r="E67">
        <v>0</v>
      </c>
      <c r="F67">
        <v>0</v>
      </c>
      <c r="G67">
        <v>0</v>
      </c>
      <c r="H67">
        <v>0</v>
      </c>
      <c r="I67" s="8">
        <f>+Table1[[#This Row],[Auton ball picked up in our trench]]+Table1[[#This Row],[Auton Balls Picked Up in Mid]]+Table1[[#This Row],[Auton Balls Picked Up In Their Trench]]</f>
        <v>0</v>
      </c>
      <c r="J67" s="8">
        <f>+Table1[[#This Row],[Auton Scored High]]+Table1[[#This Row],[Auton Scored Low]]</f>
        <v>2</v>
      </c>
      <c r="K6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6</v>
      </c>
      <c r="L67">
        <v>0</v>
      </c>
      <c r="M67">
        <v>0</v>
      </c>
      <c r="N67">
        <v>0</v>
      </c>
      <c r="O67">
        <v>0</v>
      </c>
      <c r="P67">
        <v>0</v>
      </c>
      <c r="Q67">
        <v>0</v>
      </c>
      <c r="R67">
        <v>0</v>
      </c>
      <c r="S67">
        <v>0</v>
      </c>
      <c r="T67">
        <v>0</v>
      </c>
      <c r="U67">
        <v>0</v>
      </c>
      <c r="V67" s="8">
        <f>Table1[[#This Row],[Balls Scored From Trench]]+Table1[[#This Row],[Balls Scored from Mid]]+Table1[[#This Row],[Balls Scored From Alliance zone]]</f>
        <v>0</v>
      </c>
      <c r="W67" s="8">
        <f>Table1[[#This Row],[balls scored high]]+Table1[[#This Row],[balls scored low]]</f>
        <v>0</v>
      </c>
      <c r="X67" s="8">
        <f>Table1[[#This Row],[Control Panel Spun Time]]+Table1[[#This Row],[Control Panel Color Time]]</f>
        <v>0</v>
      </c>
      <c r="Y67" s="8">
        <f>Table1[[#This Row],[Control Panels Spun]]+Table1[[#This Row],[Control Panel Color]]</f>
        <v>0</v>
      </c>
      <c r="Z6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7">
        <v>0</v>
      </c>
      <c r="AB67">
        <v>0</v>
      </c>
      <c r="AC67">
        <v>0</v>
      </c>
      <c r="AD67">
        <v>0</v>
      </c>
      <c r="AE67">
        <v>0</v>
      </c>
      <c r="AF67">
        <v>0</v>
      </c>
      <c r="AG67">
        <v>0</v>
      </c>
      <c r="AH67"/>
      <c r="AI67" t="s">
        <v>174</v>
      </c>
      <c r="AJ67" t="s">
        <v>278</v>
      </c>
      <c r="AK67" s="17">
        <f>(Table1[[#This Row],[Climbed]]*weighting!$B$18)+(Table1[[#This Row],[Adjustable Climber]]*weighting!$B$19)+(Table1[[#This Row],[Lift other Robot]]*weighting!$B$20)+(Table1[[#This Row],[Balanced]]*weighting!$B$21)</f>
        <v>0</v>
      </c>
      <c r="AL67" s="8">
        <f>+Table1[[#This Row],[Endgame our score]]+Table1[[#This Row],[teleop our score]]+Table1[[#This Row],[auton our score]]</f>
        <v>6</v>
      </c>
      <c r="AM67" s="20">
        <f t="shared" si="3"/>
        <v>0</v>
      </c>
      <c r="AN67" s="20">
        <f t="shared" si="4"/>
        <v>0</v>
      </c>
      <c r="AO67" s="20">
        <f t="shared" si="5"/>
        <v>1</v>
      </c>
      <c r="AP67" s="20">
        <f>Table1[[#This Row],[balls scored]]+Table1[[#This Row],[auton balls scored]]</f>
        <v>2</v>
      </c>
      <c r="AQ67" s="20">
        <f>Table1[[#This Row],[balls scored high]]+Table1[[#This Row],[Auton Scored High]]</f>
        <v>2</v>
      </c>
      <c r="AR67" s="20">
        <f>Table1[[#This Row],[balls scored low]]+Table1[[#This Row],[Auton Scored Low]]</f>
        <v>0</v>
      </c>
      <c r="AS67" s="50">
        <f>IF(Table1[[#This Row],[Control Panel Spun Time]]&gt;0,1,0)</f>
        <v>0</v>
      </c>
      <c r="AT67" s="20">
        <f>IF(Table1[[#This Row],[Control Panel Color Time]]&gt;0,1,0)</f>
        <v>0</v>
      </c>
    </row>
    <row r="68" spans="1:46" x14ac:dyDescent="0.25">
      <c r="A68">
        <v>1100</v>
      </c>
      <c r="B68">
        <v>3</v>
      </c>
      <c r="C68">
        <v>3</v>
      </c>
      <c r="D68">
        <v>0</v>
      </c>
      <c r="E68">
        <v>0</v>
      </c>
      <c r="F68">
        <v>0</v>
      </c>
      <c r="G68">
        <v>0</v>
      </c>
      <c r="H68">
        <v>1</v>
      </c>
      <c r="I68" s="8">
        <f>+Table1[[#This Row],[Auton ball picked up in our trench]]+Table1[[#This Row],[Auton Balls Picked Up in Mid]]+Table1[[#This Row],[Auton Balls Picked Up In Their Trench]]</f>
        <v>0</v>
      </c>
      <c r="J68" s="8">
        <f>+Table1[[#This Row],[Auton Scored High]]+Table1[[#This Row],[Auton Scored Low]]</f>
        <v>3</v>
      </c>
      <c r="K6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68">
        <v>0</v>
      </c>
      <c r="M68">
        <v>1</v>
      </c>
      <c r="N68">
        <v>0</v>
      </c>
      <c r="O68">
        <v>0</v>
      </c>
      <c r="P68">
        <v>0</v>
      </c>
      <c r="Q68">
        <v>0</v>
      </c>
      <c r="R68">
        <v>0</v>
      </c>
      <c r="S68">
        <v>0</v>
      </c>
      <c r="T68">
        <v>0</v>
      </c>
      <c r="U68">
        <v>0</v>
      </c>
      <c r="V68" s="8">
        <f>Table1[[#This Row],[Balls Scored From Trench]]+Table1[[#This Row],[Balls Scored from Mid]]+Table1[[#This Row],[Balls Scored From Alliance zone]]</f>
        <v>1</v>
      </c>
      <c r="W68" s="8">
        <f>Table1[[#This Row],[balls scored high]]+Table1[[#This Row],[balls scored low]]</f>
        <v>1</v>
      </c>
      <c r="X68" s="8">
        <f>Table1[[#This Row],[Control Panel Spun Time]]+Table1[[#This Row],[Control Panel Color Time]]</f>
        <v>0</v>
      </c>
      <c r="Y68" s="8">
        <f>Table1[[#This Row],[Control Panels Spun]]+Table1[[#This Row],[Control Panel Color]]</f>
        <v>0</v>
      </c>
      <c r="Z6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2</v>
      </c>
      <c r="AA68">
        <v>0</v>
      </c>
      <c r="AB68">
        <v>0</v>
      </c>
      <c r="AC68">
        <v>0</v>
      </c>
      <c r="AD68">
        <v>0</v>
      </c>
      <c r="AE68">
        <v>0</v>
      </c>
      <c r="AF68">
        <v>0</v>
      </c>
      <c r="AG68">
        <v>0</v>
      </c>
      <c r="AI68" t="s">
        <v>184</v>
      </c>
      <c r="AJ68" t="s">
        <v>309</v>
      </c>
      <c r="AK68" s="17">
        <f>(Table1[[#This Row],[Climbed]]*weighting!$B$18)+(Table1[[#This Row],[Adjustable Climber]]*weighting!$B$19)+(Table1[[#This Row],[Lift other Robot]]*weighting!$B$20)+(Table1[[#This Row],[Balanced]]*weighting!$B$21)</f>
        <v>0</v>
      </c>
      <c r="AL68" s="8">
        <f>+Table1[[#This Row],[Endgame our score]]+Table1[[#This Row],[teleop our score]]+Table1[[#This Row],[auton our score]]</f>
        <v>12</v>
      </c>
      <c r="AM68" s="20">
        <f t="shared" si="3"/>
        <v>0</v>
      </c>
      <c r="AN68" s="20">
        <f t="shared" si="4"/>
        <v>0</v>
      </c>
      <c r="AO68" s="20">
        <f t="shared" si="5"/>
        <v>1</v>
      </c>
      <c r="AP68" s="20">
        <f>Table1[[#This Row],[balls scored]]+Table1[[#This Row],[auton balls scored]]</f>
        <v>4</v>
      </c>
      <c r="AQ68" s="20">
        <f>Table1[[#This Row],[balls scored high]]+Table1[[#This Row],[Auton Scored High]]</f>
        <v>4</v>
      </c>
      <c r="AR68" s="20">
        <f>Table1[[#This Row],[balls scored low]]+Table1[[#This Row],[Auton Scored Low]]</f>
        <v>0</v>
      </c>
      <c r="AS68" s="50">
        <f>IF(Table1[[#This Row],[Control Panel Spun Time]]&gt;0,1,0)</f>
        <v>0</v>
      </c>
      <c r="AT68" s="20">
        <f>IF(Table1[[#This Row],[Control Panel Color Time]]&gt;0,1,0)</f>
        <v>0</v>
      </c>
    </row>
    <row r="69" spans="1:46" s="2" customFormat="1" x14ac:dyDescent="0.25">
      <c r="A69">
        <v>1100</v>
      </c>
      <c r="B69">
        <v>1</v>
      </c>
      <c r="C69">
        <v>0</v>
      </c>
      <c r="D69">
        <v>0</v>
      </c>
      <c r="E69">
        <v>0</v>
      </c>
      <c r="F69">
        <v>0</v>
      </c>
      <c r="G69">
        <v>0</v>
      </c>
      <c r="H69">
        <v>1</v>
      </c>
      <c r="I69" s="8">
        <f>+Table1[[#This Row],[Auton ball picked up in our trench]]+Table1[[#This Row],[Auton Balls Picked Up in Mid]]+Table1[[#This Row],[Auton Balls Picked Up In Their Trench]]</f>
        <v>0</v>
      </c>
      <c r="J69" s="8">
        <f>+Table1[[#This Row],[Auton Scored High]]+Table1[[#This Row],[Auton Scored Low]]</f>
        <v>0</v>
      </c>
      <c r="K6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69">
        <v>0</v>
      </c>
      <c r="M69">
        <v>0</v>
      </c>
      <c r="N69">
        <v>0</v>
      </c>
      <c r="O69">
        <v>0</v>
      </c>
      <c r="P69">
        <v>0</v>
      </c>
      <c r="Q69">
        <v>0</v>
      </c>
      <c r="R69">
        <v>0</v>
      </c>
      <c r="S69">
        <v>0</v>
      </c>
      <c r="T69">
        <v>0</v>
      </c>
      <c r="U69">
        <v>0</v>
      </c>
      <c r="V69" s="8">
        <f>Table1[[#This Row],[Balls Scored From Trench]]+Table1[[#This Row],[Balls Scored from Mid]]+Table1[[#This Row],[Balls Scored From Alliance zone]]</f>
        <v>0</v>
      </c>
      <c r="W69" s="8">
        <f>Table1[[#This Row],[balls scored high]]+Table1[[#This Row],[balls scored low]]</f>
        <v>0</v>
      </c>
      <c r="X69" s="8">
        <f>Table1[[#This Row],[Control Panel Spun Time]]+Table1[[#This Row],[Control Panel Color Time]]</f>
        <v>0</v>
      </c>
      <c r="Y69" s="8">
        <f>Table1[[#This Row],[Control Panels Spun]]+Table1[[#This Row],[Control Panel Color]]</f>
        <v>0</v>
      </c>
      <c r="Z6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9">
        <v>1</v>
      </c>
      <c r="AB69">
        <v>0</v>
      </c>
      <c r="AC69">
        <v>0</v>
      </c>
      <c r="AD69">
        <v>0</v>
      </c>
      <c r="AE69">
        <v>0</v>
      </c>
      <c r="AF69">
        <v>0</v>
      </c>
      <c r="AG69">
        <v>0</v>
      </c>
      <c r="AH69"/>
      <c r="AI69" t="s">
        <v>310</v>
      </c>
      <c r="AJ69"/>
      <c r="AK69" s="17">
        <f>(Table1[[#This Row],[Climbed]]*weighting!$B$18)+(Table1[[#This Row],[Adjustable Climber]]*weighting!$B$19)+(Table1[[#This Row],[Lift other Robot]]*weighting!$B$20)+(Table1[[#This Row],[Balanced]]*weighting!$B$21)</f>
        <v>25</v>
      </c>
      <c r="AL69" s="8">
        <f>+Table1[[#This Row],[Endgame our score]]+Table1[[#This Row],[teleop our score]]+Table1[[#This Row],[auton our score]]</f>
        <v>26</v>
      </c>
      <c r="AM69" s="20">
        <f t="shared" si="3"/>
        <v>1</v>
      </c>
      <c r="AN69" s="20">
        <f t="shared" si="4"/>
        <v>0</v>
      </c>
      <c r="AO69" s="20">
        <f t="shared" si="5"/>
        <v>0</v>
      </c>
      <c r="AP69" s="20">
        <f>Table1[[#This Row],[balls scored]]+Table1[[#This Row],[auton balls scored]]</f>
        <v>0</v>
      </c>
      <c r="AQ69" s="20">
        <f>Table1[[#This Row],[balls scored high]]+Table1[[#This Row],[Auton Scored High]]</f>
        <v>0</v>
      </c>
      <c r="AR69" s="20">
        <f>Table1[[#This Row],[balls scored low]]+Table1[[#This Row],[Auton Scored Low]]</f>
        <v>0</v>
      </c>
      <c r="AS69" s="50">
        <f>IF(Table1[[#This Row],[Control Panel Spun Time]]&gt;0,1,0)</f>
        <v>0</v>
      </c>
      <c r="AT69" s="20">
        <f>IF(Table1[[#This Row],[Control Panel Color Time]]&gt;0,1,0)</f>
        <v>0</v>
      </c>
    </row>
    <row r="70" spans="1:46" x14ac:dyDescent="0.25">
      <c r="A70">
        <v>1153</v>
      </c>
      <c r="B70">
        <v>2</v>
      </c>
      <c r="C70">
        <v>0</v>
      </c>
      <c r="D70">
        <v>0</v>
      </c>
      <c r="E70">
        <v>0</v>
      </c>
      <c r="F70">
        <v>0</v>
      </c>
      <c r="G70">
        <v>0</v>
      </c>
      <c r="H70">
        <v>1</v>
      </c>
      <c r="I70" s="8">
        <f>+Table1[[#This Row],[Auton ball picked up in our trench]]+Table1[[#This Row],[Auton Balls Picked Up in Mid]]+Table1[[#This Row],[Auton Balls Picked Up In Their Trench]]</f>
        <v>0</v>
      </c>
      <c r="J70" s="8">
        <f>+Table1[[#This Row],[Auton Scored High]]+Table1[[#This Row],[Auton Scored Low]]</f>
        <v>0</v>
      </c>
      <c r="K7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70">
        <v>0</v>
      </c>
      <c r="M70">
        <v>0</v>
      </c>
      <c r="N70">
        <v>5</v>
      </c>
      <c r="O70">
        <v>0</v>
      </c>
      <c r="P70">
        <v>0</v>
      </c>
      <c r="Q70">
        <v>0</v>
      </c>
      <c r="R70">
        <v>0</v>
      </c>
      <c r="S70">
        <v>0</v>
      </c>
      <c r="T70">
        <v>0</v>
      </c>
      <c r="U70">
        <v>0</v>
      </c>
      <c r="V70" s="8">
        <f>Table1[[#This Row],[Balls Scored From Trench]]+Table1[[#This Row],[Balls Scored from Mid]]+Table1[[#This Row],[Balls Scored From Alliance zone]]</f>
        <v>5</v>
      </c>
      <c r="W70" s="8">
        <f>Table1[[#This Row],[balls scored high]]+Table1[[#This Row],[balls scored low]]</f>
        <v>5</v>
      </c>
      <c r="X70" s="8">
        <f>Table1[[#This Row],[Control Panel Spun Time]]+Table1[[#This Row],[Control Panel Color Time]]</f>
        <v>0</v>
      </c>
      <c r="Y70" s="8">
        <f>Table1[[#This Row],[Control Panels Spun]]+Table1[[#This Row],[Control Panel Color]]</f>
        <v>0</v>
      </c>
      <c r="Z7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5</v>
      </c>
      <c r="AA70">
        <v>1</v>
      </c>
      <c r="AB70">
        <v>0</v>
      </c>
      <c r="AC70">
        <v>0</v>
      </c>
      <c r="AD70">
        <v>0</v>
      </c>
      <c r="AE70">
        <v>0</v>
      </c>
      <c r="AF70">
        <v>0</v>
      </c>
      <c r="AG70">
        <v>0</v>
      </c>
      <c r="AI70" t="s">
        <v>229</v>
      </c>
      <c r="AJ70" t="s">
        <v>230</v>
      </c>
      <c r="AK70" s="17">
        <f>(Table1[[#This Row],[Climbed]]*weighting!$B$18)+(Table1[[#This Row],[Adjustable Climber]]*weighting!$B$19)+(Table1[[#This Row],[Lift other Robot]]*weighting!$B$20)+(Table1[[#This Row],[Balanced]]*weighting!$B$21)</f>
        <v>25</v>
      </c>
      <c r="AL70" s="8">
        <f>+Table1[[#This Row],[Endgame our score]]+Table1[[#This Row],[teleop our score]]+Table1[[#This Row],[auton our score]]</f>
        <v>31</v>
      </c>
      <c r="AM70" s="20">
        <f t="shared" si="3"/>
        <v>0</v>
      </c>
      <c r="AN70" s="20">
        <f t="shared" si="4"/>
        <v>1</v>
      </c>
      <c r="AO70" s="20">
        <f t="shared" si="5"/>
        <v>0</v>
      </c>
      <c r="AP70" s="20">
        <f>Table1[[#This Row],[balls scored]]+Table1[[#This Row],[auton balls scored]]</f>
        <v>5</v>
      </c>
      <c r="AQ70" s="20">
        <f>Table1[[#This Row],[balls scored high]]+Table1[[#This Row],[Auton Scored High]]</f>
        <v>5</v>
      </c>
      <c r="AR70" s="20">
        <f>Table1[[#This Row],[balls scored low]]+Table1[[#This Row],[Auton Scored Low]]</f>
        <v>0</v>
      </c>
      <c r="AS70" s="50">
        <f>IF(Table1[[#This Row],[Control Panel Spun Time]]&gt;0,1,0)</f>
        <v>0</v>
      </c>
      <c r="AT70" s="20">
        <f>IF(Table1[[#This Row],[Control Panel Color Time]]&gt;0,1,0)</f>
        <v>0</v>
      </c>
    </row>
    <row r="71" spans="1:46" s="2" customFormat="1" x14ac:dyDescent="0.25">
      <c r="A71">
        <v>1153</v>
      </c>
      <c r="B71">
        <v>2</v>
      </c>
      <c r="C71">
        <v>3</v>
      </c>
      <c r="D71">
        <v>0</v>
      </c>
      <c r="E71">
        <v>0</v>
      </c>
      <c r="F71">
        <v>0</v>
      </c>
      <c r="G71">
        <v>0</v>
      </c>
      <c r="H71">
        <v>1</v>
      </c>
      <c r="I71" s="8">
        <f>+Table1[[#This Row],[Auton ball picked up in our trench]]+Table1[[#This Row],[Auton Balls Picked Up in Mid]]+Table1[[#This Row],[Auton Balls Picked Up In Their Trench]]</f>
        <v>0</v>
      </c>
      <c r="J71" s="8">
        <f>+Table1[[#This Row],[Auton Scored High]]+Table1[[#This Row],[Auton Scored Low]]</f>
        <v>3</v>
      </c>
      <c r="K7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71">
        <v>0</v>
      </c>
      <c r="M71">
        <v>0</v>
      </c>
      <c r="N71">
        <v>8</v>
      </c>
      <c r="O71">
        <v>0</v>
      </c>
      <c r="P71">
        <v>0</v>
      </c>
      <c r="Q71">
        <v>0</v>
      </c>
      <c r="R71">
        <v>0</v>
      </c>
      <c r="S71">
        <v>0</v>
      </c>
      <c r="T71">
        <v>0</v>
      </c>
      <c r="U71">
        <v>0</v>
      </c>
      <c r="V71" s="8">
        <f>Table1[[#This Row],[Balls Scored From Trench]]+Table1[[#This Row],[Balls Scored from Mid]]+Table1[[#This Row],[Balls Scored From Alliance zone]]</f>
        <v>8</v>
      </c>
      <c r="W71" s="8">
        <f>Table1[[#This Row],[balls scored high]]+Table1[[#This Row],[balls scored low]]</f>
        <v>8</v>
      </c>
      <c r="X71" s="8">
        <f>Table1[[#This Row],[Control Panel Spun Time]]+Table1[[#This Row],[Control Panel Color Time]]</f>
        <v>0</v>
      </c>
      <c r="Y71" s="8">
        <f>Table1[[#This Row],[Control Panels Spun]]+Table1[[#This Row],[Control Panel Color]]</f>
        <v>0</v>
      </c>
      <c r="Z7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8</v>
      </c>
      <c r="AA71">
        <v>1</v>
      </c>
      <c r="AB71">
        <v>0</v>
      </c>
      <c r="AC71">
        <v>1</v>
      </c>
      <c r="AD71">
        <v>0</v>
      </c>
      <c r="AE71">
        <v>0</v>
      </c>
      <c r="AF71">
        <v>0</v>
      </c>
      <c r="AG71">
        <v>0</v>
      </c>
      <c r="AH71"/>
      <c r="AI71" t="s">
        <v>179</v>
      </c>
      <c r="AJ71" t="s">
        <v>244</v>
      </c>
      <c r="AK71" s="17">
        <f>(Table1[[#This Row],[Climbed]]*weighting!$B$18)+(Table1[[#This Row],[Adjustable Climber]]*weighting!$B$19)+(Table1[[#This Row],[Lift other Robot]]*weighting!$B$20)+(Table1[[#This Row],[Balanced]]*weighting!$B$21)</f>
        <v>40</v>
      </c>
      <c r="AL71" s="8">
        <f>+Table1[[#This Row],[Endgame our score]]+Table1[[#This Row],[teleop our score]]+Table1[[#This Row],[auton our score]]</f>
        <v>58</v>
      </c>
      <c r="AM71" s="20">
        <f t="shared" si="3"/>
        <v>0</v>
      </c>
      <c r="AN71" s="20">
        <f t="shared" si="4"/>
        <v>1</v>
      </c>
      <c r="AO71" s="20">
        <f t="shared" si="5"/>
        <v>0</v>
      </c>
      <c r="AP71" s="20">
        <f>Table1[[#This Row],[balls scored]]+Table1[[#This Row],[auton balls scored]]</f>
        <v>11</v>
      </c>
      <c r="AQ71" s="20">
        <f>Table1[[#This Row],[balls scored high]]+Table1[[#This Row],[Auton Scored High]]</f>
        <v>11</v>
      </c>
      <c r="AR71" s="20">
        <f>Table1[[#This Row],[balls scored low]]+Table1[[#This Row],[Auton Scored Low]]</f>
        <v>0</v>
      </c>
      <c r="AS71" s="50">
        <f>IF(Table1[[#This Row],[Control Panel Spun Time]]&gt;0,1,0)</f>
        <v>0</v>
      </c>
      <c r="AT71" s="20">
        <f>IF(Table1[[#This Row],[Control Panel Color Time]]&gt;0,1,0)</f>
        <v>0</v>
      </c>
    </row>
    <row r="72" spans="1:46" x14ac:dyDescent="0.25">
      <c r="A72">
        <v>1153</v>
      </c>
      <c r="B72">
        <v>3</v>
      </c>
      <c r="C72">
        <v>3</v>
      </c>
      <c r="D72">
        <v>0</v>
      </c>
      <c r="E72">
        <v>0</v>
      </c>
      <c r="F72">
        <v>0</v>
      </c>
      <c r="G72">
        <v>0</v>
      </c>
      <c r="H72">
        <v>1</v>
      </c>
      <c r="I72" s="8">
        <f>+Table1[[#This Row],[Auton ball picked up in our trench]]+Table1[[#This Row],[Auton Balls Picked Up in Mid]]+Table1[[#This Row],[Auton Balls Picked Up In Their Trench]]</f>
        <v>0</v>
      </c>
      <c r="J72" s="8">
        <f>+Table1[[#This Row],[Auton Scored High]]+Table1[[#This Row],[Auton Scored Low]]</f>
        <v>3</v>
      </c>
      <c r="K7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72">
        <v>0</v>
      </c>
      <c r="M72">
        <v>0</v>
      </c>
      <c r="N72">
        <v>4</v>
      </c>
      <c r="O72">
        <v>0</v>
      </c>
      <c r="P72">
        <v>0</v>
      </c>
      <c r="Q72">
        <v>0</v>
      </c>
      <c r="R72">
        <v>0</v>
      </c>
      <c r="S72">
        <v>0</v>
      </c>
      <c r="T72">
        <v>0</v>
      </c>
      <c r="U72">
        <v>0</v>
      </c>
      <c r="V72" s="8">
        <f>Table1[[#This Row],[Balls Scored From Trench]]+Table1[[#This Row],[Balls Scored from Mid]]+Table1[[#This Row],[Balls Scored From Alliance zone]]</f>
        <v>4</v>
      </c>
      <c r="W72" s="8">
        <f>Table1[[#This Row],[balls scored high]]+Table1[[#This Row],[balls scored low]]</f>
        <v>4</v>
      </c>
      <c r="X72" s="8">
        <f>Table1[[#This Row],[Control Panel Spun Time]]+Table1[[#This Row],[Control Panel Color Time]]</f>
        <v>0</v>
      </c>
      <c r="Y72" s="8">
        <f>Table1[[#This Row],[Control Panels Spun]]+Table1[[#This Row],[Control Panel Color]]</f>
        <v>0</v>
      </c>
      <c r="Z7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4</v>
      </c>
      <c r="AA72">
        <v>1</v>
      </c>
      <c r="AB72">
        <v>0</v>
      </c>
      <c r="AC72">
        <v>0</v>
      </c>
      <c r="AD72">
        <v>0</v>
      </c>
      <c r="AE72">
        <v>0</v>
      </c>
      <c r="AF72">
        <v>0</v>
      </c>
      <c r="AG72">
        <v>0</v>
      </c>
      <c r="AI72" t="s">
        <v>176</v>
      </c>
      <c r="AJ72" t="s">
        <v>245</v>
      </c>
      <c r="AK72" s="17">
        <f>(Table1[[#This Row],[Climbed]]*weighting!$B$18)+(Table1[[#This Row],[Adjustable Climber]]*weighting!$B$19)+(Table1[[#This Row],[Lift other Robot]]*weighting!$B$20)+(Table1[[#This Row],[Balanced]]*weighting!$B$21)</f>
        <v>25</v>
      </c>
      <c r="AL72" s="8">
        <f>+Table1[[#This Row],[Endgame our score]]+Table1[[#This Row],[teleop our score]]+Table1[[#This Row],[auton our score]]</f>
        <v>39</v>
      </c>
      <c r="AM72" s="20">
        <f t="shared" si="3"/>
        <v>0</v>
      </c>
      <c r="AN72" s="20">
        <f t="shared" si="4"/>
        <v>0</v>
      </c>
      <c r="AO72" s="20">
        <f t="shared" si="5"/>
        <v>1</v>
      </c>
      <c r="AP72" s="20">
        <f>Table1[[#This Row],[balls scored]]+Table1[[#This Row],[auton balls scored]]</f>
        <v>7</v>
      </c>
      <c r="AQ72" s="20">
        <f>Table1[[#This Row],[balls scored high]]+Table1[[#This Row],[Auton Scored High]]</f>
        <v>7</v>
      </c>
      <c r="AR72" s="20">
        <f>Table1[[#This Row],[balls scored low]]+Table1[[#This Row],[Auton Scored Low]]</f>
        <v>0</v>
      </c>
      <c r="AS72" s="50">
        <f>IF(Table1[[#This Row],[Control Panel Spun Time]]&gt;0,1,0)</f>
        <v>0</v>
      </c>
      <c r="AT72" s="20">
        <f>IF(Table1[[#This Row],[Control Panel Color Time]]&gt;0,1,0)</f>
        <v>0</v>
      </c>
    </row>
    <row r="73" spans="1:46" s="2" customFormat="1" x14ac:dyDescent="0.25">
      <c r="A73">
        <v>1153</v>
      </c>
      <c r="B73">
        <v>3</v>
      </c>
      <c r="C73">
        <v>2</v>
      </c>
      <c r="D73">
        <v>0</v>
      </c>
      <c r="E73">
        <v>0</v>
      </c>
      <c r="F73">
        <v>0</v>
      </c>
      <c r="G73">
        <v>0</v>
      </c>
      <c r="H73">
        <v>1</v>
      </c>
      <c r="I73" s="8">
        <f>+Table1[[#This Row],[Auton ball picked up in our trench]]+Table1[[#This Row],[Auton Balls Picked Up in Mid]]+Table1[[#This Row],[Auton Balls Picked Up In Their Trench]]</f>
        <v>0</v>
      </c>
      <c r="J73" s="8">
        <f>+Table1[[#This Row],[Auton Scored High]]+Table1[[#This Row],[Auton Scored Low]]</f>
        <v>2</v>
      </c>
      <c r="K7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7</v>
      </c>
      <c r="L73">
        <v>4</v>
      </c>
      <c r="M73">
        <v>0</v>
      </c>
      <c r="N73">
        <v>0</v>
      </c>
      <c r="O73">
        <v>0</v>
      </c>
      <c r="P73">
        <v>0</v>
      </c>
      <c r="Q73">
        <v>0</v>
      </c>
      <c r="R73">
        <v>0</v>
      </c>
      <c r="S73">
        <v>0</v>
      </c>
      <c r="T73">
        <v>0</v>
      </c>
      <c r="U73">
        <v>0</v>
      </c>
      <c r="V73" s="8">
        <f>Table1[[#This Row],[Balls Scored From Trench]]+Table1[[#This Row],[Balls Scored from Mid]]+Table1[[#This Row],[Balls Scored From Alliance zone]]</f>
        <v>4</v>
      </c>
      <c r="W73" s="8">
        <f>Table1[[#This Row],[balls scored high]]+Table1[[#This Row],[balls scored low]]</f>
        <v>4</v>
      </c>
      <c r="X73" s="8">
        <f>Table1[[#This Row],[Control Panel Spun Time]]+Table1[[#This Row],[Control Panel Color Time]]</f>
        <v>0</v>
      </c>
      <c r="Y73" s="8">
        <f>Table1[[#This Row],[Control Panels Spun]]+Table1[[#This Row],[Control Panel Color]]</f>
        <v>0</v>
      </c>
      <c r="Z7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12</v>
      </c>
      <c r="AA73">
        <v>1</v>
      </c>
      <c r="AB73">
        <v>0</v>
      </c>
      <c r="AC73">
        <v>0</v>
      </c>
      <c r="AD73">
        <v>0</v>
      </c>
      <c r="AE73">
        <v>0</v>
      </c>
      <c r="AF73">
        <v>0</v>
      </c>
      <c r="AG73">
        <v>0</v>
      </c>
      <c r="AH73"/>
      <c r="AI73" t="s">
        <v>179</v>
      </c>
      <c r="AJ73" t="s">
        <v>279</v>
      </c>
      <c r="AK73" s="17">
        <f>(Table1[[#This Row],[Climbed]]*weighting!$B$18)+(Table1[[#This Row],[Adjustable Climber]]*weighting!$B$19)+(Table1[[#This Row],[Lift other Robot]]*weighting!$B$20)+(Table1[[#This Row],[Balanced]]*weighting!$B$21)</f>
        <v>25</v>
      </c>
      <c r="AL73" s="8">
        <f>+Table1[[#This Row],[Endgame our score]]+Table1[[#This Row],[teleop our score]]+Table1[[#This Row],[auton our score]]</f>
        <v>44</v>
      </c>
      <c r="AM73" s="20">
        <f t="shared" si="3"/>
        <v>0</v>
      </c>
      <c r="AN73" s="20">
        <f t="shared" si="4"/>
        <v>0</v>
      </c>
      <c r="AO73" s="20">
        <f t="shared" si="5"/>
        <v>1</v>
      </c>
      <c r="AP73" s="20">
        <f>Table1[[#This Row],[balls scored]]+Table1[[#This Row],[auton balls scored]]</f>
        <v>6</v>
      </c>
      <c r="AQ73" s="20">
        <f>Table1[[#This Row],[balls scored high]]+Table1[[#This Row],[Auton Scored High]]</f>
        <v>6</v>
      </c>
      <c r="AR73" s="20">
        <f>Table1[[#This Row],[balls scored low]]+Table1[[#This Row],[Auton Scored Low]]</f>
        <v>0</v>
      </c>
      <c r="AS73" s="50">
        <f>IF(Table1[[#This Row],[Control Panel Spun Time]]&gt;0,1,0)</f>
        <v>0</v>
      </c>
      <c r="AT73" s="20">
        <f>IF(Table1[[#This Row],[Control Panel Color Time]]&gt;0,1,0)</f>
        <v>0</v>
      </c>
    </row>
    <row r="74" spans="1:46" x14ac:dyDescent="0.25">
      <c r="A74">
        <v>1153</v>
      </c>
      <c r="B74">
        <v>3</v>
      </c>
      <c r="C74">
        <v>3</v>
      </c>
      <c r="D74">
        <v>0</v>
      </c>
      <c r="E74">
        <v>0</v>
      </c>
      <c r="F74">
        <v>0</v>
      </c>
      <c r="G74">
        <v>0</v>
      </c>
      <c r="H74">
        <v>0</v>
      </c>
      <c r="I74" s="8">
        <f>+Table1[[#This Row],[Auton ball picked up in our trench]]+Table1[[#This Row],[Auton Balls Picked Up in Mid]]+Table1[[#This Row],[Auton Balls Picked Up In Their Trench]]</f>
        <v>0</v>
      </c>
      <c r="J74" s="8">
        <f>+Table1[[#This Row],[Auton Scored High]]+Table1[[#This Row],[Auton Scored Low]]</f>
        <v>3</v>
      </c>
      <c r="K7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9</v>
      </c>
      <c r="L74">
        <v>0</v>
      </c>
      <c r="M74">
        <v>0</v>
      </c>
      <c r="N74">
        <v>0</v>
      </c>
      <c r="O74">
        <v>0</v>
      </c>
      <c r="P74">
        <v>0</v>
      </c>
      <c r="Q74">
        <v>0</v>
      </c>
      <c r="R74">
        <v>0</v>
      </c>
      <c r="S74">
        <v>0</v>
      </c>
      <c r="T74">
        <v>0</v>
      </c>
      <c r="U74">
        <v>0</v>
      </c>
      <c r="V74" s="8">
        <f>Table1[[#This Row],[Balls Scored From Trench]]+Table1[[#This Row],[Balls Scored from Mid]]+Table1[[#This Row],[Balls Scored From Alliance zone]]</f>
        <v>0</v>
      </c>
      <c r="W74" s="8">
        <f>Table1[[#This Row],[balls scored high]]+Table1[[#This Row],[balls scored low]]</f>
        <v>0</v>
      </c>
      <c r="X74" s="8">
        <f>Table1[[#This Row],[Control Panel Spun Time]]+Table1[[#This Row],[Control Panel Color Time]]</f>
        <v>0</v>
      </c>
      <c r="Y74" s="8">
        <f>Table1[[#This Row],[Control Panels Spun]]+Table1[[#This Row],[Control Panel Color]]</f>
        <v>0</v>
      </c>
      <c r="Z7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74">
        <v>1</v>
      </c>
      <c r="AB74">
        <v>0</v>
      </c>
      <c r="AC74">
        <v>1</v>
      </c>
      <c r="AD74">
        <v>0</v>
      </c>
      <c r="AE74">
        <v>0</v>
      </c>
      <c r="AF74">
        <v>0</v>
      </c>
      <c r="AG74">
        <v>0</v>
      </c>
      <c r="AI74" t="s">
        <v>174</v>
      </c>
      <c r="AK74" s="17">
        <f>(Table1[[#This Row],[Climbed]]*weighting!$B$18)+(Table1[[#This Row],[Adjustable Climber]]*weighting!$B$19)+(Table1[[#This Row],[Lift other Robot]]*weighting!$B$20)+(Table1[[#This Row],[Balanced]]*weighting!$B$21)</f>
        <v>40</v>
      </c>
      <c r="AL74" s="8">
        <f>+Table1[[#This Row],[Endgame our score]]+Table1[[#This Row],[teleop our score]]+Table1[[#This Row],[auton our score]]</f>
        <v>49</v>
      </c>
      <c r="AM74" s="20">
        <f t="shared" si="3"/>
        <v>0</v>
      </c>
      <c r="AN74" s="20">
        <f t="shared" si="4"/>
        <v>0</v>
      </c>
      <c r="AO74" s="20">
        <f t="shared" si="5"/>
        <v>1</v>
      </c>
      <c r="AP74" s="20">
        <f>Table1[[#This Row],[balls scored]]+Table1[[#This Row],[auton balls scored]]</f>
        <v>3</v>
      </c>
      <c r="AQ74" s="20">
        <f>Table1[[#This Row],[balls scored high]]+Table1[[#This Row],[Auton Scored High]]</f>
        <v>3</v>
      </c>
      <c r="AR74" s="20">
        <f>Table1[[#This Row],[balls scored low]]+Table1[[#This Row],[Auton Scored Low]]</f>
        <v>0</v>
      </c>
      <c r="AS74" s="50">
        <f>IF(Table1[[#This Row],[Control Panel Spun Time]]&gt;0,1,0)</f>
        <v>0</v>
      </c>
      <c r="AT74" s="20">
        <f>IF(Table1[[#This Row],[Control Panel Color Time]]&gt;0,1,0)</f>
        <v>0</v>
      </c>
    </row>
    <row r="75" spans="1:46" s="2" customFormat="1" x14ac:dyDescent="0.25">
      <c r="A75">
        <v>1153</v>
      </c>
      <c r="B75">
        <v>3</v>
      </c>
      <c r="C75">
        <v>3</v>
      </c>
      <c r="D75">
        <v>0</v>
      </c>
      <c r="E75">
        <v>0</v>
      </c>
      <c r="F75">
        <v>0</v>
      </c>
      <c r="G75">
        <v>0</v>
      </c>
      <c r="H75">
        <v>1</v>
      </c>
      <c r="I75" s="8">
        <f>+Table1[[#This Row],[Auton ball picked up in our trench]]+Table1[[#This Row],[Auton Balls Picked Up in Mid]]+Table1[[#This Row],[Auton Balls Picked Up In Their Trench]]</f>
        <v>0</v>
      </c>
      <c r="J75" s="8">
        <f>+Table1[[#This Row],[Auton Scored High]]+Table1[[#This Row],[Auton Scored Low]]</f>
        <v>3</v>
      </c>
      <c r="K7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75">
        <v>0</v>
      </c>
      <c r="M75">
        <v>0</v>
      </c>
      <c r="N75">
        <v>2</v>
      </c>
      <c r="O75">
        <v>0</v>
      </c>
      <c r="P75">
        <v>0</v>
      </c>
      <c r="Q75">
        <v>0</v>
      </c>
      <c r="R75">
        <v>0</v>
      </c>
      <c r="S75">
        <v>0</v>
      </c>
      <c r="T75">
        <v>0</v>
      </c>
      <c r="U75">
        <v>0</v>
      </c>
      <c r="V75" s="8">
        <f>Table1[[#This Row],[Balls Scored From Trench]]+Table1[[#This Row],[Balls Scored from Mid]]+Table1[[#This Row],[Balls Scored From Alliance zone]]</f>
        <v>2</v>
      </c>
      <c r="W75" s="8">
        <f>Table1[[#This Row],[balls scored high]]+Table1[[#This Row],[balls scored low]]</f>
        <v>2</v>
      </c>
      <c r="X75" s="8">
        <f>Table1[[#This Row],[Control Panel Spun Time]]+Table1[[#This Row],[Control Panel Color Time]]</f>
        <v>0</v>
      </c>
      <c r="Y75" s="8">
        <f>Table1[[#This Row],[Control Panels Spun]]+Table1[[#This Row],[Control Panel Color]]</f>
        <v>0</v>
      </c>
      <c r="Z7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2</v>
      </c>
      <c r="AA75">
        <v>1</v>
      </c>
      <c r="AB75">
        <v>0</v>
      </c>
      <c r="AC75">
        <v>0</v>
      </c>
      <c r="AD75">
        <v>0</v>
      </c>
      <c r="AE75">
        <v>0</v>
      </c>
      <c r="AF75">
        <v>0</v>
      </c>
      <c r="AG75">
        <v>0</v>
      </c>
      <c r="AH75"/>
      <c r="AI75" t="s">
        <v>184</v>
      </c>
      <c r="AJ75" t="s">
        <v>311</v>
      </c>
      <c r="AK75" s="17">
        <f>(Table1[[#This Row],[Climbed]]*weighting!$B$18)+(Table1[[#This Row],[Adjustable Climber]]*weighting!$B$19)+(Table1[[#This Row],[Lift other Robot]]*weighting!$B$20)+(Table1[[#This Row],[Balanced]]*weighting!$B$21)</f>
        <v>25</v>
      </c>
      <c r="AL75" s="8">
        <f>+Table1[[#This Row],[Endgame our score]]+Table1[[#This Row],[teleop our score]]+Table1[[#This Row],[auton our score]]</f>
        <v>37</v>
      </c>
      <c r="AM75" s="20">
        <f t="shared" si="3"/>
        <v>0</v>
      </c>
      <c r="AN75" s="20">
        <f t="shared" si="4"/>
        <v>0</v>
      </c>
      <c r="AO75" s="20">
        <f t="shared" si="5"/>
        <v>1</v>
      </c>
      <c r="AP75" s="20">
        <f>Table1[[#This Row],[balls scored]]+Table1[[#This Row],[auton balls scored]]</f>
        <v>5</v>
      </c>
      <c r="AQ75" s="20">
        <f>Table1[[#This Row],[balls scored high]]+Table1[[#This Row],[Auton Scored High]]</f>
        <v>5</v>
      </c>
      <c r="AR75" s="20">
        <f>Table1[[#This Row],[balls scored low]]+Table1[[#This Row],[Auton Scored Low]]</f>
        <v>0</v>
      </c>
      <c r="AS75" s="50">
        <f>IF(Table1[[#This Row],[Control Panel Spun Time]]&gt;0,1,0)</f>
        <v>0</v>
      </c>
      <c r="AT75" s="20">
        <f>IF(Table1[[#This Row],[Control Panel Color Time]]&gt;0,1,0)</f>
        <v>0</v>
      </c>
    </row>
    <row r="76" spans="1:46" x14ac:dyDescent="0.25">
      <c r="A76">
        <v>1153</v>
      </c>
      <c r="B76">
        <v>3</v>
      </c>
      <c r="C76">
        <v>3</v>
      </c>
      <c r="D76">
        <v>0</v>
      </c>
      <c r="E76">
        <v>0</v>
      </c>
      <c r="F76">
        <v>0</v>
      </c>
      <c r="G76">
        <v>0</v>
      </c>
      <c r="H76">
        <v>1</v>
      </c>
      <c r="I76" s="8">
        <f>+Table1[[#This Row],[Auton ball picked up in our trench]]+Table1[[#This Row],[Auton Balls Picked Up in Mid]]+Table1[[#This Row],[Auton Balls Picked Up In Their Trench]]</f>
        <v>0</v>
      </c>
      <c r="J76" s="8">
        <f>+Table1[[#This Row],[Auton Scored High]]+Table1[[#This Row],[Auton Scored Low]]</f>
        <v>3</v>
      </c>
      <c r="K7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76">
        <v>0</v>
      </c>
      <c r="M76">
        <v>7</v>
      </c>
      <c r="N76">
        <v>0</v>
      </c>
      <c r="O76">
        <v>0</v>
      </c>
      <c r="P76">
        <v>0</v>
      </c>
      <c r="Q76">
        <v>0</v>
      </c>
      <c r="R76">
        <v>0</v>
      </c>
      <c r="S76">
        <v>0</v>
      </c>
      <c r="T76">
        <v>0</v>
      </c>
      <c r="U76">
        <v>0</v>
      </c>
      <c r="V76" s="8">
        <f>Table1[[#This Row],[Balls Scored From Trench]]+Table1[[#This Row],[Balls Scored from Mid]]+Table1[[#This Row],[Balls Scored From Alliance zone]]</f>
        <v>7</v>
      </c>
      <c r="W76" s="8">
        <f>Table1[[#This Row],[balls scored high]]+Table1[[#This Row],[balls scored low]]</f>
        <v>7</v>
      </c>
      <c r="X76" s="8">
        <f>Table1[[#This Row],[Control Panel Spun Time]]+Table1[[#This Row],[Control Panel Color Time]]</f>
        <v>0</v>
      </c>
      <c r="Y76" s="8">
        <f>Table1[[#This Row],[Control Panels Spun]]+Table1[[#This Row],[Control Panel Color]]</f>
        <v>0</v>
      </c>
      <c r="Z7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14</v>
      </c>
      <c r="AA76">
        <v>0</v>
      </c>
      <c r="AB76">
        <v>0</v>
      </c>
      <c r="AC76">
        <v>0</v>
      </c>
      <c r="AD76">
        <v>0</v>
      </c>
      <c r="AE76">
        <v>0</v>
      </c>
      <c r="AF76">
        <v>0</v>
      </c>
      <c r="AG76">
        <v>0</v>
      </c>
      <c r="AI76" t="s">
        <v>174</v>
      </c>
      <c r="AK76" s="17">
        <f>(Table1[[#This Row],[Climbed]]*weighting!$B$18)+(Table1[[#This Row],[Adjustable Climber]]*weighting!$B$19)+(Table1[[#This Row],[Lift other Robot]]*weighting!$B$20)+(Table1[[#This Row],[Balanced]]*weighting!$B$21)</f>
        <v>0</v>
      </c>
      <c r="AL76" s="8">
        <f>+Table1[[#This Row],[Endgame our score]]+Table1[[#This Row],[teleop our score]]+Table1[[#This Row],[auton our score]]</f>
        <v>24</v>
      </c>
      <c r="AM76" s="20">
        <f t="shared" si="3"/>
        <v>0</v>
      </c>
      <c r="AN76" s="20">
        <f t="shared" si="4"/>
        <v>0</v>
      </c>
      <c r="AO76" s="20">
        <f t="shared" si="5"/>
        <v>1</v>
      </c>
      <c r="AP76" s="20">
        <f>Table1[[#This Row],[balls scored]]+Table1[[#This Row],[auton balls scored]]</f>
        <v>10</v>
      </c>
      <c r="AQ76" s="20">
        <f>Table1[[#This Row],[balls scored high]]+Table1[[#This Row],[Auton Scored High]]</f>
        <v>10</v>
      </c>
      <c r="AR76" s="20">
        <f>Table1[[#This Row],[balls scored low]]+Table1[[#This Row],[Auton Scored Low]]</f>
        <v>0</v>
      </c>
      <c r="AS76" s="50">
        <f>IF(Table1[[#This Row],[Control Panel Spun Time]]&gt;0,1,0)</f>
        <v>0</v>
      </c>
      <c r="AT76" s="20">
        <f>IF(Table1[[#This Row],[Control Panel Color Time]]&gt;0,1,0)</f>
        <v>0</v>
      </c>
    </row>
    <row r="77" spans="1:46" s="2" customFormat="1" x14ac:dyDescent="0.25">
      <c r="A77">
        <v>1350</v>
      </c>
      <c r="B77">
        <v>3</v>
      </c>
      <c r="C77">
        <v>2</v>
      </c>
      <c r="D77">
        <v>0</v>
      </c>
      <c r="E77">
        <v>0</v>
      </c>
      <c r="F77">
        <v>0</v>
      </c>
      <c r="G77">
        <v>0</v>
      </c>
      <c r="H77">
        <v>0</v>
      </c>
      <c r="I77" s="8">
        <f>+Table1[[#This Row],[Auton ball picked up in our trench]]+Table1[[#This Row],[Auton Balls Picked Up in Mid]]+Table1[[#This Row],[Auton Balls Picked Up In Their Trench]]</f>
        <v>0</v>
      </c>
      <c r="J77" s="8">
        <f>+Table1[[#This Row],[Auton Scored High]]+Table1[[#This Row],[Auton Scored Low]]</f>
        <v>2</v>
      </c>
      <c r="K7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6</v>
      </c>
      <c r="L77">
        <v>0</v>
      </c>
      <c r="M77">
        <v>0</v>
      </c>
      <c r="N77">
        <v>0</v>
      </c>
      <c r="O77">
        <v>0</v>
      </c>
      <c r="P77">
        <v>0</v>
      </c>
      <c r="Q77">
        <v>0</v>
      </c>
      <c r="R77">
        <v>0</v>
      </c>
      <c r="S77">
        <v>0</v>
      </c>
      <c r="T77">
        <v>0</v>
      </c>
      <c r="U77">
        <v>0</v>
      </c>
      <c r="V77" s="8">
        <f>Table1[[#This Row],[Balls Scored From Trench]]+Table1[[#This Row],[Balls Scored from Mid]]+Table1[[#This Row],[Balls Scored From Alliance zone]]</f>
        <v>0</v>
      </c>
      <c r="W77" s="8">
        <f>Table1[[#This Row],[balls scored high]]+Table1[[#This Row],[balls scored low]]</f>
        <v>0</v>
      </c>
      <c r="X77" s="8">
        <f>Table1[[#This Row],[Control Panel Spun Time]]+Table1[[#This Row],[Control Panel Color Time]]</f>
        <v>0</v>
      </c>
      <c r="Y77" s="8">
        <f>Table1[[#This Row],[Control Panels Spun]]+Table1[[#This Row],[Control Panel Color]]</f>
        <v>0</v>
      </c>
      <c r="Z7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77">
        <v>0</v>
      </c>
      <c r="AB77">
        <v>0</v>
      </c>
      <c r="AC77">
        <v>0</v>
      </c>
      <c r="AD77">
        <v>0</v>
      </c>
      <c r="AE77">
        <v>0</v>
      </c>
      <c r="AF77">
        <v>0</v>
      </c>
      <c r="AG77">
        <v>0</v>
      </c>
      <c r="AH77"/>
      <c r="AI77" t="s">
        <v>176</v>
      </c>
      <c r="AJ77" t="s">
        <v>181</v>
      </c>
      <c r="AK77" s="17">
        <f>(Table1[[#This Row],[Climbed]]*weighting!$B$18)+(Table1[[#This Row],[Adjustable Climber]]*weighting!$B$19)+(Table1[[#This Row],[Lift other Robot]]*weighting!$B$20)+(Table1[[#This Row],[Balanced]]*weighting!$B$21)</f>
        <v>0</v>
      </c>
      <c r="AL77" s="8">
        <f>+Table1[[#This Row],[Endgame our score]]+Table1[[#This Row],[teleop our score]]+Table1[[#This Row],[auton our score]]</f>
        <v>6</v>
      </c>
      <c r="AM77" s="20">
        <f t="shared" si="3"/>
        <v>0</v>
      </c>
      <c r="AN77" s="20">
        <f t="shared" si="4"/>
        <v>0</v>
      </c>
      <c r="AO77" s="20">
        <f t="shared" si="5"/>
        <v>1</v>
      </c>
      <c r="AP77" s="20">
        <f>Table1[[#This Row],[balls scored]]+Table1[[#This Row],[auton balls scored]]</f>
        <v>2</v>
      </c>
      <c r="AQ77" s="20">
        <f>Table1[[#This Row],[balls scored high]]+Table1[[#This Row],[Auton Scored High]]</f>
        <v>2</v>
      </c>
      <c r="AR77" s="20">
        <f>Table1[[#This Row],[balls scored low]]+Table1[[#This Row],[Auton Scored Low]]</f>
        <v>0</v>
      </c>
      <c r="AS77" s="50">
        <f>IF(Table1[[#This Row],[Control Panel Spun Time]]&gt;0,1,0)</f>
        <v>0</v>
      </c>
      <c r="AT77" s="20">
        <f>IF(Table1[[#This Row],[Control Panel Color Time]]&gt;0,1,0)</f>
        <v>0</v>
      </c>
    </row>
    <row r="78" spans="1:46" x14ac:dyDescent="0.25">
      <c r="A78">
        <v>1350</v>
      </c>
      <c r="B78">
        <v>1</v>
      </c>
      <c r="C78">
        <v>0</v>
      </c>
      <c r="D78">
        <v>0</v>
      </c>
      <c r="E78">
        <v>0</v>
      </c>
      <c r="F78">
        <v>0</v>
      </c>
      <c r="G78">
        <v>0</v>
      </c>
      <c r="H78">
        <v>0</v>
      </c>
      <c r="I78" s="8">
        <f>+Table1[[#This Row],[Auton ball picked up in our trench]]+Table1[[#This Row],[Auton Balls Picked Up in Mid]]+Table1[[#This Row],[Auton Balls Picked Up In Their Trench]]</f>
        <v>0</v>
      </c>
      <c r="J78" s="8">
        <f>+Table1[[#This Row],[Auton Scored High]]+Table1[[#This Row],[Auton Scored Low]]</f>
        <v>0</v>
      </c>
      <c r="K7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78">
        <v>0</v>
      </c>
      <c r="M78">
        <v>0</v>
      </c>
      <c r="N78">
        <v>0</v>
      </c>
      <c r="O78">
        <v>0</v>
      </c>
      <c r="P78">
        <v>0</v>
      </c>
      <c r="Q78">
        <v>0</v>
      </c>
      <c r="R78">
        <v>0</v>
      </c>
      <c r="S78">
        <v>0</v>
      </c>
      <c r="T78">
        <v>0</v>
      </c>
      <c r="U78">
        <v>0</v>
      </c>
      <c r="V78" s="8">
        <f>Table1[[#This Row],[Balls Scored From Trench]]+Table1[[#This Row],[Balls Scored from Mid]]+Table1[[#This Row],[Balls Scored From Alliance zone]]</f>
        <v>0</v>
      </c>
      <c r="W78" s="8">
        <f>Table1[[#This Row],[balls scored high]]+Table1[[#This Row],[balls scored low]]</f>
        <v>0</v>
      </c>
      <c r="X78" s="8">
        <f>Table1[[#This Row],[Control Panel Spun Time]]+Table1[[#This Row],[Control Panel Color Time]]</f>
        <v>0</v>
      </c>
      <c r="Y78" s="8">
        <f>Table1[[#This Row],[Control Panels Spun]]+Table1[[#This Row],[Control Panel Color]]</f>
        <v>0</v>
      </c>
      <c r="Z7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78">
        <v>0</v>
      </c>
      <c r="AB78">
        <v>0</v>
      </c>
      <c r="AC78">
        <v>0</v>
      </c>
      <c r="AD78">
        <v>0</v>
      </c>
      <c r="AE78">
        <v>0</v>
      </c>
      <c r="AF78">
        <v>0</v>
      </c>
      <c r="AG78">
        <v>0</v>
      </c>
      <c r="AI78" t="s">
        <v>209</v>
      </c>
      <c r="AJ78" t="s">
        <v>246</v>
      </c>
      <c r="AK78" s="17">
        <f>(Table1[[#This Row],[Climbed]]*weighting!$B$18)+(Table1[[#This Row],[Adjustable Climber]]*weighting!$B$19)+(Table1[[#This Row],[Lift other Robot]]*weighting!$B$20)+(Table1[[#This Row],[Balanced]]*weighting!$B$21)</f>
        <v>0</v>
      </c>
      <c r="AL78" s="8">
        <f>+Table1[[#This Row],[Endgame our score]]+Table1[[#This Row],[teleop our score]]+Table1[[#This Row],[auton our score]]</f>
        <v>0</v>
      </c>
      <c r="AM78" s="20">
        <f t="shared" si="3"/>
        <v>1</v>
      </c>
      <c r="AN78" s="20">
        <f t="shared" si="4"/>
        <v>0</v>
      </c>
      <c r="AO78" s="20">
        <f t="shared" si="5"/>
        <v>0</v>
      </c>
      <c r="AP78" s="20">
        <f>Table1[[#This Row],[balls scored]]+Table1[[#This Row],[auton balls scored]]</f>
        <v>0</v>
      </c>
      <c r="AQ78" s="20">
        <f>Table1[[#This Row],[balls scored high]]+Table1[[#This Row],[Auton Scored High]]</f>
        <v>0</v>
      </c>
      <c r="AR78" s="20">
        <f>Table1[[#This Row],[balls scored low]]+Table1[[#This Row],[Auton Scored Low]]</f>
        <v>0</v>
      </c>
      <c r="AS78" s="50">
        <f>IF(Table1[[#This Row],[Control Panel Spun Time]]&gt;0,1,0)</f>
        <v>0</v>
      </c>
      <c r="AT78" s="20">
        <f>IF(Table1[[#This Row],[Control Panel Color Time]]&gt;0,1,0)</f>
        <v>0</v>
      </c>
    </row>
    <row r="79" spans="1:46" s="2" customFormat="1" x14ac:dyDescent="0.25">
      <c r="A79">
        <v>1350</v>
      </c>
      <c r="B79">
        <v>2</v>
      </c>
      <c r="C79">
        <v>3</v>
      </c>
      <c r="D79">
        <v>0</v>
      </c>
      <c r="E79">
        <v>0</v>
      </c>
      <c r="F79">
        <v>0</v>
      </c>
      <c r="G79">
        <v>0</v>
      </c>
      <c r="H79">
        <v>1</v>
      </c>
      <c r="I79" s="8">
        <f>+Table1[[#This Row],[Auton ball picked up in our trench]]+Table1[[#This Row],[Auton Balls Picked Up in Mid]]+Table1[[#This Row],[Auton Balls Picked Up In Their Trench]]</f>
        <v>0</v>
      </c>
      <c r="J79" s="8">
        <f>+Table1[[#This Row],[Auton Scored High]]+Table1[[#This Row],[Auton Scored Low]]</f>
        <v>3</v>
      </c>
      <c r="K7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79">
        <v>0</v>
      </c>
      <c r="M79">
        <v>0</v>
      </c>
      <c r="N79">
        <v>0</v>
      </c>
      <c r="O79">
        <v>0</v>
      </c>
      <c r="P79">
        <v>0</v>
      </c>
      <c r="Q79">
        <v>0</v>
      </c>
      <c r="R79">
        <v>0</v>
      </c>
      <c r="S79">
        <v>0</v>
      </c>
      <c r="T79">
        <v>0</v>
      </c>
      <c r="U79">
        <v>1</v>
      </c>
      <c r="V79" s="8">
        <f>Table1[[#This Row],[Balls Scored From Trench]]+Table1[[#This Row],[Balls Scored from Mid]]+Table1[[#This Row],[Balls Scored From Alliance zone]]</f>
        <v>0</v>
      </c>
      <c r="W79" s="8">
        <f>Table1[[#This Row],[balls scored high]]+Table1[[#This Row],[balls scored low]]</f>
        <v>0</v>
      </c>
      <c r="X79" s="8">
        <f>Table1[[#This Row],[Control Panel Spun Time]]+Table1[[#This Row],[Control Panel Color Time]]</f>
        <v>0</v>
      </c>
      <c r="Y79" s="8">
        <f>Table1[[#This Row],[Control Panels Spun]]+Table1[[#This Row],[Control Panel Color]]</f>
        <v>0</v>
      </c>
      <c r="Z7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2</v>
      </c>
      <c r="AA79">
        <v>1</v>
      </c>
      <c r="AB79">
        <v>0</v>
      </c>
      <c r="AC79">
        <v>1</v>
      </c>
      <c r="AD79">
        <v>0</v>
      </c>
      <c r="AE79">
        <v>0</v>
      </c>
      <c r="AF79">
        <v>0</v>
      </c>
      <c r="AG79">
        <v>0</v>
      </c>
      <c r="AH79"/>
      <c r="AI79" t="s">
        <v>174</v>
      </c>
      <c r="AJ79" t="s">
        <v>247</v>
      </c>
      <c r="AK79" s="17">
        <f>(Table1[[#This Row],[Climbed]]*weighting!$B$18)+(Table1[[#This Row],[Adjustable Climber]]*weighting!$B$19)+(Table1[[#This Row],[Lift other Robot]]*weighting!$B$20)+(Table1[[#This Row],[Balanced]]*weighting!$B$21)</f>
        <v>40</v>
      </c>
      <c r="AL79" s="8">
        <f>+Table1[[#This Row],[Endgame our score]]+Table1[[#This Row],[teleop our score]]+Table1[[#This Row],[auton our score]]</f>
        <v>52</v>
      </c>
      <c r="AM79" s="20">
        <f t="shared" si="3"/>
        <v>0</v>
      </c>
      <c r="AN79" s="20">
        <f t="shared" si="4"/>
        <v>1</v>
      </c>
      <c r="AO79" s="20">
        <f t="shared" si="5"/>
        <v>0</v>
      </c>
      <c r="AP79" s="20">
        <f>Table1[[#This Row],[balls scored]]+Table1[[#This Row],[auton balls scored]]</f>
        <v>3</v>
      </c>
      <c r="AQ79" s="20">
        <f>Table1[[#This Row],[balls scored high]]+Table1[[#This Row],[Auton Scored High]]</f>
        <v>3</v>
      </c>
      <c r="AR79" s="20">
        <f>Table1[[#This Row],[balls scored low]]+Table1[[#This Row],[Auton Scored Low]]</f>
        <v>0</v>
      </c>
      <c r="AS79" s="50">
        <f>IF(Table1[[#This Row],[Control Panel Spun Time]]&gt;0,1,0)</f>
        <v>0</v>
      </c>
      <c r="AT79" s="20">
        <f>IF(Table1[[#This Row],[Control Panel Color Time]]&gt;0,1,0)</f>
        <v>0</v>
      </c>
    </row>
    <row r="80" spans="1:46" x14ac:dyDescent="0.25">
      <c r="A80">
        <v>1350</v>
      </c>
      <c r="B80">
        <v>1</v>
      </c>
      <c r="C80">
        <v>0</v>
      </c>
      <c r="D80">
        <v>0</v>
      </c>
      <c r="E80">
        <v>0</v>
      </c>
      <c r="F80">
        <v>0</v>
      </c>
      <c r="G80">
        <v>0</v>
      </c>
      <c r="H80">
        <v>0</v>
      </c>
      <c r="I80" s="8">
        <f>+Table1[[#This Row],[Auton ball picked up in our trench]]+Table1[[#This Row],[Auton Balls Picked Up in Mid]]+Table1[[#This Row],[Auton Balls Picked Up In Their Trench]]</f>
        <v>0</v>
      </c>
      <c r="J80" s="8">
        <f>+Table1[[#This Row],[Auton Scored High]]+Table1[[#This Row],[Auton Scored Low]]</f>
        <v>0</v>
      </c>
      <c r="K8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80">
        <v>0</v>
      </c>
      <c r="M80">
        <v>0</v>
      </c>
      <c r="N80">
        <v>0</v>
      </c>
      <c r="O80">
        <v>0</v>
      </c>
      <c r="P80">
        <v>0</v>
      </c>
      <c r="Q80">
        <v>0</v>
      </c>
      <c r="R80">
        <v>0</v>
      </c>
      <c r="S80">
        <v>0</v>
      </c>
      <c r="T80">
        <v>0</v>
      </c>
      <c r="U80">
        <v>0</v>
      </c>
      <c r="V80" s="8">
        <f>Table1[[#This Row],[Balls Scored From Trench]]+Table1[[#This Row],[Balls Scored from Mid]]+Table1[[#This Row],[Balls Scored From Alliance zone]]</f>
        <v>0</v>
      </c>
      <c r="W80" s="8">
        <f>Table1[[#This Row],[balls scored high]]+Table1[[#This Row],[balls scored low]]</f>
        <v>0</v>
      </c>
      <c r="X80" s="8">
        <f>Table1[[#This Row],[Control Panel Spun Time]]+Table1[[#This Row],[Control Panel Color Time]]</f>
        <v>0</v>
      </c>
      <c r="Y80" s="8">
        <f>Table1[[#This Row],[Control Panels Spun]]+Table1[[#This Row],[Control Panel Color]]</f>
        <v>0</v>
      </c>
      <c r="Z8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80">
        <v>0</v>
      </c>
      <c r="AB80">
        <v>0</v>
      </c>
      <c r="AC80">
        <v>0</v>
      </c>
      <c r="AD80">
        <v>0</v>
      </c>
      <c r="AE80">
        <v>0</v>
      </c>
      <c r="AF80">
        <v>1</v>
      </c>
      <c r="AG80">
        <v>0</v>
      </c>
      <c r="AI80" t="s">
        <v>176</v>
      </c>
      <c r="AJ80" t="s">
        <v>248</v>
      </c>
      <c r="AK80" s="17">
        <f>(Table1[[#This Row],[Climbed]]*weighting!$B$18)+(Table1[[#This Row],[Adjustable Climber]]*weighting!$B$19)+(Table1[[#This Row],[Lift other Robot]]*weighting!$B$20)+(Table1[[#This Row],[Balanced]]*weighting!$B$21)</f>
        <v>0</v>
      </c>
      <c r="AL80" s="8">
        <f>+Table1[[#This Row],[Endgame our score]]+Table1[[#This Row],[teleop our score]]+Table1[[#This Row],[auton our score]]</f>
        <v>0</v>
      </c>
      <c r="AM80" s="20">
        <f t="shared" si="3"/>
        <v>1</v>
      </c>
      <c r="AN80" s="20">
        <f t="shared" si="4"/>
        <v>0</v>
      </c>
      <c r="AO80" s="20">
        <f t="shared" si="5"/>
        <v>0</v>
      </c>
      <c r="AP80" s="20">
        <f>Table1[[#This Row],[balls scored]]+Table1[[#This Row],[auton balls scored]]</f>
        <v>0</v>
      </c>
      <c r="AQ80" s="20">
        <f>Table1[[#This Row],[balls scored high]]+Table1[[#This Row],[Auton Scored High]]</f>
        <v>0</v>
      </c>
      <c r="AR80" s="20">
        <f>Table1[[#This Row],[balls scored low]]+Table1[[#This Row],[Auton Scored Low]]</f>
        <v>0</v>
      </c>
      <c r="AS80" s="50">
        <f>IF(Table1[[#This Row],[Control Panel Spun Time]]&gt;0,1,0)</f>
        <v>0</v>
      </c>
      <c r="AT80" s="20">
        <f>IF(Table1[[#This Row],[Control Panel Color Time]]&gt;0,1,0)</f>
        <v>0</v>
      </c>
    </row>
    <row r="81" spans="1:46" s="2" customFormat="1" x14ac:dyDescent="0.25">
      <c r="A81">
        <v>1350</v>
      </c>
      <c r="B81">
        <v>1</v>
      </c>
      <c r="C81">
        <v>0</v>
      </c>
      <c r="D81">
        <v>0</v>
      </c>
      <c r="E81">
        <v>0</v>
      </c>
      <c r="F81">
        <v>0</v>
      </c>
      <c r="G81">
        <v>0</v>
      </c>
      <c r="H81">
        <v>1</v>
      </c>
      <c r="I81" s="8">
        <f>+Table1[[#This Row],[Auton ball picked up in our trench]]+Table1[[#This Row],[Auton Balls Picked Up in Mid]]+Table1[[#This Row],[Auton Balls Picked Up In Their Trench]]</f>
        <v>0</v>
      </c>
      <c r="J81" s="8">
        <f>+Table1[[#This Row],[Auton Scored High]]+Table1[[#This Row],[Auton Scored Low]]</f>
        <v>0</v>
      </c>
      <c r="K8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81">
        <v>0</v>
      </c>
      <c r="M81">
        <v>0</v>
      </c>
      <c r="N81">
        <v>0</v>
      </c>
      <c r="O81">
        <v>0</v>
      </c>
      <c r="P81">
        <v>0</v>
      </c>
      <c r="Q81">
        <v>0</v>
      </c>
      <c r="R81">
        <v>0</v>
      </c>
      <c r="S81">
        <v>0</v>
      </c>
      <c r="T81">
        <v>0</v>
      </c>
      <c r="U81">
        <v>0</v>
      </c>
      <c r="V81" s="8">
        <f>Table1[[#This Row],[Balls Scored From Trench]]+Table1[[#This Row],[Balls Scored from Mid]]+Table1[[#This Row],[Balls Scored From Alliance zone]]</f>
        <v>0</v>
      </c>
      <c r="W81" s="8">
        <f>Table1[[#This Row],[balls scored high]]+Table1[[#This Row],[balls scored low]]</f>
        <v>0</v>
      </c>
      <c r="X81" s="8">
        <f>Table1[[#This Row],[Control Panel Spun Time]]+Table1[[#This Row],[Control Panel Color Time]]</f>
        <v>0</v>
      </c>
      <c r="Y81" s="8">
        <f>Table1[[#This Row],[Control Panels Spun]]+Table1[[#This Row],[Control Panel Color]]</f>
        <v>0</v>
      </c>
      <c r="Z8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81">
        <v>0</v>
      </c>
      <c r="AB81">
        <v>0</v>
      </c>
      <c r="AC81">
        <v>0</v>
      </c>
      <c r="AD81">
        <v>0</v>
      </c>
      <c r="AE81">
        <v>0</v>
      </c>
      <c r="AF81">
        <v>0</v>
      </c>
      <c r="AG81">
        <v>0</v>
      </c>
      <c r="AH81"/>
      <c r="AI81" t="s">
        <v>179</v>
      </c>
      <c r="AJ81"/>
      <c r="AK81" s="17">
        <f>(Table1[[#This Row],[Climbed]]*weighting!$B$18)+(Table1[[#This Row],[Adjustable Climber]]*weighting!$B$19)+(Table1[[#This Row],[Lift other Robot]]*weighting!$B$20)+(Table1[[#This Row],[Balanced]]*weighting!$B$21)</f>
        <v>0</v>
      </c>
      <c r="AL81" s="8">
        <f>+Table1[[#This Row],[Endgame our score]]+Table1[[#This Row],[teleop our score]]+Table1[[#This Row],[auton our score]]</f>
        <v>1</v>
      </c>
      <c r="AM81" s="20">
        <f t="shared" si="3"/>
        <v>1</v>
      </c>
      <c r="AN81" s="20">
        <f t="shared" si="4"/>
        <v>0</v>
      </c>
      <c r="AO81" s="20">
        <f t="shared" si="5"/>
        <v>0</v>
      </c>
      <c r="AP81" s="20">
        <f>Table1[[#This Row],[balls scored]]+Table1[[#This Row],[auton balls scored]]</f>
        <v>0</v>
      </c>
      <c r="AQ81" s="20">
        <f>Table1[[#This Row],[balls scored high]]+Table1[[#This Row],[Auton Scored High]]</f>
        <v>0</v>
      </c>
      <c r="AR81" s="20">
        <f>Table1[[#This Row],[balls scored low]]+Table1[[#This Row],[Auton Scored Low]]</f>
        <v>0</v>
      </c>
      <c r="AS81" s="50">
        <f>IF(Table1[[#This Row],[Control Panel Spun Time]]&gt;0,1,0)</f>
        <v>0</v>
      </c>
      <c r="AT81" s="20">
        <f>IF(Table1[[#This Row],[Control Panel Color Time]]&gt;0,1,0)</f>
        <v>0</v>
      </c>
    </row>
    <row r="82" spans="1:46" x14ac:dyDescent="0.25">
      <c r="A82">
        <v>1350</v>
      </c>
      <c r="B82">
        <v>3</v>
      </c>
      <c r="C82">
        <v>0</v>
      </c>
      <c r="D82">
        <v>0</v>
      </c>
      <c r="E82">
        <v>0</v>
      </c>
      <c r="F82">
        <v>0</v>
      </c>
      <c r="G82">
        <v>0</v>
      </c>
      <c r="H82">
        <v>0</v>
      </c>
      <c r="I82" s="8">
        <f>+Table1[[#This Row],[Auton ball picked up in our trench]]+Table1[[#This Row],[Auton Balls Picked Up in Mid]]+Table1[[#This Row],[Auton Balls Picked Up In Their Trench]]</f>
        <v>0</v>
      </c>
      <c r="J82" s="8">
        <f>+Table1[[#This Row],[Auton Scored High]]+Table1[[#This Row],[Auton Scored Low]]</f>
        <v>0</v>
      </c>
      <c r="K8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82">
        <v>0</v>
      </c>
      <c r="M82">
        <v>0</v>
      </c>
      <c r="N82">
        <v>0</v>
      </c>
      <c r="O82">
        <v>0</v>
      </c>
      <c r="P82">
        <v>0</v>
      </c>
      <c r="Q82">
        <v>0</v>
      </c>
      <c r="R82">
        <v>0</v>
      </c>
      <c r="S82">
        <v>0</v>
      </c>
      <c r="T82">
        <v>0</v>
      </c>
      <c r="U82">
        <v>0</v>
      </c>
      <c r="V82" s="8">
        <f>Table1[[#This Row],[Balls Scored From Trench]]+Table1[[#This Row],[Balls Scored from Mid]]+Table1[[#This Row],[Balls Scored From Alliance zone]]</f>
        <v>0</v>
      </c>
      <c r="W82" s="8">
        <f>Table1[[#This Row],[balls scored high]]+Table1[[#This Row],[balls scored low]]</f>
        <v>0</v>
      </c>
      <c r="X82" s="8">
        <f>Table1[[#This Row],[Control Panel Spun Time]]+Table1[[#This Row],[Control Panel Color Time]]</f>
        <v>0</v>
      </c>
      <c r="Y82" s="8">
        <f>Table1[[#This Row],[Control Panels Spun]]+Table1[[#This Row],[Control Panel Color]]</f>
        <v>0</v>
      </c>
      <c r="Z8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82">
        <v>0</v>
      </c>
      <c r="AB82">
        <v>0</v>
      </c>
      <c r="AC82">
        <v>0</v>
      </c>
      <c r="AD82">
        <v>0</v>
      </c>
      <c r="AE82">
        <v>0</v>
      </c>
      <c r="AF82">
        <v>0</v>
      </c>
      <c r="AG82">
        <v>0</v>
      </c>
      <c r="AI82" t="s">
        <v>174</v>
      </c>
      <c r="AJ82" t="s">
        <v>312</v>
      </c>
      <c r="AK82" s="17">
        <f>(Table1[[#This Row],[Climbed]]*weighting!$B$18)+(Table1[[#This Row],[Adjustable Climber]]*weighting!$B$19)+(Table1[[#This Row],[Lift other Robot]]*weighting!$B$20)+(Table1[[#This Row],[Balanced]]*weighting!$B$21)</f>
        <v>0</v>
      </c>
      <c r="AL82" s="8">
        <f>+Table1[[#This Row],[Endgame our score]]+Table1[[#This Row],[teleop our score]]+Table1[[#This Row],[auton our score]]</f>
        <v>0</v>
      </c>
      <c r="AM82" s="20">
        <f t="shared" si="3"/>
        <v>0</v>
      </c>
      <c r="AN82" s="20">
        <f t="shared" si="4"/>
        <v>0</v>
      </c>
      <c r="AO82" s="20">
        <f t="shared" si="5"/>
        <v>1</v>
      </c>
      <c r="AP82" s="20">
        <f>Table1[[#This Row],[balls scored]]+Table1[[#This Row],[auton balls scored]]</f>
        <v>0</v>
      </c>
      <c r="AQ82" s="20">
        <f>Table1[[#This Row],[balls scored high]]+Table1[[#This Row],[Auton Scored High]]</f>
        <v>0</v>
      </c>
      <c r="AR82" s="20">
        <f>Table1[[#This Row],[balls scored low]]+Table1[[#This Row],[Auton Scored Low]]</f>
        <v>0</v>
      </c>
      <c r="AS82" s="50">
        <f>IF(Table1[[#This Row],[Control Panel Spun Time]]&gt;0,1,0)</f>
        <v>0</v>
      </c>
      <c r="AT82" s="20">
        <f>IF(Table1[[#This Row],[Control Panel Color Time]]&gt;0,1,0)</f>
        <v>0</v>
      </c>
    </row>
    <row r="83" spans="1:46" s="2" customFormat="1" x14ac:dyDescent="0.25">
      <c r="A83">
        <v>1350</v>
      </c>
      <c r="B83">
        <v>1</v>
      </c>
      <c r="C83">
        <v>0</v>
      </c>
      <c r="D83">
        <v>0</v>
      </c>
      <c r="E83">
        <v>0</v>
      </c>
      <c r="F83">
        <v>0</v>
      </c>
      <c r="G83">
        <v>0</v>
      </c>
      <c r="H83">
        <v>1</v>
      </c>
      <c r="I83" s="8">
        <f>+Table1[[#This Row],[Auton ball picked up in our trench]]+Table1[[#This Row],[Auton Balls Picked Up in Mid]]+Table1[[#This Row],[Auton Balls Picked Up In Their Trench]]</f>
        <v>0</v>
      </c>
      <c r="J83" s="8">
        <f>+Table1[[#This Row],[Auton Scored High]]+Table1[[#This Row],[Auton Scored Low]]</f>
        <v>0</v>
      </c>
      <c r="K8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83">
        <v>0</v>
      </c>
      <c r="M83">
        <v>0</v>
      </c>
      <c r="N83">
        <v>3</v>
      </c>
      <c r="O83">
        <v>0</v>
      </c>
      <c r="P83">
        <v>0</v>
      </c>
      <c r="Q83">
        <v>0</v>
      </c>
      <c r="R83">
        <v>0</v>
      </c>
      <c r="S83">
        <v>0</v>
      </c>
      <c r="T83">
        <v>0</v>
      </c>
      <c r="U83">
        <v>0</v>
      </c>
      <c r="V83" s="8">
        <f>Table1[[#This Row],[Balls Scored From Trench]]+Table1[[#This Row],[Balls Scored from Mid]]+Table1[[#This Row],[Balls Scored From Alliance zone]]</f>
        <v>3</v>
      </c>
      <c r="W83" s="8">
        <f>Table1[[#This Row],[balls scored high]]+Table1[[#This Row],[balls scored low]]</f>
        <v>3</v>
      </c>
      <c r="X83" s="8">
        <f>Table1[[#This Row],[Control Panel Spun Time]]+Table1[[#This Row],[Control Panel Color Time]]</f>
        <v>0</v>
      </c>
      <c r="Y83" s="8">
        <f>Table1[[#This Row],[Control Panels Spun]]+Table1[[#This Row],[Control Panel Color]]</f>
        <v>0</v>
      </c>
      <c r="Z8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3</v>
      </c>
      <c r="AA83">
        <v>0</v>
      </c>
      <c r="AB83">
        <v>0</v>
      </c>
      <c r="AC83">
        <v>0</v>
      </c>
      <c r="AD83">
        <v>0</v>
      </c>
      <c r="AE83">
        <v>0</v>
      </c>
      <c r="AF83">
        <v>1</v>
      </c>
      <c r="AG83">
        <v>1</v>
      </c>
      <c r="AH83"/>
      <c r="AI83" t="s">
        <v>184</v>
      </c>
      <c r="AJ83" t="s">
        <v>313</v>
      </c>
      <c r="AK83" s="17">
        <f>(Table1[[#This Row],[Climbed]]*weighting!$B$18)+(Table1[[#This Row],[Adjustable Climber]]*weighting!$B$19)+(Table1[[#This Row],[Lift other Robot]]*weighting!$B$20)+(Table1[[#This Row],[Balanced]]*weighting!$B$21)</f>
        <v>0</v>
      </c>
      <c r="AL83" s="8">
        <f>+Table1[[#This Row],[Endgame our score]]+Table1[[#This Row],[teleop our score]]+Table1[[#This Row],[auton our score]]</f>
        <v>4</v>
      </c>
      <c r="AM83" s="20">
        <f t="shared" si="3"/>
        <v>1</v>
      </c>
      <c r="AN83" s="20">
        <f t="shared" si="4"/>
        <v>0</v>
      </c>
      <c r="AO83" s="20">
        <f t="shared" si="5"/>
        <v>0</v>
      </c>
      <c r="AP83" s="20">
        <f>Table1[[#This Row],[balls scored]]+Table1[[#This Row],[auton balls scored]]</f>
        <v>3</v>
      </c>
      <c r="AQ83" s="20">
        <f>Table1[[#This Row],[balls scored high]]+Table1[[#This Row],[Auton Scored High]]</f>
        <v>3</v>
      </c>
      <c r="AR83" s="20">
        <f>Table1[[#This Row],[balls scored low]]+Table1[[#This Row],[Auton Scored Low]]</f>
        <v>0</v>
      </c>
      <c r="AS83" s="50">
        <f>IF(Table1[[#This Row],[Control Panel Spun Time]]&gt;0,1,0)</f>
        <v>0</v>
      </c>
      <c r="AT83" s="20">
        <f>IF(Table1[[#This Row],[Control Panel Color Time]]&gt;0,1,0)</f>
        <v>0</v>
      </c>
    </row>
    <row r="84" spans="1:46" x14ac:dyDescent="0.25">
      <c r="A84">
        <v>1735</v>
      </c>
      <c r="B84">
        <v>3</v>
      </c>
      <c r="C84">
        <v>2</v>
      </c>
      <c r="D84">
        <v>0</v>
      </c>
      <c r="E84">
        <v>0</v>
      </c>
      <c r="F84">
        <v>0</v>
      </c>
      <c r="G84">
        <v>0</v>
      </c>
      <c r="H84">
        <v>1</v>
      </c>
      <c r="I84" s="8">
        <f>+Table1[[#This Row],[Auton ball picked up in our trench]]+Table1[[#This Row],[Auton Balls Picked Up in Mid]]+Table1[[#This Row],[Auton Balls Picked Up In Their Trench]]</f>
        <v>0</v>
      </c>
      <c r="J84" s="8">
        <f>+Table1[[#This Row],[Auton Scored High]]+Table1[[#This Row],[Auton Scored Low]]</f>
        <v>2</v>
      </c>
      <c r="K8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7</v>
      </c>
      <c r="L84">
        <v>0</v>
      </c>
      <c r="M84">
        <v>0</v>
      </c>
      <c r="N84">
        <v>0</v>
      </c>
      <c r="O84">
        <v>0</v>
      </c>
      <c r="P84">
        <v>0</v>
      </c>
      <c r="Q84">
        <v>0</v>
      </c>
      <c r="R84">
        <v>0</v>
      </c>
      <c r="S84">
        <v>0</v>
      </c>
      <c r="T84">
        <v>0</v>
      </c>
      <c r="U84">
        <v>0</v>
      </c>
      <c r="V84" s="8">
        <f>Table1[[#This Row],[Balls Scored From Trench]]+Table1[[#This Row],[Balls Scored from Mid]]+Table1[[#This Row],[Balls Scored From Alliance zone]]</f>
        <v>0</v>
      </c>
      <c r="W84" s="8">
        <f>Table1[[#This Row],[balls scored high]]+Table1[[#This Row],[balls scored low]]</f>
        <v>0</v>
      </c>
      <c r="X84" s="8">
        <f>Table1[[#This Row],[Control Panel Spun Time]]+Table1[[#This Row],[Control Panel Color Time]]</f>
        <v>0</v>
      </c>
      <c r="Y84" s="8">
        <f>Table1[[#This Row],[Control Panels Spun]]+Table1[[#This Row],[Control Panel Color]]</f>
        <v>0</v>
      </c>
      <c r="Z8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84">
        <v>0</v>
      </c>
      <c r="AB84">
        <v>0</v>
      </c>
      <c r="AC84">
        <v>0</v>
      </c>
      <c r="AD84">
        <v>0</v>
      </c>
      <c r="AE84">
        <v>0</v>
      </c>
      <c r="AF84">
        <v>0</v>
      </c>
      <c r="AG84">
        <v>0</v>
      </c>
      <c r="AI84" t="s">
        <v>179</v>
      </c>
      <c r="AJ84" t="s">
        <v>182</v>
      </c>
      <c r="AK84" s="17">
        <f>(Table1[[#This Row],[Climbed]]*weighting!$B$18)+(Table1[[#This Row],[Adjustable Climber]]*weighting!$B$19)+(Table1[[#This Row],[Lift other Robot]]*weighting!$B$20)+(Table1[[#This Row],[Balanced]]*weighting!$B$21)</f>
        <v>0</v>
      </c>
      <c r="AL84" s="8">
        <f>+Table1[[#This Row],[Endgame our score]]+Table1[[#This Row],[teleop our score]]+Table1[[#This Row],[auton our score]]</f>
        <v>7</v>
      </c>
      <c r="AM84" s="20">
        <f t="shared" si="3"/>
        <v>0</v>
      </c>
      <c r="AN84" s="20">
        <f t="shared" si="4"/>
        <v>0</v>
      </c>
      <c r="AO84" s="20">
        <f t="shared" si="5"/>
        <v>1</v>
      </c>
      <c r="AP84" s="20">
        <f>Table1[[#This Row],[balls scored]]+Table1[[#This Row],[auton balls scored]]</f>
        <v>2</v>
      </c>
      <c r="AQ84" s="20">
        <f>Table1[[#This Row],[balls scored high]]+Table1[[#This Row],[Auton Scored High]]</f>
        <v>2</v>
      </c>
      <c r="AR84" s="20">
        <f>Table1[[#This Row],[balls scored low]]+Table1[[#This Row],[Auton Scored Low]]</f>
        <v>0</v>
      </c>
      <c r="AS84" s="50">
        <f>IF(Table1[[#This Row],[Control Panel Spun Time]]&gt;0,1,0)</f>
        <v>0</v>
      </c>
      <c r="AT84" s="20">
        <f>IF(Table1[[#This Row],[Control Panel Color Time]]&gt;0,1,0)</f>
        <v>0</v>
      </c>
    </row>
    <row r="85" spans="1:46" s="2" customFormat="1" x14ac:dyDescent="0.25">
      <c r="A85">
        <v>1735</v>
      </c>
      <c r="B85">
        <v>3</v>
      </c>
      <c r="C85">
        <v>0</v>
      </c>
      <c r="D85">
        <v>0</v>
      </c>
      <c r="E85">
        <v>0</v>
      </c>
      <c r="F85">
        <v>0</v>
      </c>
      <c r="G85">
        <v>0</v>
      </c>
      <c r="H85">
        <v>1</v>
      </c>
      <c r="I85" s="8">
        <f>+Table1[[#This Row],[Auton ball picked up in our trench]]+Table1[[#This Row],[Auton Balls Picked Up in Mid]]+Table1[[#This Row],[Auton Balls Picked Up In Their Trench]]</f>
        <v>0</v>
      </c>
      <c r="J85" s="8">
        <f>+Table1[[#This Row],[Auton Scored High]]+Table1[[#This Row],[Auton Scored Low]]</f>
        <v>0</v>
      </c>
      <c r="K8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85">
        <v>0</v>
      </c>
      <c r="M85">
        <v>0</v>
      </c>
      <c r="N85">
        <v>2</v>
      </c>
      <c r="O85">
        <v>0</v>
      </c>
      <c r="P85">
        <v>0</v>
      </c>
      <c r="Q85">
        <v>0</v>
      </c>
      <c r="R85">
        <v>0</v>
      </c>
      <c r="S85">
        <v>0</v>
      </c>
      <c r="T85">
        <v>0</v>
      </c>
      <c r="U85">
        <v>0</v>
      </c>
      <c r="V85" s="8">
        <f>Table1[[#This Row],[Balls Scored From Trench]]+Table1[[#This Row],[Balls Scored from Mid]]+Table1[[#This Row],[Balls Scored From Alliance zone]]</f>
        <v>2</v>
      </c>
      <c r="W85" s="8">
        <f>Table1[[#This Row],[balls scored high]]+Table1[[#This Row],[balls scored low]]</f>
        <v>2</v>
      </c>
      <c r="X85" s="8">
        <f>Table1[[#This Row],[Control Panel Spun Time]]+Table1[[#This Row],[Control Panel Color Time]]</f>
        <v>0</v>
      </c>
      <c r="Y85" s="8">
        <f>Table1[[#This Row],[Control Panels Spun]]+Table1[[#This Row],[Control Panel Color]]</f>
        <v>0</v>
      </c>
      <c r="Z8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2</v>
      </c>
      <c r="AA85">
        <v>0</v>
      </c>
      <c r="AB85">
        <v>0</v>
      </c>
      <c r="AC85">
        <v>0</v>
      </c>
      <c r="AD85">
        <v>0</v>
      </c>
      <c r="AE85">
        <v>0</v>
      </c>
      <c r="AF85">
        <v>0</v>
      </c>
      <c r="AG85">
        <v>0</v>
      </c>
      <c r="AH85"/>
      <c r="AI85" t="s">
        <v>184</v>
      </c>
      <c r="AJ85" t="s">
        <v>214</v>
      </c>
      <c r="AK85" s="17">
        <f>(Table1[[#This Row],[Climbed]]*weighting!$B$18)+(Table1[[#This Row],[Adjustable Climber]]*weighting!$B$19)+(Table1[[#This Row],[Lift other Robot]]*weighting!$B$20)+(Table1[[#This Row],[Balanced]]*weighting!$B$21)</f>
        <v>0</v>
      </c>
      <c r="AL85" s="8">
        <f>+Table1[[#This Row],[Endgame our score]]+Table1[[#This Row],[teleop our score]]+Table1[[#This Row],[auton our score]]</f>
        <v>3</v>
      </c>
      <c r="AM85" s="20">
        <f t="shared" si="3"/>
        <v>0</v>
      </c>
      <c r="AN85" s="20">
        <f t="shared" si="4"/>
        <v>0</v>
      </c>
      <c r="AO85" s="20">
        <f t="shared" si="5"/>
        <v>1</v>
      </c>
      <c r="AP85" s="20">
        <f>Table1[[#This Row],[balls scored]]+Table1[[#This Row],[auton balls scored]]</f>
        <v>2</v>
      </c>
      <c r="AQ85" s="20">
        <f>Table1[[#This Row],[balls scored high]]+Table1[[#This Row],[Auton Scored High]]</f>
        <v>2</v>
      </c>
      <c r="AR85" s="20">
        <f>Table1[[#This Row],[balls scored low]]+Table1[[#This Row],[Auton Scored Low]]</f>
        <v>0</v>
      </c>
      <c r="AS85" s="50">
        <f>IF(Table1[[#This Row],[Control Panel Spun Time]]&gt;0,1,0)</f>
        <v>0</v>
      </c>
      <c r="AT85" s="20">
        <f>IF(Table1[[#This Row],[Control Panel Color Time]]&gt;0,1,0)</f>
        <v>0</v>
      </c>
    </row>
    <row r="86" spans="1:46" x14ac:dyDescent="0.25">
      <c r="A86">
        <v>1735</v>
      </c>
      <c r="B86">
        <v>3</v>
      </c>
      <c r="C86">
        <v>2</v>
      </c>
      <c r="D86">
        <v>0</v>
      </c>
      <c r="E86">
        <v>0</v>
      </c>
      <c r="F86">
        <v>0</v>
      </c>
      <c r="G86">
        <v>0</v>
      </c>
      <c r="H86">
        <v>1</v>
      </c>
      <c r="I86" s="8">
        <f>+Table1[[#This Row],[Auton ball picked up in our trench]]+Table1[[#This Row],[Auton Balls Picked Up in Mid]]+Table1[[#This Row],[Auton Balls Picked Up In Their Trench]]</f>
        <v>0</v>
      </c>
      <c r="J86" s="8">
        <f>+Table1[[#This Row],[Auton Scored High]]+Table1[[#This Row],[Auton Scored Low]]</f>
        <v>2</v>
      </c>
      <c r="K8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7</v>
      </c>
      <c r="L86">
        <v>0</v>
      </c>
      <c r="M86">
        <v>0</v>
      </c>
      <c r="N86">
        <v>2</v>
      </c>
      <c r="O86">
        <v>0</v>
      </c>
      <c r="P86">
        <v>0</v>
      </c>
      <c r="Q86">
        <v>0</v>
      </c>
      <c r="R86">
        <v>0</v>
      </c>
      <c r="S86">
        <v>0</v>
      </c>
      <c r="T86">
        <v>0</v>
      </c>
      <c r="U86">
        <v>0</v>
      </c>
      <c r="V86" s="8">
        <f>Table1[[#This Row],[Balls Scored From Trench]]+Table1[[#This Row],[Balls Scored from Mid]]+Table1[[#This Row],[Balls Scored From Alliance zone]]</f>
        <v>2</v>
      </c>
      <c r="W86" s="8">
        <f>Table1[[#This Row],[balls scored high]]+Table1[[#This Row],[balls scored low]]</f>
        <v>2</v>
      </c>
      <c r="X86" s="8">
        <f>Table1[[#This Row],[Control Panel Spun Time]]+Table1[[#This Row],[Control Panel Color Time]]</f>
        <v>0</v>
      </c>
      <c r="Y86" s="8">
        <f>Table1[[#This Row],[Control Panels Spun]]+Table1[[#This Row],[Control Panel Color]]</f>
        <v>0</v>
      </c>
      <c r="Z8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2</v>
      </c>
      <c r="AA86">
        <v>0</v>
      </c>
      <c r="AB86">
        <v>0</v>
      </c>
      <c r="AC86">
        <v>0</v>
      </c>
      <c r="AD86">
        <v>0</v>
      </c>
      <c r="AE86">
        <v>0</v>
      </c>
      <c r="AF86">
        <v>0</v>
      </c>
      <c r="AG86">
        <v>0</v>
      </c>
      <c r="AI86" t="s">
        <v>184</v>
      </c>
      <c r="AJ86" t="s">
        <v>280</v>
      </c>
      <c r="AK86" s="17">
        <f>(Table1[[#This Row],[Climbed]]*weighting!$B$18)+(Table1[[#This Row],[Adjustable Climber]]*weighting!$B$19)+(Table1[[#This Row],[Lift other Robot]]*weighting!$B$20)+(Table1[[#This Row],[Balanced]]*weighting!$B$21)</f>
        <v>0</v>
      </c>
      <c r="AL86" s="8">
        <f>+Table1[[#This Row],[Endgame our score]]+Table1[[#This Row],[teleop our score]]+Table1[[#This Row],[auton our score]]</f>
        <v>9</v>
      </c>
      <c r="AM86" s="20">
        <f t="shared" si="3"/>
        <v>0</v>
      </c>
      <c r="AN86" s="20">
        <f t="shared" si="4"/>
        <v>0</v>
      </c>
      <c r="AO86" s="20">
        <f t="shared" si="5"/>
        <v>1</v>
      </c>
      <c r="AP86" s="20">
        <f>Table1[[#This Row],[balls scored]]+Table1[[#This Row],[auton balls scored]]</f>
        <v>4</v>
      </c>
      <c r="AQ86" s="20">
        <f>Table1[[#This Row],[balls scored high]]+Table1[[#This Row],[Auton Scored High]]</f>
        <v>4</v>
      </c>
      <c r="AR86" s="20">
        <f>Table1[[#This Row],[balls scored low]]+Table1[[#This Row],[Auton Scored Low]]</f>
        <v>0</v>
      </c>
      <c r="AS86" s="50">
        <f>IF(Table1[[#This Row],[Control Panel Spun Time]]&gt;0,1,0)</f>
        <v>0</v>
      </c>
      <c r="AT86" s="20">
        <f>IF(Table1[[#This Row],[Control Panel Color Time]]&gt;0,1,0)</f>
        <v>0</v>
      </c>
    </row>
    <row r="87" spans="1:46" s="2" customFormat="1" x14ac:dyDescent="0.25">
      <c r="A87">
        <v>1735</v>
      </c>
      <c r="B87">
        <v>1</v>
      </c>
      <c r="C87">
        <v>2</v>
      </c>
      <c r="D87">
        <v>0</v>
      </c>
      <c r="E87">
        <v>0</v>
      </c>
      <c r="F87">
        <v>0</v>
      </c>
      <c r="G87">
        <v>0</v>
      </c>
      <c r="H87">
        <v>1</v>
      </c>
      <c r="I87" s="8">
        <f>+Table1[[#This Row],[Auton ball picked up in our trench]]+Table1[[#This Row],[Auton Balls Picked Up in Mid]]+Table1[[#This Row],[Auton Balls Picked Up In Their Trench]]</f>
        <v>0</v>
      </c>
      <c r="J87" s="8">
        <f>+Table1[[#This Row],[Auton Scored High]]+Table1[[#This Row],[Auton Scored Low]]</f>
        <v>2</v>
      </c>
      <c r="K8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7</v>
      </c>
      <c r="L87">
        <v>0</v>
      </c>
      <c r="M87">
        <v>0</v>
      </c>
      <c r="N87">
        <v>1</v>
      </c>
      <c r="O87">
        <v>0</v>
      </c>
      <c r="P87">
        <v>0</v>
      </c>
      <c r="Q87">
        <v>0</v>
      </c>
      <c r="R87">
        <v>0</v>
      </c>
      <c r="S87">
        <v>0</v>
      </c>
      <c r="T87">
        <v>0</v>
      </c>
      <c r="U87">
        <v>0</v>
      </c>
      <c r="V87" s="8">
        <f>Table1[[#This Row],[Balls Scored From Trench]]+Table1[[#This Row],[Balls Scored from Mid]]+Table1[[#This Row],[Balls Scored From Alliance zone]]</f>
        <v>1</v>
      </c>
      <c r="W87" s="8">
        <f>Table1[[#This Row],[balls scored high]]+Table1[[#This Row],[balls scored low]]</f>
        <v>1</v>
      </c>
      <c r="X87" s="8">
        <f>Table1[[#This Row],[Control Panel Spun Time]]+Table1[[#This Row],[Control Panel Color Time]]</f>
        <v>0</v>
      </c>
      <c r="Y87" s="8">
        <f>Table1[[#This Row],[Control Panels Spun]]+Table1[[#This Row],[Control Panel Color]]</f>
        <v>0</v>
      </c>
      <c r="Z8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v>
      </c>
      <c r="AA87">
        <v>0</v>
      </c>
      <c r="AB87">
        <v>0</v>
      </c>
      <c r="AC87">
        <v>0</v>
      </c>
      <c r="AD87">
        <v>0</v>
      </c>
      <c r="AE87">
        <v>0</v>
      </c>
      <c r="AF87">
        <v>0</v>
      </c>
      <c r="AG87">
        <v>0</v>
      </c>
      <c r="AH87"/>
      <c r="AI87" t="s">
        <v>176</v>
      </c>
      <c r="AJ87"/>
      <c r="AK87" s="17">
        <f>(Table1[[#This Row],[Climbed]]*weighting!$B$18)+(Table1[[#This Row],[Adjustable Climber]]*weighting!$B$19)+(Table1[[#This Row],[Lift other Robot]]*weighting!$B$20)+(Table1[[#This Row],[Balanced]]*weighting!$B$21)</f>
        <v>0</v>
      </c>
      <c r="AL87" s="8">
        <f>+Table1[[#This Row],[Endgame our score]]+Table1[[#This Row],[teleop our score]]+Table1[[#This Row],[auton our score]]</f>
        <v>8</v>
      </c>
      <c r="AM87" s="20">
        <f t="shared" si="3"/>
        <v>1</v>
      </c>
      <c r="AN87" s="20">
        <f t="shared" si="4"/>
        <v>0</v>
      </c>
      <c r="AO87" s="20">
        <f t="shared" si="5"/>
        <v>0</v>
      </c>
      <c r="AP87" s="20">
        <f>Table1[[#This Row],[balls scored]]+Table1[[#This Row],[auton balls scored]]</f>
        <v>3</v>
      </c>
      <c r="AQ87" s="20">
        <f>Table1[[#This Row],[balls scored high]]+Table1[[#This Row],[Auton Scored High]]</f>
        <v>3</v>
      </c>
      <c r="AR87" s="20">
        <f>Table1[[#This Row],[balls scored low]]+Table1[[#This Row],[Auton Scored Low]]</f>
        <v>0</v>
      </c>
      <c r="AS87" s="50">
        <f>IF(Table1[[#This Row],[Control Panel Spun Time]]&gt;0,1,0)</f>
        <v>0</v>
      </c>
      <c r="AT87" s="20">
        <f>IF(Table1[[#This Row],[Control Panel Color Time]]&gt;0,1,0)</f>
        <v>0</v>
      </c>
    </row>
    <row r="88" spans="1:46" x14ac:dyDescent="0.25">
      <c r="A88">
        <v>1735</v>
      </c>
      <c r="B88">
        <v>1</v>
      </c>
      <c r="C88">
        <v>2</v>
      </c>
      <c r="D88">
        <v>0</v>
      </c>
      <c r="E88">
        <v>0</v>
      </c>
      <c r="F88">
        <v>0</v>
      </c>
      <c r="G88">
        <v>0</v>
      </c>
      <c r="H88">
        <v>1</v>
      </c>
      <c r="I88" s="8">
        <f>+Table1[[#This Row],[Auton ball picked up in our trench]]+Table1[[#This Row],[Auton Balls Picked Up in Mid]]+Table1[[#This Row],[Auton Balls Picked Up In Their Trench]]</f>
        <v>0</v>
      </c>
      <c r="J88" s="8">
        <f>+Table1[[#This Row],[Auton Scored High]]+Table1[[#This Row],[Auton Scored Low]]</f>
        <v>2</v>
      </c>
      <c r="K8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7</v>
      </c>
      <c r="L88">
        <v>0</v>
      </c>
      <c r="M88">
        <v>0</v>
      </c>
      <c r="N88">
        <v>5</v>
      </c>
      <c r="O88">
        <v>0</v>
      </c>
      <c r="P88">
        <v>0</v>
      </c>
      <c r="Q88">
        <v>0</v>
      </c>
      <c r="R88">
        <v>0</v>
      </c>
      <c r="S88">
        <v>0</v>
      </c>
      <c r="T88">
        <v>0</v>
      </c>
      <c r="U88">
        <v>0</v>
      </c>
      <c r="V88" s="8">
        <f>Table1[[#This Row],[Balls Scored From Trench]]+Table1[[#This Row],[Balls Scored from Mid]]+Table1[[#This Row],[Balls Scored From Alliance zone]]</f>
        <v>5</v>
      </c>
      <c r="W88" s="8">
        <f>Table1[[#This Row],[balls scored high]]+Table1[[#This Row],[balls scored low]]</f>
        <v>5</v>
      </c>
      <c r="X88" s="8">
        <f>Table1[[#This Row],[Control Panel Spun Time]]+Table1[[#This Row],[Control Panel Color Time]]</f>
        <v>0</v>
      </c>
      <c r="Y88" s="8">
        <f>Table1[[#This Row],[Control Panels Spun]]+Table1[[#This Row],[Control Panel Color]]</f>
        <v>0</v>
      </c>
      <c r="Z8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5</v>
      </c>
      <c r="AA88">
        <v>0</v>
      </c>
      <c r="AB88">
        <v>0</v>
      </c>
      <c r="AC88">
        <v>0</v>
      </c>
      <c r="AD88">
        <v>0</v>
      </c>
      <c r="AE88">
        <v>0</v>
      </c>
      <c r="AF88">
        <v>0</v>
      </c>
      <c r="AG88">
        <v>0</v>
      </c>
      <c r="AI88" t="s">
        <v>43</v>
      </c>
      <c r="AJ88" t="s">
        <v>314</v>
      </c>
      <c r="AK88" s="17">
        <f>(Table1[[#This Row],[Climbed]]*weighting!$B$18)+(Table1[[#This Row],[Adjustable Climber]]*weighting!$B$19)+(Table1[[#This Row],[Lift other Robot]]*weighting!$B$20)+(Table1[[#This Row],[Balanced]]*weighting!$B$21)</f>
        <v>0</v>
      </c>
      <c r="AL88" s="8">
        <f>+Table1[[#This Row],[Endgame our score]]+Table1[[#This Row],[teleop our score]]+Table1[[#This Row],[auton our score]]</f>
        <v>12</v>
      </c>
      <c r="AM88" s="20">
        <f t="shared" si="3"/>
        <v>1</v>
      </c>
      <c r="AN88" s="20">
        <f t="shared" si="4"/>
        <v>0</v>
      </c>
      <c r="AO88" s="20">
        <f t="shared" si="5"/>
        <v>0</v>
      </c>
      <c r="AP88" s="20">
        <f>Table1[[#This Row],[balls scored]]+Table1[[#This Row],[auton balls scored]]</f>
        <v>7</v>
      </c>
      <c r="AQ88" s="20">
        <f>Table1[[#This Row],[balls scored high]]+Table1[[#This Row],[Auton Scored High]]</f>
        <v>7</v>
      </c>
      <c r="AR88" s="20">
        <f>Table1[[#This Row],[balls scored low]]+Table1[[#This Row],[Auton Scored Low]]</f>
        <v>0</v>
      </c>
      <c r="AS88" s="50">
        <f>IF(Table1[[#This Row],[Control Panel Spun Time]]&gt;0,1,0)</f>
        <v>0</v>
      </c>
      <c r="AT88" s="20">
        <f>IF(Table1[[#This Row],[Control Panel Color Time]]&gt;0,1,0)</f>
        <v>0</v>
      </c>
    </row>
    <row r="89" spans="1:46" s="2" customFormat="1" x14ac:dyDescent="0.25">
      <c r="A89">
        <v>1735</v>
      </c>
      <c r="B89">
        <v>3</v>
      </c>
      <c r="C89">
        <v>2</v>
      </c>
      <c r="D89">
        <v>0</v>
      </c>
      <c r="E89">
        <v>0</v>
      </c>
      <c r="F89">
        <v>0</v>
      </c>
      <c r="G89">
        <v>0</v>
      </c>
      <c r="H89">
        <v>1</v>
      </c>
      <c r="I89" s="8">
        <f>+Table1[[#This Row],[Auton ball picked up in our trench]]+Table1[[#This Row],[Auton Balls Picked Up in Mid]]+Table1[[#This Row],[Auton Balls Picked Up In Their Trench]]</f>
        <v>0</v>
      </c>
      <c r="J89" s="8">
        <f>+Table1[[#This Row],[Auton Scored High]]+Table1[[#This Row],[Auton Scored Low]]</f>
        <v>2</v>
      </c>
      <c r="K8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7</v>
      </c>
      <c r="L89">
        <v>0</v>
      </c>
      <c r="M89">
        <v>0</v>
      </c>
      <c r="N89">
        <v>1</v>
      </c>
      <c r="O89">
        <v>0</v>
      </c>
      <c r="P89">
        <v>0</v>
      </c>
      <c r="Q89">
        <v>0</v>
      </c>
      <c r="R89">
        <v>0</v>
      </c>
      <c r="S89">
        <v>0</v>
      </c>
      <c r="T89">
        <v>0</v>
      </c>
      <c r="U89">
        <v>0</v>
      </c>
      <c r="V89" s="8">
        <f>Table1[[#This Row],[Balls Scored From Trench]]+Table1[[#This Row],[Balls Scored from Mid]]+Table1[[#This Row],[Balls Scored From Alliance zone]]</f>
        <v>1</v>
      </c>
      <c r="W89" s="8">
        <f>Table1[[#This Row],[balls scored high]]+Table1[[#This Row],[balls scored low]]</f>
        <v>1</v>
      </c>
      <c r="X89" s="8">
        <f>Table1[[#This Row],[Control Panel Spun Time]]+Table1[[#This Row],[Control Panel Color Time]]</f>
        <v>0</v>
      </c>
      <c r="Y89" s="8">
        <f>Table1[[#This Row],[Control Panels Spun]]+Table1[[#This Row],[Control Panel Color]]</f>
        <v>0</v>
      </c>
      <c r="Z8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v>
      </c>
      <c r="AA89">
        <v>0</v>
      </c>
      <c r="AB89">
        <v>0</v>
      </c>
      <c r="AC89">
        <v>0</v>
      </c>
      <c r="AD89">
        <v>0</v>
      </c>
      <c r="AE89">
        <v>0</v>
      </c>
      <c r="AF89">
        <v>0</v>
      </c>
      <c r="AG89">
        <v>0</v>
      </c>
      <c r="AH89"/>
      <c r="AI89" t="s">
        <v>176</v>
      </c>
      <c r="AJ89" t="s">
        <v>315</v>
      </c>
      <c r="AK89" s="17">
        <f>(Table1[[#This Row],[Climbed]]*weighting!$B$18)+(Table1[[#This Row],[Adjustable Climber]]*weighting!$B$19)+(Table1[[#This Row],[Lift other Robot]]*weighting!$B$20)+(Table1[[#This Row],[Balanced]]*weighting!$B$21)</f>
        <v>0</v>
      </c>
      <c r="AL89" s="8">
        <f>+Table1[[#This Row],[Endgame our score]]+Table1[[#This Row],[teleop our score]]+Table1[[#This Row],[auton our score]]</f>
        <v>8</v>
      </c>
      <c r="AM89" s="20">
        <f t="shared" si="3"/>
        <v>0</v>
      </c>
      <c r="AN89" s="20">
        <f t="shared" si="4"/>
        <v>0</v>
      </c>
      <c r="AO89" s="20">
        <f t="shared" si="5"/>
        <v>1</v>
      </c>
      <c r="AP89" s="20">
        <f>Table1[[#This Row],[balls scored]]+Table1[[#This Row],[auton balls scored]]</f>
        <v>3</v>
      </c>
      <c r="AQ89" s="20">
        <f>Table1[[#This Row],[balls scored high]]+Table1[[#This Row],[Auton Scored High]]</f>
        <v>3</v>
      </c>
      <c r="AR89" s="20">
        <f>Table1[[#This Row],[balls scored low]]+Table1[[#This Row],[Auton Scored Low]]</f>
        <v>0</v>
      </c>
      <c r="AS89" s="50">
        <f>IF(Table1[[#This Row],[Control Panel Spun Time]]&gt;0,1,0)</f>
        <v>0</v>
      </c>
      <c r="AT89" s="20">
        <f>IF(Table1[[#This Row],[Control Panel Color Time]]&gt;0,1,0)</f>
        <v>0</v>
      </c>
    </row>
    <row r="90" spans="1:46" x14ac:dyDescent="0.25">
      <c r="A90">
        <v>1740</v>
      </c>
      <c r="B90">
        <v>1</v>
      </c>
      <c r="C90">
        <v>2</v>
      </c>
      <c r="D90">
        <v>0</v>
      </c>
      <c r="E90">
        <v>0</v>
      </c>
      <c r="F90">
        <v>0</v>
      </c>
      <c r="G90">
        <v>0</v>
      </c>
      <c r="H90">
        <v>1</v>
      </c>
      <c r="I90" s="8">
        <f>+Table1[[#This Row],[Auton ball picked up in our trench]]+Table1[[#This Row],[Auton Balls Picked Up in Mid]]+Table1[[#This Row],[Auton Balls Picked Up In Their Trench]]</f>
        <v>0</v>
      </c>
      <c r="J90" s="8">
        <f>+Table1[[#This Row],[Auton Scored High]]+Table1[[#This Row],[Auton Scored Low]]</f>
        <v>2</v>
      </c>
      <c r="K9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7</v>
      </c>
      <c r="L90">
        <v>0</v>
      </c>
      <c r="M90">
        <v>5</v>
      </c>
      <c r="N90">
        <v>0</v>
      </c>
      <c r="O90">
        <v>0</v>
      </c>
      <c r="P90">
        <v>0</v>
      </c>
      <c r="Q90">
        <v>0</v>
      </c>
      <c r="R90">
        <v>0</v>
      </c>
      <c r="S90">
        <v>0</v>
      </c>
      <c r="T90">
        <v>0</v>
      </c>
      <c r="U90">
        <v>1</v>
      </c>
      <c r="V90" s="8">
        <f>Table1[[#This Row],[Balls Scored From Trench]]+Table1[[#This Row],[Balls Scored from Mid]]+Table1[[#This Row],[Balls Scored From Alliance zone]]</f>
        <v>5</v>
      </c>
      <c r="W90" s="8">
        <f>Table1[[#This Row],[balls scored high]]+Table1[[#This Row],[balls scored low]]</f>
        <v>5</v>
      </c>
      <c r="X90" s="8">
        <f>Table1[[#This Row],[Control Panel Spun Time]]+Table1[[#This Row],[Control Panel Color Time]]</f>
        <v>0</v>
      </c>
      <c r="Y90" s="8">
        <f>Table1[[#This Row],[Control Panels Spun]]+Table1[[#This Row],[Control Panel Color]]</f>
        <v>0</v>
      </c>
      <c r="Z9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12</v>
      </c>
      <c r="AA90">
        <v>1</v>
      </c>
      <c r="AB90">
        <v>0</v>
      </c>
      <c r="AC90">
        <v>0</v>
      </c>
      <c r="AD90">
        <v>0</v>
      </c>
      <c r="AE90">
        <v>0</v>
      </c>
      <c r="AF90">
        <v>0</v>
      </c>
      <c r="AG90">
        <v>0</v>
      </c>
      <c r="AI90" t="s">
        <v>43</v>
      </c>
      <c r="AJ90" t="s">
        <v>183</v>
      </c>
      <c r="AK90" s="17">
        <f>(Table1[[#This Row],[Climbed]]*weighting!$B$18)+(Table1[[#This Row],[Adjustable Climber]]*weighting!$B$19)+(Table1[[#This Row],[Lift other Robot]]*weighting!$B$20)+(Table1[[#This Row],[Balanced]]*weighting!$B$21)</f>
        <v>25</v>
      </c>
      <c r="AL90" s="8">
        <f>+Table1[[#This Row],[Endgame our score]]+Table1[[#This Row],[teleop our score]]+Table1[[#This Row],[auton our score]]</f>
        <v>44</v>
      </c>
      <c r="AM90" s="20">
        <f t="shared" si="3"/>
        <v>1</v>
      </c>
      <c r="AN90" s="20">
        <f t="shared" si="4"/>
        <v>0</v>
      </c>
      <c r="AO90" s="20">
        <f t="shared" si="5"/>
        <v>0</v>
      </c>
      <c r="AP90" s="20">
        <f>Table1[[#This Row],[balls scored]]+Table1[[#This Row],[auton balls scored]]</f>
        <v>7</v>
      </c>
      <c r="AQ90" s="20">
        <f>Table1[[#This Row],[balls scored high]]+Table1[[#This Row],[Auton Scored High]]</f>
        <v>7</v>
      </c>
      <c r="AR90" s="20">
        <f>Table1[[#This Row],[balls scored low]]+Table1[[#This Row],[Auton Scored Low]]</f>
        <v>0</v>
      </c>
      <c r="AS90" s="50">
        <f>IF(Table1[[#This Row],[Control Panel Spun Time]]&gt;0,1,0)</f>
        <v>0</v>
      </c>
      <c r="AT90" s="20">
        <f>IF(Table1[[#This Row],[Control Panel Color Time]]&gt;0,1,0)</f>
        <v>0</v>
      </c>
    </row>
    <row r="91" spans="1:46" s="2" customFormat="1" x14ac:dyDescent="0.25">
      <c r="A91">
        <v>1740</v>
      </c>
      <c r="B91">
        <v>2</v>
      </c>
      <c r="C91">
        <v>3</v>
      </c>
      <c r="D91">
        <v>0</v>
      </c>
      <c r="E91">
        <v>0</v>
      </c>
      <c r="F91">
        <v>0</v>
      </c>
      <c r="G91">
        <v>0</v>
      </c>
      <c r="H91">
        <v>1</v>
      </c>
      <c r="I91" s="8">
        <f>+Table1[[#This Row],[Auton ball picked up in our trench]]+Table1[[#This Row],[Auton Balls Picked Up in Mid]]+Table1[[#This Row],[Auton Balls Picked Up In Their Trench]]</f>
        <v>0</v>
      </c>
      <c r="J91" s="8">
        <f>+Table1[[#This Row],[Auton Scored High]]+Table1[[#This Row],[Auton Scored Low]]</f>
        <v>3</v>
      </c>
      <c r="K9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91">
        <v>0</v>
      </c>
      <c r="M91">
        <v>0</v>
      </c>
      <c r="N91">
        <v>0</v>
      </c>
      <c r="O91">
        <v>0</v>
      </c>
      <c r="P91">
        <v>0</v>
      </c>
      <c r="Q91">
        <v>0</v>
      </c>
      <c r="R91">
        <v>0</v>
      </c>
      <c r="S91">
        <v>0</v>
      </c>
      <c r="T91">
        <v>0</v>
      </c>
      <c r="U91">
        <v>0</v>
      </c>
      <c r="V91" s="8">
        <f>Table1[[#This Row],[Balls Scored From Trench]]+Table1[[#This Row],[Balls Scored from Mid]]+Table1[[#This Row],[Balls Scored From Alliance zone]]</f>
        <v>0</v>
      </c>
      <c r="W91" s="8">
        <f>Table1[[#This Row],[balls scored high]]+Table1[[#This Row],[balls scored low]]</f>
        <v>0</v>
      </c>
      <c r="X91" s="8">
        <f>Table1[[#This Row],[Control Panel Spun Time]]+Table1[[#This Row],[Control Panel Color Time]]</f>
        <v>0</v>
      </c>
      <c r="Y91" s="8">
        <f>Table1[[#This Row],[Control Panels Spun]]+Table1[[#This Row],[Control Panel Color]]</f>
        <v>0</v>
      </c>
      <c r="Z9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91">
        <v>1</v>
      </c>
      <c r="AB91">
        <v>0</v>
      </c>
      <c r="AC91">
        <v>0</v>
      </c>
      <c r="AD91">
        <v>0</v>
      </c>
      <c r="AE91">
        <v>0</v>
      </c>
      <c r="AF91">
        <v>0</v>
      </c>
      <c r="AG91">
        <v>0</v>
      </c>
      <c r="AH91"/>
      <c r="AI91" t="s">
        <v>184</v>
      </c>
      <c r="AJ91" t="s">
        <v>231</v>
      </c>
      <c r="AK91" s="17">
        <f>(Table1[[#This Row],[Climbed]]*weighting!$B$18)+(Table1[[#This Row],[Adjustable Climber]]*weighting!$B$19)+(Table1[[#This Row],[Lift other Robot]]*weighting!$B$20)+(Table1[[#This Row],[Balanced]]*weighting!$B$21)</f>
        <v>25</v>
      </c>
      <c r="AL91" s="8">
        <f>+Table1[[#This Row],[Endgame our score]]+Table1[[#This Row],[teleop our score]]+Table1[[#This Row],[auton our score]]</f>
        <v>35</v>
      </c>
      <c r="AM91" s="20">
        <f t="shared" si="3"/>
        <v>0</v>
      </c>
      <c r="AN91" s="20">
        <f t="shared" si="4"/>
        <v>1</v>
      </c>
      <c r="AO91" s="20">
        <f t="shared" si="5"/>
        <v>0</v>
      </c>
      <c r="AP91" s="20">
        <f>Table1[[#This Row],[balls scored]]+Table1[[#This Row],[auton balls scored]]</f>
        <v>3</v>
      </c>
      <c r="AQ91" s="20">
        <f>Table1[[#This Row],[balls scored high]]+Table1[[#This Row],[Auton Scored High]]</f>
        <v>3</v>
      </c>
      <c r="AR91" s="20">
        <f>Table1[[#This Row],[balls scored low]]+Table1[[#This Row],[Auton Scored Low]]</f>
        <v>0</v>
      </c>
      <c r="AS91" s="50">
        <f>IF(Table1[[#This Row],[Control Panel Spun Time]]&gt;0,1,0)</f>
        <v>0</v>
      </c>
      <c r="AT91" s="20">
        <f>IF(Table1[[#This Row],[Control Panel Color Time]]&gt;0,1,0)</f>
        <v>0</v>
      </c>
    </row>
    <row r="92" spans="1:46" x14ac:dyDescent="0.25">
      <c r="A92">
        <v>1740</v>
      </c>
      <c r="B92">
        <v>2</v>
      </c>
      <c r="C92">
        <v>3</v>
      </c>
      <c r="D92">
        <v>0</v>
      </c>
      <c r="E92">
        <v>0</v>
      </c>
      <c r="F92">
        <v>0</v>
      </c>
      <c r="G92">
        <v>0</v>
      </c>
      <c r="H92">
        <v>0</v>
      </c>
      <c r="I92" s="8">
        <f>+Table1[[#This Row],[Auton ball picked up in our trench]]+Table1[[#This Row],[Auton Balls Picked Up in Mid]]+Table1[[#This Row],[Auton Balls Picked Up In Their Trench]]</f>
        <v>0</v>
      </c>
      <c r="J92" s="8">
        <f>+Table1[[#This Row],[Auton Scored High]]+Table1[[#This Row],[Auton Scored Low]]</f>
        <v>3</v>
      </c>
      <c r="K9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9</v>
      </c>
      <c r="L92">
        <v>0</v>
      </c>
      <c r="M92">
        <v>4</v>
      </c>
      <c r="N92">
        <v>0</v>
      </c>
      <c r="O92">
        <v>0</v>
      </c>
      <c r="P92">
        <v>0</v>
      </c>
      <c r="Q92">
        <v>0</v>
      </c>
      <c r="R92">
        <v>0</v>
      </c>
      <c r="S92">
        <v>0</v>
      </c>
      <c r="T92">
        <v>0</v>
      </c>
      <c r="U92">
        <v>0</v>
      </c>
      <c r="V92" s="8">
        <f>Table1[[#This Row],[Balls Scored From Trench]]+Table1[[#This Row],[Balls Scored from Mid]]+Table1[[#This Row],[Balls Scored From Alliance zone]]</f>
        <v>4</v>
      </c>
      <c r="W92" s="8">
        <f>Table1[[#This Row],[balls scored high]]+Table1[[#This Row],[balls scored low]]</f>
        <v>4</v>
      </c>
      <c r="X92" s="8">
        <f>Table1[[#This Row],[Control Panel Spun Time]]+Table1[[#This Row],[Control Panel Color Time]]</f>
        <v>0</v>
      </c>
      <c r="Y92" s="8">
        <f>Table1[[#This Row],[Control Panels Spun]]+Table1[[#This Row],[Control Panel Color]]</f>
        <v>0</v>
      </c>
      <c r="Z9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8</v>
      </c>
      <c r="AA92">
        <v>0</v>
      </c>
      <c r="AB92">
        <v>0</v>
      </c>
      <c r="AC92">
        <v>0</v>
      </c>
      <c r="AD92">
        <v>0</v>
      </c>
      <c r="AE92">
        <v>1</v>
      </c>
      <c r="AF92">
        <v>0</v>
      </c>
      <c r="AG92">
        <v>0</v>
      </c>
      <c r="AI92" t="s">
        <v>43</v>
      </c>
      <c r="AJ92" t="s">
        <v>249</v>
      </c>
      <c r="AK92" s="17">
        <f>(Table1[[#This Row],[Climbed]]*weighting!$B$18)+(Table1[[#This Row],[Adjustable Climber]]*weighting!$B$19)+(Table1[[#This Row],[Lift other Robot]]*weighting!$B$20)+(Table1[[#This Row],[Balanced]]*weighting!$B$21)</f>
        <v>0</v>
      </c>
      <c r="AL92" s="8">
        <f>+Table1[[#This Row],[Endgame our score]]+Table1[[#This Row],[teleop our score]]+Table1[[#This Row],[auton our score]]</f>
        <v>17</v>
      </c>
      <c r="AM92" s="20">
        <f t="shared" si="3"/>
        <v>0</v>
      </c>
      <c r="AN92" s="20">
        <f t="shared" si="4"/>
        <v>1</v>
      </c>
      <c r="AO92" s="20">
        <f t="shared" si="5"/>
        <v>0</v>
      </c>
      <c r="AP92" s="20">
        <f>Table1[[#This Row],[balls scored]]+Table1[[#This Row],[auton balls scored]]</f>
        <v>7</v>
      </c>
      <c r="AQ92" s="20">
        <f>Table1[[#This Row],[balls scored high]]+Table1[[#This Row],[Auton Scored High]]</f>
        <v>7</v>
      </c>
      <c r="AR92" s="20">
        <f>Table1[[#This Row],[balls scored low]]+Table1[[#This Row],[Auton Scored Low]]</f>
        <v>0</v>
      </c>
      <c r="AS92" s="50">
        <f>IF(Table1[[#This Row],[Control Panel Spun Time]]&gt;0,1,0)</f>
        <v>0</v>
      </c>
      <c r="AT92" s="20">
        <f>IF(Table1[[#This Row],[Control Panel Color Time]]&gt;0,1,0)</f>
        <v>0</v>
      </c>
    </row>
    <row r="93" spans="1:46" s="2" customFormat="1" x14ac:dyDescent="0.25">
      <c r="A93">
        <v>1740</v>
      </c>
      <c r="B93">
        <v>2</v>
      </c>
      <c r="C93">
        <v>3</v>
      </c>
      <c r="D93">
        <v>0</v>
      </c>
      <c r="E93">
        <v>0</v>
      </c>
      <c r="F93">
        <v>0</v>
      </c>
      <c r="G93">
        <v>0</v>
      </c>
      <c r="H93">
        <v>1</v>
      </c>
      <c r="I93" s="8">
        <f>+Table1[[#This Row],[Auton ball picked up in our trench]]+Table1[[#This Row],[Auton Balls Picked Up in Mid]]+Table1[[#This Row],[Auton Balls Picked Up In Their Trench]]</f>
        <v>0</v>
      </c>
      <c r="J93" s="8">
        <f>+Table1[[#This Row],[Auton Scored High]]+Table1[[#This Row],[Auton Scored Low]]</f>
        <v>3</v>
      </c>
      <c r="K9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93">
        <v>0</v>
      </c>
      <c r="M93">
        <v>0</v>
      </c>
      <c r="N93">
        <v>5</v>
      </c>
      <c r="O93">
        <v>0</v>
      </c>
      <c r="P93">
        <v>0</v>
      </c>
      <c r="Q93">
        <v>0</v>
      </c>
      <c r="R93">
        <v>0</v>
      </c>
      <c r="S93">
        <v>0</v>
      </c>
      <c r="T93">
        <v>0</v>
      </c>
      <c r="U93">
        <v>0</v>
      </c>
      <c r="V93" s="8">
        <f>Table1[[#This Row],[Balls Scored From Trench]]+Table1[[#This Row],[Balls Scored from Mid]]+Table1[[#This Row],[Balls Scored From Alliance zone]]</f>
        <v>5</v>
      </c>
      <c r="W93" s="8">
        <f>Table1[[#This Row],[balls scored high]]+Table1[[#This Row],[balls scored low]]</f>
        <v>5</v>
      </c>
      <c r="X93" s="8">
        <f>Table1[[#This Row],[Control Panel Spun Time]]+Table1[[#This Row],[Control Panel Color Time]]</f>
        <v>0</v>
      </c>
      <c r="Y93" s="8">
        <f>Table1[[#This Row],[Control Panels Spun]]+Table1[[#This Row],[Control Panel Color]]</f>
        <v>0</v>
      </c>
      <c r="Z9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5</v>
      </c>
      <c r="AA93">
        <v>1</v>
      </c>
      <c r="AB93">
        <v>0</v>
      </c>
      <c r="AC93">
        <v>0</v>
      </c>
      <c r="AD93">
        <v>0</v>
      </c>
      <c r="AE93">
        <v>0</v>
      </c>
      <c r="AF93">
        <v>0</v>
      </c>
      <c r="AG93">
        <v>0</v>
      </c>
      <c r="AH93"/>
      <c r="AI93" t="s">
        <v>162</v>
      </c>
      <c r="AJ93" t="s">
        <v>250</v>
      </c>
      <c r="AK93" s="17">
        <f>(Table1[[#This Row],[Climbed]]*weighting!$B$18)+(Table1[[#This Row],[Adjustable Climber]]*weighting!$B$19)+(Table1[[#This Row],[Lift other Robot]]*weighting!$B$20)+(Table1[[#This Row],[Balanced]]*weighting!$B$21)</f>
        <v>25</v>
      </c>
      <c r="AL93" s="8">
        <f>+Table1[[#This Row],[Endgame our score]]+Table1[[#This Row],[teleop our score]]+Table1[[#This Row],[auton our score]]</f>
        <v>40</v>
      </c>
      <c r="AM93" s="20">
        <f t="shared" si="3"/>
        <v>0</v>
      </c>
      <c r="AN93" s="20">
        <f t="shared" si="4"/>
        <v>1</v>
      </c>
      <c r="AO93" s="20">
        <f t="shared" si="5"/>
        <v>0</v>
      </c>
      <c r="AP93" s="20">
        <f>Table1[[#This Row],[balls scored]]+Table1[[#This Row],[auton balls scored]]</f>
        <v>8</v>
      </c>
      <c r="AQ93" s="20">
        <f>Table1[[#This Row],[balls scored high]]+Table1[[#This Row],[Auton Scored High]]</f>
        <v>8</v>
      </c>
      <c r="AR93" s="20">
        <f>Table1[[#This Row],[balls scored low]]+Table1[[#This Row],[Auton Scored Low]]</f>
        <v>0</v>
      </c>
      <c r="AS93" s="50">
        <f>IF(Table1[[#This Row],[Control Panel Spun Time]]&gt;0,1,0)</f>
        <v>0</v>
      </c>
      <c r="AT93" s="20">
        <f>IF(Table1[[#This Row],[Control Panel Color Time]]&gt;0,1,0)</f>
        <v>0</v>
      </c>
    </row>
    <row r="94" spans="1:46" x14ac:dyDescent="0.25">
      <c r="A94">
        <v>1740</v>
      </c>
      <c r="B94">
        <v>2</v>
      </c>
      <c r="C94">
        <v>2</v>
      </c>
      <c r="D94">
        <v>0</v>
      </c>
      <c r="E94">
        <v>0</v>
      </c>
      <c r="F94">
        <v>0</v>
      </c>
      <c r="G94">
        <v>0</v>
      </c>
      <c r="H94">
        <v>0</v>
      </c>
      <c r="I94" s="8">
        <f>+Table1[[#This Row],[Auton ball picked up in our trench]]+Table1[[#This Row],[Auton Balls Picked Up in Mid]]+Table1[[#This Row],[Auton Balls Picked Up In Their Trench]]</f>
        <v>0</v>
      </c>
      <c r="J94" s="8">
        <f>+Table1[[#This Row],[Auton Scored High]]+Table1[[#This Row],[Auton Scored Low]]</f>
        <v>2</v>
      </c>
      <c r="K9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6</v>
      </c>
      <c r="L94">
        <v>0</v>
      </c>
      <c r="M94">
        <v>11</v>
      </c>
      <c r="N94">
        <v>0</v>
      </c>
      <c r="O94">
        <v>0</v>
      </c>
      <c r="P94">
        <v>0</v>
      </c>
      <c r="Q94">
        <v>0</v>
      </c>
      <c r="R94">
        <v>0</v>
      </c>
      <c r="S94">
        <v>0</v>
      </c>
      <c r="T94">
        <v>0</v>
      </c>
      <c r="U94">
        <v>0</v>
      </c>
      <c r="V94" s="8">
        <f>Table1[[#This Row],[Balls Scored From Trench]]+Table1[[#This Row],[Balls Scored from Mid]]+Table1[[#This Row],[Balls Scored From Alliance zone]]</f>
        <v>11</v>
      </c>
      <c r="W94" s="8">
        <f>Table1[[#This Row],[balls scored high]]+Table1[[#This Row],[balls scored low]]</f>
        <v>11</v>
      </c>
      <c r="X94" s="8">
        <f>Table1[[#This Row],[Control Panel Spun Time]]+Table1[[#This Row],[Control Panel Color Time]]</f>
        <v>0</v>
      </c>
      <c r="Y94" s="8">
        <f>Table1[[#This Row],[Control Panels Spun]]+Table1[[#This Row],[Control Panel Color]]</f>
        <v>0</v>
      </c>
      <c r="Z9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22</v>
      </c>
      <c r="AA94">
        <v>0</v>
      </c>
      <c r="AB94">
        <v>0</v>
      </c>
      <c r="AC94">
        <v>0</v>
      </c>
      <c r="AD94">
        <v>0</v>
      </c>
      <c r="AE94">
        <v>0</v>
      </c>
      <c r="AF94">
        <v>0</v>
      </c>
      <c r="AG94">
        <v>0</v>
      </c>
      <c r="AI94" t="s">
        <v>281</v>
      </c>
      <c r="AJ94" t="s">
        <v>282</v>
      </c>
      <c r="AK94" s="17">
        <f>(Table1[[#This Row],[Climbed]]*weighting!$B$18)+(Table1[[#This Row],[Adjustable Climber]]*weighting!$B$19)+(Table1[[#This Row],[Lift other Robot]]*weighting!$B$20)+(Table1[[#This Row],[Balanced]]*weighting!$B$21)</f>
        <v>0</v>
      </c>
      <c r="AL94" s="8">
        <f>+Table1[[#This Row],[Endgame our score]]+Table1[[#This Row],[teleop our score]]+Table1[[#This Row],[auton our score]]</f>
        <v>28</v>
      </c>
      <c r="AM94" s="20">
        <f t="shared" si="3"/>
        <v>0</v>
      </c>
      <c r="AN94" s="20">
        <f t="shared" si="4"/>
        <v>1</v>
      </c>
      <c r="AO94" s="20">
        <f t="shared" si="5"/>
        <v>0</v>
      </c>
      <c r="AP94" s="20">
        <f>Table1[[#This Row],[balls scored]]+Table1[[#This Row],[auton balls scored]]</f>
        <v>13</v>
      </c>
      <c r="AQ94" s="20">
        <f>Table1[[#This Row],[balls scored high]]+Table1[[#This Row],[Auton Scored High]]</f>
        <v>13</v>
      </c>
      <c r="AR94" s="20">
        <f>Table1[[#This Row],[balls scored low]]+Table1[[#This Row],[Auton Scored Low]]</f>
        <v>0</v>
      </c>
      <c r="AS94" s="50">
        <f>IF(Table1[[#This Row],[Control Panel Spun Time]]&gt;0,1,0)</f>
        <v>0</v>
      </c>
      <c r="AT94" s="20">
        <f>IF(Table1[[#This Row],[Control Panel Color Time]]&gt;0,1,0)</f>
        <v>0</v>
      </c>
    </row>
    <row r="95" spans="1:46" s="2" customFormat="1" x14ac:dyDescent="0.25">
      <c r="A95">
        <v>1740</v>
      </c>
      <c r="B95">
        <v>2</v>
      </c>
      <c r="C95">
        <v>2</v>
      </c>
      <c r="D95">
        <v>0</v>
      </c>
      <c r="E95">
        <v>0</v>
      </c>
      <c r="F95">
        <v>0</v>
      </c>
      <c r="G95">
        <v>0</v>
      </c>
      <c r="H95">
        <v>1</v>
      </c>
      <c r="I95" s="8">
        <f>+Table1[[#This Row],[Auton ball picked up in our trench]]+Table1[[#This Row],[Auton Balls Picked Up in Mid]]+Table1[[#This Row],[Auton Balls Picked Up In Their Trench]]</f>
        <v>0</v>
      </c>
      <c r="J95" s="8">
        <f>+Table1[[#This Row],[Auton Scored High]]+Table1[[#This Row],[Auton Scored Low]]</f>
        <v>2</v>
      </c>
      <c r="K9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7</v>
      </c>
      <c r="L95">
        <v>0</v>
      </c>
      <c r="M95">
        <v>2</v>
      </c>
      <c r="N95">
        <v>0</v>
      </c>
      <c r="O95">
        <v>0</v>
      </c>
      <c r="P95">
        <v>0</v>
      </c>
      <c r="Q95">
        <v>0</v>
      </c>
      <c r="R95">
        <v>0</v>
      </c>
      <c r="S95">
        <v>0</v>
      </c>
      <c r="T95">
        <v>0</v>
      </c>
      <c r="U95">
        <v>0</v>
      </c>
      <c r="V95" s="8">
        <f>Table1[[#This Row],[Balls Scored From Trench]]+Table1[[#This Row],[Balls Scored from Mid]]+Table1[[#This Row],[Balls Scored From Alliance zone]]</f>
        <v>2</v>
      </c>
      <c r="W95" s="8">
        <f>Table1[[#This Row],[balls scored high]]+Table1[[#This Row],[balls scored low]]</f>
        <v>2</v>
      </c>
      <c r="X95" s="8">
        <f>Table1[[#This Row],[Control Panel Spun Time]]+Table1[[#This Row],[Control Panel Color Time]]</f>
        <v>0</v>
      </c>
      <c r="Y95" s="8">
        <f>Table1[[#This Row],[Control Panels Spun]]+Table1[[#This Row],[Control Panel Color]]</f>
        <v>0</v>
      </c>
      <c r="Z9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4</v>
      </c>
      <c r="AA95">
        <v>1</v>
      </c>
      <c r="AB95">
        <v>0</v>
      </c>
      <c r="AC95">
        <v>0</v>
      </c>
      <c r="AD95">
        <v>0</v>
      </c>
      <c r="AE95">
        <v>0</v>
      </c>
      <c r="AF95">
        <v>0</v>
      </c>
      <c r="AG95">
        <v>0</v>
      </c>
      <c r="AH95"/>
      <c r="AI95" t="s">
        <v>179</v>
      </c>
      <c r="AJ95"/>
      <c r="AK95" s="17">
        <f>(Table1[[#This Row],[Climbed]]*weighting!$B$18)+(Table1[[#This Row],[Adjustable Climber]]*weighting!$B$19)+(Table1[[#This Row],[Lift other Robot]]*weighting!$B$20)+(Table1[[#This Row],[Balanced]]*weighting!$B$21)</f>
        <v>25</v>
      </c>
      <c r="AL95" s="8">
        <f>+Table1[[#This Row],[Endgame our score]]+Table1[[#This Row],[teleop our score]]+Table1[[#This Row],[auton our score]]</f>
        <v>36</v>
      </c>
      <c r="AM95" s="20">
        <f t="shared" si="3"/>
        <v>0</v>
      </c>
      <c r="AN95" s="20">
        <f t="shared" si="4"/>
        <v>1</v>
      </c>
      <c r="AO95" s="20">
        <f t="shared" si="5"/>
        <v>0</v>
      </c>
      <c r="AP95" s="20">
        <f>Table1[[#This Row],[balls scored]]+Table1[[#This Row],[auton balls scored]]</f>
        <v>4</v>
      </c>
      <c r="AQ95" s="20">
        <f>Table1[[#This Row],[balls scored high]]+Table1[[#This Row],[Auton Scored High]]</f>
        <v>4</v>
      </c>
      <c r="AR95" s="20">
        <f>Table1[[#This Row],[balls scored low]]+Table1[[#This Row],[Auton Scored Low]]</f>
        <v>0</v>
      </c>
      <c r="AS95" s="50">
        <f>IF(Table1[[#This Row],[Control Panel Spun Time]]&gt;0,1,0)</f>
        <v>0</v>
      </c>
      <c r="AT95" s="20">
        <f>IF(Table1[[#This Row],[Control Panel Color Time]]&gt;0,1,0)</f>
        <v>0</v>
      </c>
    </row>
    <row r="96" spans="1:46" x14ac:dyDescent="0.25">
      <c r="A96">
        <v>1740</v>
      </c>
      <c r="B96">
        <v>1</v>
      </c>
      <c r="C96">
        <v>2</v>
      </c>
      <c r="D96">
        <v>0</v>
      </c>
      <c r="E96">
        <v>0</v>
      </c>
      <c r="F96">
        <v>0</v>
      </c>
      <c r="G96">
        <v>0</v>
      </c>
      <c r="H96">
        <v>1</v>
      </c>
      <c r="I96" s="8">
        <f>+Table1[[#This Row],[Auton ball picked up in our trench]]+Table1[[#This Row],[Auton Balls Picked Up in Mid]]+Table1[[#This Row],[Auton Balls Picked Up In Their Trench]]</f>
        <v>0</v>
      </c>
      <c r="J96" s="8">
        <f>+Table1[[#This Row],[Auton Scored High]]+Table1[[#This Row],[Auton Scored Low]]</f>
        <v>2</v>
      </c>
      <c r="K9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7</v>
      </c>
      <c r="L96">
        <v>0</v>
      </c>
      <c r="M96">
        <v>0</v>
      </c>
      <c r="N96">
        <v>0</v>
      </c>
      <c r="O96">
        <v>0</v>
      </c>
      <c r="P96">
        <v>0</v>
      </c>
      <c r="Q96">
        <v>0</v>
      </c>
      <c r="R96">
        <v>0</v>
      </c>
      <c r="S96">
        <v>0</v>
      </c>
      <c r="T96">
        <v>0</v>
      </c>
      <c r="U96">
        <v>0</v>
      </c>
      <c r="V96" s="8">
        <f>Table1[[#This Row],[Balls Scored From Trench]]+Table1[[#This Row],[Balls Scored from Mid]]+Table1[[#This Row],[Balls Scored From Alliance zone]]</f>
        <v>0</v>
      </c>
      <c r="W96" s="8">
        <f>Table1[[#This Row],[balls scored high]]+Table1[[#This Row],[balls scored low]]</f>
        <v>0</v>
      </c>
      <c r="X96" s="8">
        <f>Table1[[#This Row],[Control Panel Spun Time]]+Table1[[#This Row],[Control Panel Color Time]]</f>
        <v>0</v>
      </c>
      <c r="Y96" s="8">
        <f>Table1[[#This Row],[Control Panels Spun]]+Table1[[#This Row],[Control Panel Color]]</f>
        <v>0</v>
      </c>
      <c r="Z9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96">
        <v>1</v>
      </c>
      <c r="AB96">
        <v>0</v>
      </c>
      <c r="AC96">
        <v>1</v>
      </c>
      <c r="AD96">
        <v>0</v>
      </c>
      <c r="AE96">
        <v>0</v>
      </c>
      <c r="AF96">
        <v>0</v>
      </c>
      <c r="AG96">
        <v>0</v>
      </c>
      <c r="AI96" t="s">
        <v>184</v>
      </c>
      <c r="AJ96" t="s">
        <v>316</v>
      </c>
      <c r="AK96" s="17">
        <f>(Table1[[#This Row],[Climbed]]*weighting!$B$18)+(Table1[[#This Row],[Adjustable Climber]]*weighting!$B$19)+(Table1[[#This Row],[Lift other Robot]]*weighting!$B$20)+(Table1[[#This Row],[Balanced]]*weighting!$B$21)</f>
        <v>40</v>
      </c>
      <c r="AL96" s="8">
        <f>+Table1[[#This Row],[Endgame our score]]+Table1[[#This Row],[teleop our score]]+Table1[[#This Row],[auton our score]]</f>
        <v>47</v>
      </c>
      <c r="AM96" s="20">
        <f t="shared" si="3"/>
        <v>1</v>
      </c>
      <c r="AN96" s="20">
        <f t="shared" si="4"/>
        <v>0</v>
      </c>
      <c r="AO96" s="20">
        <f t="shared" si="5"/>
        <v>0</v>
      </c>
      <c r="AP96" s="20">
        <f>Table1[[#This Row],[balls scored]]+Table1[[#This Row],[auton balls scored]]</f>
        <v>2</v>
      </c>
      <c r="AQ96" s="20">
        <f>Table1[[#This Row],[balls scored high]]+Table1[[#This Row],[Auton Scored High]]</f>
        <v>2</v>
      </c>
      <c r="AR96" s="20">
        <f>Table1[[#This Row],[balls scored low]]+Table1[[#This Row],[Auton Scored Low]]</f>
        <v>0</v>
      </c>
      <c r="AS96" s="50">
        <f>IF(Table1[[#This Row],[Control Panel Spun Time]]&gt;0,1,0)</f>
        <v>0</v>
      </c>
      <c r="AT96" s="20">
        <f>IF(Table1[[#This Row],[Control Panel Color Time]]&gt;0,1,0)</f>
        <v>0</v>
      </c>
    </row>
    <row r="97" spans="1:46" s="2" customFormat="1" x14ac:dyDescent="0.25">
      <c r="A97">
        <v>1991</v>
      </c>
      <c r="B97">
        <v>3</v>
      </c>
      <c r="C97">
        <v>3</v>
      </c>
      <c r="D97">
        <v>0</v>
      </c>
      <c r="E97">
        <v>0</v>
      </c>
      <c r="F97">
        <v>0</v>
      </c>
      <c r="G97">
        <v>0</v>
      </c>
      <c r="H97">
        <v>1</v>
      </c>
      <c r="I97" s="8">
        <f>+Table1[[#This Row],[Auton ball picked up in our trench]]+Table1[[#This Row],[Auton Balls Picked Up in Mid]]+Table1[[#This Row],[Auton Balls Picked Up In Their Trench]]</f>
        <v>0</v>
      </c>
      <c r="J97" s="8">
        <f>+Table1[[#This Row],[Auton Scored High]]+Table1[[#This Row],[Auton Scored Low]]</f>
        <v>3</v>
      </c>
      <c r="K9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97">
        <v>0</v>
      </c>
      <c r="M97">
        <v>3</v>
      </c>
      <c r="N97">
        <v>0</v>
      </c>
      <c r="O97">
        <v>0</v>
      </c>
      <c r="P97">
        <v>0</v>
      </c>
      <c r="Q97">
        <v>0</v>
      </c>
      <c r="R97">
        <v>0</v>
      </c>
      <c r="S97">
        <v>0</v>
      </c>
      <c r="T97">
        <v>0</v>
      </c>
      <c r="U97">
        <v>0</v>
      </c>
      <c r="V97" s="8">
        <f>Table1[[#This Row],[Balls Scored From Trench]]+Table1[[#This Row],[Balls Scored from Mid]]+Table1[[#This Row],[Balls Scored From Alliance zone]]</f>
        <v>3</v>
      </c>
      <c r="W97" s="8">
        <f>Table1[[#This Row],[balls scored high]]+Table1[[#This Row],[balls scored low]]</f>
        <v>3</v>
      </c>
      <c r="X97" s="8">
        <f>Table1[[#This Row],[Control Panel Spun Time]]+Table1[[#This Row],[Control Panel Color Time]]</f>
        <v>0</v>
      </c>
      <c r="Y97" s="8">
        <f>Table1[[#This Row],[Control Panels Spun]]+Table1[[#This Row],[Control Panel Color]]</f>
        <v>0</v>
      </c>
      <c r="Z9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6</v>
      </c>
      <c r="AA97">
        <v>0</v>
      </c>
      <c r="AB97">
        <v>0</v>
      </c>
      <c r="AC97">
        <v>0</v>
      </c>
      <c r="AD97">
        <v>0</v>
      </c>
      <c r="AE97">
        <v>0</v>
      </c>
      <c r="AF97">
        <v>0</v>
      </c>
      <c r="AG97">
        <v>0</v>
      </c>
      <c r="AH97"/>
      <c r="AI97" t="s">
        <v>184</v>
      </c>
      <c r="AJ97" t="s">
        <v>185</v>
      </c>
      <c r="AK97" s="17">
        <f>(Table1[[#This Row],[Climbed]]*weighting!$B$18)+(Table1[[#This Row],[Adjustable Climber]]*weighting!$B$19)+(Table1[[#This Row],[Lift other Robot]]*weighting!$B$20)+(Table1[[#This Row],[Balanced]]*weighting!$B$21)</f>
        <v>0</v>
      </c>
      <c r="AL97" s="8">
        <f>+Table1[[#This Row],[Endgame our score]]+Table1[[#This Row],[teleop our score]]+Table1[[#This Row],[auton our score]]</f>
        <v>16</v>
      </c>
      <c r="AM97" s="20">
        <f t="shared" si="3"/>
        <v>0</v>
      </c>
      <c r="AN97" s="20">
        <f t="shared" si="4"/>
        <v>0</v>
      </c>
      <c r="AO97" s="20">
        <f t="shared" si="5"/>
        <v>1</v>
      </c>
      <c r="AP97" s="20">
        <f>Table1[[#This Row],[balls scored]]+Table1[[#This Row],[auton balls scored]]</f>
        <v>6</v>
      </c>
      <c r="AQ97" s="20">
        <f>Table1[[#This Row],[balls scored high]]+Table1[[#This Row],[Auton Scored High]]</f>
        <v>6</v>
      </c>
      <c r="AR97" s="20">
        <f>Table1[[#This Row],[balls scored low]]+Table1[[#This Row],[Auton Scored Low]]</f>
        <v>0</v>
      </c>
      <c r="AS97" s="50">
        <f>IF(Table1[[#This Row],[Control Panel Spun Time]]&gt;0,1,0)</f>
        <v>0</v>
      </c>
      <c r="AT97" s="20">
        <f>IF(Table1[[#This Row],[Control Panel Color Time]]&gt;0,1,0)</f>
        <v>0</v>
      </c>
    </row>
    <row r="98" spans="1:46" x14ac:dyDescent="0.25">
      <c r="A98">
        <v>1991</v>
      </c>
      <c r="B98">
        <v>1</v>
      </c>
      <c r="C98">
        <v>3</v>
      </c>
      <c r="D98">
        <v>0</v>
      </c>
      <c r="E98">
        <v>0</v>
      </c>
      <c r="F98">
        <v>0</v>
      </c>
      <c r="G98">
        <v>0</v>
      </c>
      <c r="H98">
        <v>0</v>
      </c>
      <c r="I98" s="8">
        <f>+Table1[[#This Row],[Auton ball picked up in our trench]]+Table1[[#This Row],[Auton Balls Picked Up in Mid]]+Table1[[#This Row],[Auton Balls Picked Up In Their Trench]]</f>
        <v>0</v>
      </c>
      <c r="J98" s="8">
        <f>+Table1[[#This Row],[Auton Scored High]]+Table1[[#This Row],[Auton Scored Low]]</f>
        <v>3</v>
      </c>
      <c r="K9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9</v>
      </c>
      <c r="L98">
        <v>1</v>
      </c>
      <c r="M98">
        <v>0</v>
      </c>
      <c r="N98">
        <v>0</v>
      </c>
      <c r="O98">
        <v>0</v>
      </c>
      <c r="P98">
        <v>0</v>
      </c>
      <c r="Q98">
        <v>0</v>
      </c>
      <c r="R98">
        <v>0</v>
      </c>
      <c r="S98">
        <v>0</v>
      </c>
      <c r="T98">
        <v>0</v>
      </c>
      <c r="U98">
        <v>0</v>
      </c>
      <c r="V98" s="8">
        <f>Table1[[#This Row],[Balls Scored From Trench]]+Table1[[#This Row],[Balls Scored from Mid]]+Table1[[#This Row],[Balls Scored From Alliance zone]]</f>
        <v>1</v>
      </c>
      <c r="W98" s="8">
        <f>Table1[[#This Row],[balls scored high]]+Table1[[#This Row],[balls scored low]]</f>
        <v>1</v>
      </c>
      <c r="X98" s="8">
        <f>Table1[[#This Row],[Control Panel Spun Time]]+Table1[[#This Row],[Control Panel Color Time]]</f>
        <v>0</v>
      </c>
      <c r="Y98" s="8">
        <f>Table1[[#This Row],[Control Panels Spun]]+Table1[[#This Row],[Control Panel Color]]</f>
        <v>0</v>
      </c>
      <c r="Z9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3</v>
      </c>
      <c r="AA98">
        <v>0</v>
      </c>
      <c r="AB98">
        <v>0</v>
      </c>
      <c r="AC98">
        <v>0</v>
      </c>
      <c r="AD98">
        <v>0</v>
      </c>
      <c r="AE98">
        <v>0</v>
      </c>
      <c r="AF98">
        <v>0</v>
      </c>
      <c r="AG98">
        <v>0</v>
      </c>
      <c r="AI98" t="s">
        <v>184</v>
      </c>
      <c r="AJ98" t="s">
        <v>251</v>
      </c>
      <c r="AK98" s="17">
        <f>(Table1[[#This Row],[Climbed]]*weighting!$B$18)+(Table1[[#This Row],[Adjustable Climber]]*weighting!$B$19)+(Table1[[#This Row],[Lift other Robot]]*weighting!$B$20)+(Table1[[#This Row],[Balanced]]*weighting!$B$21)</f>
        <v>0</v>
      </c>
      <c r="AL98" s="8">
        <f>+Table1[[#This Row],[Endgame our score]]+Table1[[#This Row],[teleop our score]]+Table1[[#This Row],[auton our score]]</f>
        <v>12</v>
      </c>
      <c r="AM98" s="20">
        <f t="shared" si="3"/>
        <v>1</v>
      </c>
      <c r="AN98" s="20">
        <f t="shared" si="4"/>
        <v>0</v>
      </c>
      <c r="AO98" s="20">
        <f t="shared" si="5"/>
        <v>0</v>
      </c>
      <c r="AP98" s="20">
        <f>Table1[[#This Row],[balls scored]]+Table1[[#This Row],[auton balls scored]]</f>
        <v>4</v>
      </c>
      <c r="AQ98" s="20">
        <f>Table1[[#This Row],[balls scored high]]+Table1[[#This Row],[Auton Scored High]]</f>
        <v>4</v>
      </c>
      <c r="AR98" s="20">
        <f>Table1[[#This Row],[balls scored low]]+Table1[[#This Row],[Auton Scored Low]]</f>
        <v>0</v>
      </c>
      <c r="AS98" s="50">
        <f>IF(Table1[[#This Row],[Control Panel Spun Time]]&gt;0,1,0)</f>
        <v>0</v>
      </c>
      <c r="AT98" s="20">
        <f>IF(Table1[[#This Row],[Control Panel Color Time]]&gt;0,1,0)</f>
        <v>0</v>
      </c>
    </row>
    <row r="99" spans="1:46" s="2" customFormat="1" x14ac:dyDescent="0.25">
      <c r="A99">
        <v>1991</v>
      </c>
      <c r="B99">
        <v>3</v>
      </c>
      <c r="C99">
        <v>0</v>
      </c>
      <c r="D99">
        <v>0</v>
      </c>
      <c r="E99">
        <v>0</v>
      </c>
      <c r="F99">
        <v>0</v>
      </c>
      <c r="G99">
        <v>0</v>
      </c>
      <c r="H99">
        <v>1</v>
      </c>
      <c r="I99" s="8">
        <f>+Table1[[#This Row],[Auton ball picked up in our trench]]+Table1[[#This Row],[Auton Balls Picked Up in Mid]]+Table1[[#This Row],[Auton Balls Picked Up In Their Trench]]</f>
        <v>0</v>
      </c>
      <c r="J99" s="8">
        <f>+Table1[[#This Row],[Auton Scored High]]+Table1[[#This Row],[Auton Scored Low]]</f>
        <v>0</v>
      </c>
      <c r="K9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99">
        <v>0</v>
      </c>
      <c r="M99">
        <v>0</v>
      </c>
      <c r="N99">
        <v>0</v>
      </c>
      <c r="O99">
        <v>0</v>
      </c>
      <c r="P99">
        <v>0</v>
      </c>
      <c r="Q99">
        <v>0</v>
      </c>
      <c r="R99">
        <v>0</v>
      </c>
      <c r="S99">
        <v>0</v>
      </c>
      <c r="T99">
        <v>0</v>
      </c>
      <c r="U99">
        <v>0</v>
      </c>
      <c r="V99" s="8">
        <f>Table1[[#This Row],[Balls Scored From Trench]]+Table1[[#This Row],[Balls Scored from Mid]]+Table1[[#This Row],[Balls Scored From Alliance zone]]</f>
        <v>0</v>
      </c>
      <c r="W99" s="8">
        <f>Table1[[#This Row],[balls scored high]]+Table1[[#This Row],[balls scored low]]</f>
        <v>0</v>
      </c>
      <c r="X99" s="8">
        <f>Table1[[#This Row],[Control Panel Spun Time]]+Table1[[#This Row],[Control Panel Color Time]]</f>
        <v>0</v>
      </c>
      <c r="Y99" s="8">
        <f>Table1[[#This Row],[Control Panels Spun]]+Table1[[#This Row],[Control Panel Color]]</f>
        <v>0</v>
      </c>
      <c r="Z9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99">
        <v>0</v>
      </c>
      <c r="AB99">
        <v>0</v>
      </c>
      <c r="AC99">
        <v>0</v>
      </c>
      <c r="AD99">
        <v>0</v>
      </c>
      <c r="AE99">
        <v>0</v>
      </c>
      <c r="AF99">
        <v>1</v>
      </c>
      <c r="AG99">
        <v>1</v>
      </c>
      <c r="AH99"/>
      <c r="AI99" t="s">
        <v>176</v>
      </c>
      <c r="AJ99"/>
      <c r="AK99" s="17">
        <f>(Table1[[#This Row],[Climbed]]*weighting!$B$18)+(Table1[[#This Row],[Adjustable Climber]]*weighting!$B$19)+(Table1[[#This Row],[Lift other Robot]]*weighting!$B$20)+(Table1[[#This Row],[Balanced]]*weighting!$B$21)</f>
        <v>0</v>
      </c>
      <c r="AL99" s="8">
        <f>+Table1[[#This Row],[Endgame our score]]+Table1[[#This Row],[teleop our score]]+Table1[[#This Row],[auton our score]]</f>
        <v>1</v>
      </c>
      <c r="AM99" s="20">
        <f t="shared" si="3"/>
        <v>0</v>
      </c>
      <c r="AN99" s="20">
        <f t="shared" si="4"/>
        <v>0</v>
      </c>
      <c r="AO99" s="20">
        <f t="shared" si="5"/>
        <v>1</v>
      </c>
      <c r="AP99" s="20">
        <f>Table1[[#This Row],[balls scored]]+Table1[[#This Row],[auton balls scored]]</f>
        <v>0</v>
      </c>
      <c r="AQ99" s="20">
        <f>Table1[[#This Row],[balls scored high]]+Table1[[#This Row],[Auton Scored High]]</f>
        <v>0</v>
      </c>
      <c r="AR99" s="20">
        <f>Table1[[#This Row],[balls scored low]]+Table1[[#This Row],[Auton Scored Low]]</f>
        <v>0</v>
      </c>
      <c r="AS99" s="50">
        <f>IF(Table1[[#This Row],[Control Panel Spun Time]]&gt;0,1,0)</f>
        <v>0</v>
      </c>
      <c r="AT99" s="20">
        <f>IF(Table1[[#This Row],[Control Panel Color Time]]&gt;0,1,0)</f>
        <v>0</v>
      </c>
    </row>
    <row r="100" spans="1:46" x14ac:dyDescent="0.25">
      <c r="A100">
        <v>1991</v>
      </c>
      <c r="B100">
        <v>2</v>
      </c>
      <c r="C100">
        <v>3</v>
      </c>
      <c r="D100">
        <v>0</v>
      </c>
      <c r="E100">
        <v>0</v>
      </c>
      <c r="F100">
        <v>0</v>
      </c>
      <c r="G100">
        <v>0</v>
      </c>
      <c r="H100">
        <v>1</v>
      </c>
      <c r="I100" s="8">
        <f>+Table1[[#This Row],[Auton ball picked up in our trench]]+Table1[[#This Row],[Auton Balls Picked Up in Mid]]+Table1[[#This Row],[Auton Balls Picked Up In Their Trench]]</f>
        <v>0</v>
      </c>
      <c r="J100" s="8">
        <f>+Table1[[#This Row],[Auton Scored High]]+Table1[[#This Row],[Auton Scored Low]]</f>
        <v>3</v>
      </c>
      <c r="K10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100">
        <v>4</v>
      </c>
      <c r="M100">
        <v>0</v>
      </c>
      <c r="N100">
        <v>0</v>
      </c>
      <c r="O100">
        <v>0</v>
      </c>
      <c r="P100">
        <v>0</v>
      </c>
      <c r="Q100">
        <v>0</v>
      </c>
      <c r="R100">
        <v>0</v>
      </c>
      <c r="S100">
        <v>0</v>
      </c>
      <c r="T100">
        <v>0</v>
      </c>
      <c r="U100">
        <v>0</v>
      </c>
      <c r="V100" s="8">
        <f>Table1[[#This Row],[Balls Scored From Trench]]+Table1[[#This Row],[Balls Scored from Mid]]+Table1[[#This Row],[Balls Scored From Alliance zone]]</f>
        <v>4</v>
      </c>
      <c r="W100" s="8">
        <f>Table1[[#This Row],[balls scored high]]+Table1[[#This Row],[balls scored low]]</f>
        <v>4</v>
      </c>
      <c r="X100" s="8">
        <f>Table1[[#This Row],[Control Panel Spun Time]]+Table1[[#This Row],[Control Panel Color Time]]</f>
        <v>0</v>
      </c>
      <c r="Y100" s="8">
        <f>Table1[[#This Row],[Control Panels Spun]]+Table1[[#This Row],[Control Panel Color]]</f>
        <v>0</v>
      </c>
      <c r="Z10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12</v>
      </c>
      <c r="AA100">
        <v>0</v>
      </c>
      <c r="AB100">
        <v>0</v>
      </c>
      <c r="AC100">
        <v>0</v>
      </c>
      <c r="AD100">
        <v>0</v>
      </c>
      <c r="AE100">
        <v>0</v>
      </c>
      <c r="AF100">
        <v>0</v>
      </c>
      <c r="AG100">
        <v>0</v>
      </c>
      <c r="AI100" t="s">
        <v>174</v>
      </c>
      <c r="AJ100" t="s">
        <v>317</v>
      </c>
      <c r="AK100" s="17">
        <f>(Table1[[#This Row],[Climbed]]*weighting!$B$18)+(Table1[[#This Row],[Adjustable Climber]]*weighting!$B$19)+(Table1[[#This Row],[Lift other Robot]]*weighting!$B$20)+(Table1[[#This Row],[Balanced]]*weighting!$B$21)</f>
        <v>0</v>
      </c>
      <c r="AL100" s="8">
        <f>+Table1[[#This Row],[Endgame our score]]+Table1[[#This Row],[teleop our score]]+Table1[[#This Row],[auton our score]]</f>
        <v>22</v>
      </c>
      <c r="AM100" s="20">
        <f t="shared" si="3"/>
        <v>0</v>
      </c>
      <c r="AN100" s="20">
        <f t="shared" si="4"/>
        <v>1</v>
      </c>
      <c r="AO100" s="20">
        <f t="shared" si="5"/>
        <v>0</v>
      </c>
      <c r="AP100" s="20">
        <f>Table1[[#This Row],[balls scored]]+Table1[[#This Row],[auton balls scored]]</f>
        <v>7</v>
      </c>
      <c r="AQ100" s="20">
        <f>Table1[[#This Row],[balls scored high]]+Table1[[#This Row],[Auton Scored High]]</f>
        <v>7</v>
      </c>
      <c r="AR100" s="20">
        <f>Table1[[#This Row],[balls scored low]]+Table1[[#This Row],[Auton Scored Low]]</f>
        <v>0</v>
      </c>
      <c r="AS100" s="50">
        <f>IF(Table1[[#This Row],[Control Panel Spun Time]]&gt;0,1,0)</f>
        <v>0</v>
      </c>
      <c r="AT100" s="20">
        <f>IF(Table1[[#This Row],[Control Panel Color Time]]&gt;0,1,0)</f>
        <v>0</v>
      </c>
    </row>
    <row r="101" spans="1:46" s="2" customFormat="1" x14ac:dyDescent="0.25">
      <c r="A101">
        <v>1991</v>
      </c>
      <c r="B101">
        <v>2</v>
      </c>
      <c r="C101">
        <v>3</v>
      </c>
      <c r="D101">
        <v>0</v>
      </c>
      <c r="E101">
        <v>0</v>
      </c>
      <c r="F101">
        <v>0</v>
      </c>
      <c r="G101">
        <v>0</v>
      </c>
      <c r="H101">
        <v>1</v>
      </c>
      <c r="I101" s="8">
        <f>+Table1[[#This Row],[Auton ball picked up in our trench]]+Table1[[#This Row],[Auton Balls Picked Up in Mid]]+Table1[[#This Row],[Auton Balls Picked Up In Their Trench]]</f>
        <v>0</v>
      </c>
      <c r="J101" s="8">
        <f>+Table1[[#This Row],[Auton Scored High]]+Table1[[#This Row],[Auton Scored Low]]</f>
        <v>3</v>
      </c>
      <c r="K10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101">
        <v>0</v>
      </c>
      <c r="M101">
        <v>1</v>
      </c>
      <c r="N101">
        <v>0</v>
      </c>
      <c r="O101">
        <v>0</v>
      </c>
      <c r="P101">
        <v>0</v>
      </c>
      <c r="Q101">
        <v>0</v>
      </c>
      <c r="R101">
        <v>0</v>
      </c>
      <c r="S101">
        <v>0</v>
      </c>
      <c r="T101">
        <v>0</v>
      </c>
      <c r="U101">
        <v>1</v>
      </c>
      <c r="V101" s="8">
        <f>Table1[[#This Row],[Balls Scored From Trench]]+Table1[[#This Row],[Balls Scored from Mid]]+Table1[[#This Row],[Balls Scored From Alliance zone]]</f>
        <v>1</v>
      </c>
      <c r="W101" s="8">
        <f>Table1[[#This Row],[balls scored high]]+Table1[[#This Row],[balls scored low]]</f>
        <v>1</v>
      </c>
      <c r="X101" s="8">
        <f>Table1[[#This Row],[Control Panel Spun Time]]+Table1[[#This Row],[Control Panel Color Time]]</f>
        <v>0</v>
      </c>
      <c r="Y101" s="8">
        <f>Table1[[#This Row],[Control Panels Spun]]+Table1[[#This Row],[Control Panel Color]]</f>
        <v>0</v>
      </c>
      <c r="Z10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4</v>
      </c>
      <c r="AA101">
        <v>0</v>
      </c>
      <c r="AB101">
        <v>0</v>
      </c>
      <c r="AC101">
        <v>0</v>
      </c>
      <c r="AD101">
        <v>0</v>
      </c>
      <c r="AE101">
        <v>0</v>
      </c>
      <c r="AF101">
        <v>0</v>
      </c>
      <c r="AG101">
        <v>0</v>
      </c>
      <c r="AH101"/>
      <c r="AI101" t="s">
        <v>176</v>
      </c>
      <c r="AJ101"/>
      <c r="AK101" s="17">
        <f>(Table1[[#This Row],[Climbed]]*weighting!$B$18)+(Table1[[#This Row],[Adjustable Climber]]*weighting!$B$19)+(Table1[[#This Row],[Lift other Robot]]*weighting!$B$20)+(Table1[[#This Row],[Balanced]]*weighting!$B$21)</f>
        <v>0</v>
      </c>
      <c r="AL101" s="8">
        <f>+Table1[[#This Row],[Endgame our score]]+Table1[[#This Row],[teleop our score]]+Table1[[#This Row],[auton our score]]</f>
        <v>14</v>
      </c>
      <c r="AM101" s="20">
        <f t="shared" si="3"/>
        <v>0</v>
      </c>
      <c r="AN101" s="20">
        <f t="shared" si="4"/>
        <v>1</v>
      </c>
      <c r="AO101" s="20">
        <f t="shared" si="5"/>
        <v>0</v>
      </c>
      <c r="AP101" s="20">
        <f>Table1[[#This Row],[balls scored]]+Table1[[#This Row],[auton balls scored]]</f>
        <v>4</v>
      </c>
      <c r="AQ101" s="20">
        <f>Table1[[#This Row],[balls scored high]]+Table1[[#This Row],[Auton Scored High]]</f>
        <v>4</v>
      </c>
      <c r="AR101" s="20">
        <f>Table1[[#This Row],[balls scored low]]+Table1[[#This Row],[Auton Scored Low]]</f>
        <v>0</v>
      </c>
      <c r="AS101" s="50">
        <f>IF(Table1[[#This Row],[Control Panel Spun Time]]&gt;0,1,0)</f>
        <v>0</v>
      </c>
      <c r="AT101" s="20">
        <f>IF(Table1[[#This Row],[Control Panel Color Time]]&gt;0,1,0)</f>
        <v>0</v>
      </c>
    </row>
    <row r="102" spans="1:46" x14ac:dyDescent="0.25">
      <c r="A102">
        <v>2064</v>
      </c>
      <c r="B102">
        <v>1</v>
      </c>
      <c r="C102">
        <v>0</v>
      </c>
      <c r="D102">
        <v>0</v>
      </c>
      <c r="E102">
        <v>0</v>
      </c>
      <c r="F102">
        <v>0</v>
      </c>
      <c r="G102">
        <v>0</v>
      </c>
      <c r="H102">
        <v>0</v>
      </c>
      <c r="I102" s="8">
        <f>+Table1[[#This Row],[Auton ball picked up in our trench]]+Table1[[#This Row],[Auton Balls Picked Up in Mid]]+Table1[[#This Row],[Auton Balls Picked Up In Their Trench]]</f>
        <v>0</v>
      </c>
      <c r="J102" s="8">
        <f>+Table1[[#This Row],[Auton Scored High]]+Table1[[#This Row],[Auton Scored Low]]</f>
        <v>0</v>
      </c>
      <c r="K10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102">
        <v>0</v>
      </c>
      <c r="M102">
        <v>0</v>
      </c>
      <c r="N102">
        <v>0</v>
      </c>
      <c r="O102">
        <v>0</v>
      </c>
      <c r="P102">
        <v>0</v>
      </c>
      <c r="Q102">
        <v>0</v>
      </c>
      <c r="R102">
        <v>0</v>
      </c>
      <c r="S102">
        <v>0</v>
      </c>
      <c r="T102">
        <v>0</v>
      </c>
      <c r="U102">
        <v>0</v>
      </c>
      <c r="V102" s="8">
        <f>Table1[[#This Row],[Balls Scored From Trench]]+Table1[[#This Row],[Balls Scored from Mid]]+Table1[[#This Row],[Balls Scored From Alliance zone]]</f>
        <v>0</v>
      </c>
      <c r="W102" s="8">
        <f>Table1[[#This Row],[balls scored high]]+Table1[[#This Row],[balls scored low]]</f>
        <v>0</v>
      </c>
      <c r="X102" s="8">
        <f>Table1[[#This Row],[Control Panel Spun Time]]+Table1[[#This Row],[Control Panel Color Time]]</f>
        <v>0</v>
      </c>
      <c r="Y102" s="8">
        <f>Table1[[#This Row],[Control Panels Spun]]+Table1[[#This Row],[Control Panel Color]]</f>
        <v>0</v>
      </c>
      <c r="Z10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102">
        <v>0</v>
      </c>
      <c r="AB102">
        <v>0</v>
      </c>
      <c r="AC102">
        <v>0</v>
      </c>
      <c r="AD102">
        <v>0</v>
      </c>
      <c r="AE102">
        <v>0</v>
      </c>
      <c r="AF102">
        <v>1</v>
      </c>
      <c r="AG102">
        <v>0</v>
      </c>
      <c r="AI102" t="s">
        <v>43</v>
      </c>
      <c r="AJ102" t="s">
        <v>186</v>
      </c>
      <c r="AK102" s="17">
        <f>(Table1[[#This Row],[Climbed]]*weighting!$B$18)+(Table1[[#This Row],[Adjustable Climber]]*weighting!$B$19)+(Table1[[#This Row],[Lift other Robot]]*weighting!$B$20)+(Table1[[#This Row],[Balanced]]*weighting!$B$21)</f>
        <v>0</v>
      </c>
      <c r="AL102" s="8">
        <f>+Table1[[#This Row],[Endgame our score]]+Table1[[#This Row],[teleop our score]]+Table1[[#This Row],[auton our score]]</f>
        <v>0</v>
      </c>
      <c r="AM102" s="20">
        <f t="shared" si="3"/>
        <v>1</v>
      </c>
      <c r="AN102" s="20">
        <f t="shared" si="4"/>
        <v>0</v>
      </c>
      <c r="AO102" s="20">
        <f t="shared" si="5"/>
        <v>0</v>
      </c>
      <c r="AP102" s="20">
        <f>Table1[[#This Row],[balls scored]]+Table1[[#This Row],[auton balls scored]]</f>
        <v>0</v>
      </c>
      <c r="AQ102" s="20">
        <f>Table1[[#This Row],[balls scored high]]+Table1[[#This Row],[Auton Scored High]]</f>
        <v>0</v>
      </c>
      <c r="AR102" s="20">
        <f>Table1[[#This Row],[balls scored low]]+Table1[[#This Row],[Auton Scored Low]]</f>
        <v>0</v>
      </c>
      <c r="AS102" s="50">
        <f>IF(Table1[[#This Row],[Control Panel Spun Time]]&gt;0,1,0)</f>
        <v>0</v>
      </c>
      <c r="AT102" s="20">
        <f>IF(Table1[[#This Row],[Control Panel Color Time]]&gt;0,1,0)</f>
        <v>0</v>
      </c>
    </row>
    <row r="103" spans="1:46" s="2" customFormat="1" x14ac:dyDescent="0.25">
      <c r="A103">
        <v>2064</v>
      </c>
      <c r="B103">
        <v>1</v>
      </c>
      <c r="C103">
        <v>0</v>
      </c>
      <c r="D103">
        <v>0</v>
      </c>
      <c r="E103">
        <v>0</v>
      </c>
      <c r="F103">
        <v>0</v>
      </c>
      <c r="G103">
        <v>0</v>
      </c>
      <c r="H103">
        <v>1</v>
      </c>
      <c r="I103" s="8">
        <f>+Table1[[#This Row],[Auton ball picked up in our trench]]+Table1[[#This Row],[Auton Balls Picked Up in Mid]]+Table1[[#This Row],[Auton Balls Picked Up In Their Trench]]</f>
        <v>0</v>
      </c>
      <c r="J103" s="8">
        <f>+Table1[[#This Row],[Auton Scored High]]+Table1[[#This Row],[Auton Scored Low]]</f>
        <v>0</v>
      </c>
      <c r="K10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103">
        <v>0</v>
      </c>
      <c r="M103">
        <v>0</v>
      </c>
      <c r="N103">
        <v>0</v>
      </c>
      <c r="O103">
        <v>0</v>
      </c>
      <c r="P103">
        <v>0</v>
      </c>
      <c r="Q103">
        <v>0</v>
      </c>
      <c r="R103">
        <v>0</v>
      </c>
      <c r="S103">
        <v>0</v>
      </c>
      <c r="T103">
        <v>0</v>
      </c>
      <c r="U103">
        <v>0</v>
      </c>
      <c r="V103" s="8">
        <f>Table1[[#This Row],[Balls Scored From Trench]]+Table1[[#This Row],[Balls Scored from Mid]]+Table1[[#This Row],[Balls Scored From Alliance zone]]</f>
        <v>0</v>
      </c>
      <c r="W103" s="8">
        <f>Table1[[#This Row],[balls scored high]]+Table1[[#This Row],[balls scored low]]</f>
        <v>0</v>
      </c>
      <c r="X103" s="8">
        <f>Table1[[#This Row],[Control Panel Spun Time]]+Table1[[#This Row],[Control Panel Color Time]]</f>
        <v>0</v>
      </c>
      <c r="Y103" s="8">
        <f>Table1[[#This Row],[Control Panels Spun]]+Table1[[#This Row],[Control Panel Color]]</f>
        <v>0</v>
      </c>
      <c r="Z10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103">
        <v>0</v>
      </c>
      <c r="AB103">
        <v>0</v>
      </c>
      <c r="AC103">
        <v>0</v>
      </c>
      <c r="AD103">
        <v>0</v>
      </c>
      <c r="AE103">
        <v>0</v>
      </c>
      <c r="AF103">
        <v>0</v>
      </c>
      <c r="AG103">
        <v>0</v>
      </c>
      <c r="AH103"/>
      <c r="AI103" t="s">
        <v>43</v>
      </c>
      <c r="AJ103"/>
      <c r="AK103" s="17">
        <f>(Table1[[#This Row],[Climbed]]*weighting!$B$18)+(Table1[[#This Row],[Adjustable Climber]]*weighting!$B$19)+(Table1[[#This Row],[Lift other Robot]]*weighting!$B$20)+(Table1[[#This Row],[Balanced]]*weighting!$B$21)</f>
        <v>0</v>
      </c>
      <c r="AL103" s="8">
        <f>+Table1[[#This Row],[Endgame our score]]+Table1[[#This Row],[teleop our score]]+Table1[[#This Row],[auton our score]]</f>
        <v>1</v>
      </c>
      <c r="AM103" s="20">
        <f t="shared" si="3"/>
        <v>1</v>
      </c>
      <c r="AN103" s="20">
        <f t="shared" si="4"/>
        <v>0</v>
      </c>
      <c r="AO103" s="20">
        <f t="shared" si="5"/>
        <v>0</v>
      </c>
      <c r="AP103" s="20">
        <f>Table1[[#This Row],[balls scored]]+Table1[[#This Row],[auton balls scored]]</f>
        <v>0</v>
      </c>
      <c r="AQ103" s="20">
        <f>Table1[[#This Row],[balls scored high]]+Table1[[#This Row],[Auton Scored High]]</f>
        <v>0</v>
      </c>
      <c r="AR103" s="20">
        <f>Table1[[#This Row],[balls scored low]]+Table1[[#This Row],[Auton Scored Low]]</f>
        <v>0</v>
      </c>
      <c r="AS103" s="50">
        <f>IF(Table1[[#This Row],[Control Panel Spun Time]]&gt;0,1,0)</f>
        <v>0</v>
      </c>
      <c r="AT103" s="20">
        <f>IF(Table1[[#This Row],[Control Panel Color Time]]&gt;0,1,0)</f>
        <v>0</v>
      </c>
    </row>
    <row r="104" spans="1:46" x14ac:dyDescent="0.25">
      <c r="A104">
        <v>2064</v>
      </c>
      <c r="B104">
        <v>1</v>
      </c>
      <c r="C104">
        <v>0</v>
      </c>
      <c r="D104">
        <v>0</v>
      </c>
      <c r="E104">
        <v>0</v>
      </c>
      <c r="F104">
        <v>0</v>
      </c>
      <c r="G104">
        <v>0</v>
      </c>
      <c r="H104">
        <v>1</v>
      </c>
      <c r="I104" s="8">
        <f>+Table1[[#This Row],[Auton ball picked up in our trench]]+Table1[[#This Row],[Auton Balls Picked Up in Mid]]+Table1[[#This Row],[Auton Balls Picked Up In Their Trench]]</f>
        <v>0</v>
      </c>
      <c r="J104" s="8">
        <f>+Table1[[#This Row],[Auton Scored High]]+Table1[[#This Row],[Auton Scored Low]]</f>
        <v>0</v>
      </c>
      <c r="K10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104">
        <v>0</v>
      </c>
      <c r="M104">
        <v>0</v>
      </c>
      <c r="N104">
        <v>0</v>
      </c>
      <c r="O104">
        <v>0</v>
      </c>
      <c r="P104">
        <v>0</v>
      </c>
      <c r="Q104">
        <v>0</v>
      </c>
      <c r="R104">
        <v>0</v>
      </c>
      <c r="S104">
        <v>0</v>
      </c>
      <c r="T104">
        <v>0</v>
      </c>
      <c r="U104">
        <v>0</v>
      </c>
      <c r="V104" s="8">
        <f>Table1[[#This Row],[Balls Scored From Trench]]+Table1[[#This Row],[Balls Scored from Mid]]+Table1[[#This Row],[Balls Scored From Alliance zone]]</f>
        <v>0</v>
      </c>
      <c r="W104" s="8">
        <f>Table1[[#This Row],[balls scored high]]+Table1[[#This Row],[balls scored low]]</f>
        <v>0</v>
      </c>
      <c r="X104" s="8">
        <f>Table1[[#This Row],[Control Panel Spun Time]]+Table1[[#This Row],[Control Panel Color Time]]</f>
        <v>0</v>
      </c>
      <c r="Y104" s="8">
        <f>Table1[[#This Row],[Control Panels Spun]]+Table1[[#This Row],[Control Panel Color]]</f>
        <v>0</v>
      </c>
      <c r="Z10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104">
        <v>0</v>
      </c>
      <c r="AB104">
        <v>0</v>
      </c>
      <c r="AC104">
        <v>0</v>
      </c>
      <c r="AD104">
        <v>0</v>
      </c>
      <c r="AE104">
        <v>0</v>
      </c>
      <c r="AF104">
        <v>0</v>
      </c>
      <c r="AG104">
        <v>0</v>
      </c>
      <c r="AI104" t="s">
        <v>174</v>
      </c>
      <c r="AJ104" t="s">
        <v>252</v>
      </c>
      <c r="AK104" s="17">
        <f>(Table1[[#This Row],[Climbed]]*weighting!$B$18)+(Table1[[#This Row],[Adjustable Climber]]*weighting!$B$19)+(Table1[[#This Row],[Lift other Robot]]*weighting!$B$20)+(Table1[[#This Row],[Balanced]]*weighting!$B$21)</f>
        <v>0</v>
      </c>
      <c r="AL104" s="8">
        <f>+Table1[[#This Row],[Endgame our score]]+Table1[[#This Row],[teleop our score]]+Table1[[#This Row],[auton our score]]</f>
        <v>1</v>
      </c>
      <c r="AM104" s="20">
        <f t="shared" si="3"/>
        <v>1</v>
      </c>
      <c r="AN104" s="20">
        <f t="shared" si="4"/>
        <v>0</v>
      </c>
      <c r="AO104" s="20">
        <f t="shared" si="5"/>
        <v>0</v>
      </c>
      <c r="AP104" s="20">
        <f>Table1[[#This Row],[balls scored]]+Table1[[#This Row],[auton balls scored]]</f>
        <v>0</v>
      </c>
      <c r="AQ104" s="20">
        <f>Table1[[#This Row],[balls scored high]]+Table1[[#This Row],[Auton Scored High]]</f>
        <v>0</v>
      </c>
      <c r="AR104" s="20">
        <f>Table1[[#This Row],[balls scored low]]+Table1[[#This Row],[Auton Scored Low]]</f>
        <v>0</v>
      </c>
      <c r="AS104" s="50">
        <f>IF(Table1[[#This Row],[Control Panel Spun Time]]&gt;0,1,0)</f>
        <v>0</v>
      </c>
      <c r="AT104" s="20">
        <f>IF(Table1[[#This Row],[Control Panel Color Time]]&gt;0,1,0)</f>
        <v>0</v>
      </c>
    </row>
    <row r="105" spans="1:46" s="2" customFormat="1" x14ac:dyDescent="0.25">
      <c r="A105">
        <v>2064</v>
      </c>
      <c r="B105">
        <v>1</v>
      </c>
      <c r="C105">
        <v>0</v>
      </c>
      <c r="D105">
        <v>0</v>
      </c>
      <c r="E105">
        <v>0</v>
      </c>
      <c r="F105">
        <v>0</v>
      </c>
      <c r="G105">
        <v>0</v>
      </c>
      <c r="H105">
        <v>1</v>
      </c>
      <c r="I105" s="8">
        <f>+Table1[[#This Row],[Auton ball picked up in our trench]]+Table1[[#This Row],[Auton Balls Picked Up in Mid]]+Table1[[#This Row],[Auton Balls Picked Up In Their Trench]]</f>
        <v>0</v>
      </c>
      <c r="J105" s="8">
        <f>+Table1[[#This Row],[Auton Scored High]]+Table1[[#This Row],[Auton Scored Low]]</f>
        <v>0</v>
      </c>
      <c r="K10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105">
        <v>0</v>
      </c>
      <c r="M105">
        <v>0</v>
      </c>
      <c r="N105">
        <v>2</v>
      </c>
      <c r="O105">
        <v>0</v>
      </c>
      <c r="P105">
        <v>0</v>
      </c>
      <c r="Q105">
        <v>0</v>
      </c>
      <c r="R105">
        <v>0</v>
      </c>
      <c r="S105">
        <v>0</v>
      </c>
      <c r="T105">
        <v>0</v>
      </c>
      <c r="U105">
        <v>2.5</v>
      </c>
      <c r="V105" s="8">
        <f>Table1[[#This Row],[Balls Scored From Trench]]+Table1[[#This Row],[Balls Scored from Mid]]+Table1[[#This Row],[Balls Scored From Alliance zone]]</f>
        <v>2</v>
      </c>
      <c r="W105" s="8">
        <f>Table1[[#This Row],[balls scored high]]+Table1[[#This Row],[balls scored low]]</f>
        <v>2</v>
      </c>
      <c r="X105" s="8">
        <f>Table1[[#This Row],[Control Panel Spun Time]]+Table1[[#This Row],[Control Panel Color Time]]</f>
        <v>0</v>
      </c>
      <c r="Y105" s="8">
        <f>Table1[[#This Row],[Control Panels Spun]]+Table1[[#This Row],[Control Panel Color]]</f>
        <v>0</v>
      </c>
      <c r="Z10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7</v>
      </c>
      <c r="AA105">
        <v>0</v>
      </c>
      <c r="AB105">
        <v>0</v>
      </c>
      <c r="AC105">
        <v>0</v>
      </c>
      <c r="AD105">
        <v>0</v>
      </c>
      <c r="AE105">
        <v>0</v>
      </c>
      <c r="AF105">
        <v>0</v>
      </c>
      <c r="AG105">
        <v>0</v>
      </c>
      <c r="AH105"/>
      <c r="AI105" t="s">
        <v>184</v>
      </c>
      <c r="AJ105" t="s">
        <v>283</v>
      </c>
      <c r="AK105" s="17">
        <f>(Table1[[#This Row],[Climbed]]*weighting!$B$18)+(Table1[[#This Row],[Adjustable Climber]]*weighting!$B$19)+(Table1[[#This Row],[Lift other Robot]]*weighting!$B$20)+(Table1[[#This Row],[Balanced]]*weighting!$B$21)</f>
        <v>0</v>
      </c>
      <c r="AL105" s="8">
        <f>+Table1[[#This Row],[Endgame our score]]+Table1[[#This Row],[teleop our score]]+Table1[[#This Row],[auton our score]]</f>
        <v>8</v>
      </c>
      <c r="AM105" s="20">
        <f t="shared" si="3"/>
        <v>1</v>
      </c>
      <c r="AN105" s="20">
        <f t="shared" si="4"/>
        <v>0</v>
      </c>
      <c r="AO105" s="20">
        <f t="shared" si="5"/>
        <v>0</v>
      </c>
      <c r="AP105" s="20">
        <f>Table1[[#This Row],[balls scored]]+Table1[[#This Row],[auton balls scored]]</f>
        <v>2</v>
      </c>
      <c r="AQ105" s="20">
        <f>Table1[[#This Row],[balls scored high]]+Table1[[#This Row],[Auton Scored High]]</f>
        <v>2</v>
      </c>
      <c r="AR105" s="20">
        <f>Table1[[#This Row],[balls scored low]]+Table1[[#This Row],[Auton Scored Low]]</f>
        <v>0</v>
      </c>
      <c r="AS105" s="50">
        <f>IF(Table1[[#This Row],[Control Panel Spun Time]]&gt;0,1,0)</f>
        <v>0</v>
      </c>
      <c r="AT105" s="20">
        <f>IF(Table1[[#This Row],[Control Panel Color Time]]&gt;0,1,0)</f>
        <v>0</v>
      </c>
    </row>
    <row r="106" spans="1:46" x14ac:dyDescent="0.25">
      <c r="A106">
        <v>2064</v>
      </c>
      <c r="B106">
        <v>1</v>
      </c>
      <c r="C106">
        <v>0</v>
      </c>
      <c r="D106">
        <v>0</v>
      </c>
      <c r="E106">
        <v>0</v>
      </c>
      <c r="F106">
        <v>0</v>
      </c>
      <c r="G106">
        <v>0</v>
      </c>
      <c r="H106">
        <v>1</v>
      </c>
      <c r="I106" s="8">
        <f>+Table1[[#This Row],[Auton ball picked up in our trench]]+Table1[[#This Row],[Auton Balls Picked Up in Mid]]+Table1[[#This Row],[Auton Balls Picked Up In Their Trench]]</f>
        <v>0</v>
      </c>
      <c r="J106" s="8">
        <f>+Table1[[#This Row],[Auton Scored High]]+Table1[[#This Row],[Auton Scored Low]]</f>
        <v>0</v>
      </c>
      <c r="K10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106">
        <v>0</v>
      </c>
      <c r="M106">
        <v>0</v>
      </c>
      <c r="N106">
        <v>0</v>
      </c>
      <c r="O106">
        <v>0</v>
      </c>
      <c r="P106">
        <v>0</v>
      </c>
      <c r="Q106">
        <v>0</v>
      </c>
      <c r="R106">
        <v>0</v>
      </c>
      <c r="S106">
        <v>0</v>
      </c>
      <c r="T106">
        <v>0</v>
      </c>
      <c r="U106">
        <v>5</v>
      </c>
      <c r="V106" s="8">
        <f>Table1[[#This Row],[Balls Scored From Trench]]+Table1[[#This Row],[Balls Scored from Mid]]+Table1[[#This Row],[Balls Scored From Alliance zone]]</f>
        <v>0</v>
      </c>
      <c r="W106" s="8">
        <f>Table1[[#This Row],[balls scored high]]+Table1[[#This Row],[balls scored low]]</f>
        <v>0</v>
      </c>
      <c r="X106" s="8">
        <f>Table1[[#This Row],[Control Panel Spun Time]]+Table1[[#This Row],[Control Panel Color Time]]</f>
        <v>0</v>
      </c>
      <c r="Y106" s="8">
        <f>Table1[[#This Row],[Control Panels Spun]]+Table1[[#This Row],[Control Panel Color]]</f>
        <v>0</v>
      </c>
      <c r="Z10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10</v>
      </c>
      <c r="AA106">
        <v>0</v>
      </c>
      <c r="AB106">
        <v>0</v>
      </c>
      <c r="AC106">
        <v>0</v>
      </c>
      <c r="AD106">
        <v>0</v>
      </c>
      <c r="AE106">
        <v>1</v>
      </c>
      <c r="AF106">
        <v>0</v>
      </c>
      <c r="AG106">
        <v>0</v>
      </c>
      <c r="AI106" t="s">
        <v>179</v>
      </c>
      <c r="AJ106" t="s">
        <v>284</v>
      </c>
      <c r="AK106" s="17">
        <f>(Table1[[#This Row],[Climbed]]*weighting!$B$18)+(Table1[[#This Row],[Adjustable Climber]]*weighting!$B$19)+(Table1[[#This Row],[Lift other Robot]]*weighting!$B$20)+(Table1[[#This Row],[Balanced]]*weighting!$B$21)</f>
        <v>0</v>
      </c>
      <c r="AL106" s="8">
        <f>+Table1[[#This Row],[Endgame our score]]+Table1[[#This Row],[teleop our score]]+Table1[[#This Row],[auton our score]]</f>
        <v>11</v>
      </c>
      <c r="AM106" s="20">
        <f t="shared" si="3"/>
        <v>1</v>
      </c>
      <c r="AN106" s="20">
        <f t="shared" si="4"/>
        <v>0</v>
      </c>
      <c r="AO106" s="20">
        <f t="shared" si="5"/>
        <v>0</v>
      </c>
      <c r="AP106" s="20">
        <f>Table1[[#This Row],[balls scored]]+Table1[[#This Row],[auton balls scored]]</f>
        <v>0</v>
      </c>
      <c r="AQ106" s="20">
        <f>Table1[[#This Row],[balls scored high]]+Table1[[#This Row],[Auton Scored High]]</f>
        <v>0</v>
      </c>
      <c r="AR106" s="20">
        <f>Table1[[#This Row],[balls scored low]]+Table1[[#This Row],[Auton Scored Low]]</f>
        <v>0</v>
      </c>
      <c r="AS106" s="50">
        <f>IF(Table1[[#This Row],[Control Panel Spun Time]]&gt;0,1,0)</f>
        <v>0</v>
      </c>
      <c r="AT106" s="20">
        <f>IF(Table1[[#This Row],[Control Panel Color Time]]&gt;0,1,0)</f>
        <v>0</v>
      </c>
    </row>
    <row r="107" spans="1:46" s="2" customFormat="1" x14ac:dyDescent="0.25">
      <c r="A107">
        <v>2064</v>
      </c>
      <c r="B107">
        <v>1</v>
      </c>
      <c r="C107">
        <v>0</v>
      </c>
      <c r="D107">
        <v>0</v>
      </c>
      <c r="E107">
        <v>0</v>
      </c>
      <c r="F107">
        <v>0</v>
      </c>
      <c r="G107">
        <v>0</v>
      </c>
      <c r="H107">
        <v>1</v>
      </c>
      <c r="I107" s="8">
        <f>+Table1[[#This Row],[Auton ball picked up in our trench]]+Table1[[#This Row],[Auton Balls Picked Up in Mid]]+Table1[[#This Row],[Auton Balls Picked Up In Their Trench]]</f>
        <v>0</v>
      </c>
      <c r="J107" s="8">
        <f>+Table1[[#This Row],[Auton Scored High]]+Table1[[#This Row],[Auton Scored Low]]</f>
        <v>0</v>
      </c>
      <c r="K10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107">
        <v>0</v>
      </c>
      <c r="M107">
        <v>0</v>
      </c>
      <c r="N107">
        <v>0</v>
      </c>
      <c r="O107">
        <v>0</v>
      </c>
      <c r="P107">
        <v>0</v>
      </c>
      <c r="Q107">
        <v>0</v>
      </c>
      <c r="R107">
        <v>0</v>
      </c>
      <c r="S107">
        <v>0</v>
      </c>
      <c r="T107">
        <v>0</v>
      </c>
      <c r="U107">
        <v>2.5</v>
      </c>
      <c r="V107" s="8">
        <f>Table1[[#This Row],[Balls Scored From Trench]]+Table1[[#This Row],[Balls Scored from Mid]]+Table1[[#This Row],[Balls Scored From Alliance zone]]</f>
        <v>0</v>
      </c>
      <c r="W107" s="8">
        <f>Table1[[#This Row],[balls scored high]]+Table1[[#This Row],[balls scored low]]</f>
        <v>0</v>
      </c>
      <c r="X107" s="8">
        <f>Table1[[#This Row],[Control Panel Spun Time]]+Table1[[#This Row],[Control Panel Color Time]]</f>
        <v>0</v>
      </c>
      <c r="Y107" s="8">
        <f>Table1[[#This Row],[Control Panels Spun]]+Table1[[#This Row],[Control Panel Color]]</f>
        <v>0</v>
      </c>
      <c r="Z10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5</v>
      </c>
      <c r="AA107">
        <v>0</v>
      </c>
      <c r="AB107">
        <v>0</v>
      </c>
      <c r="AC107">
        <v>0</v>
      </c>
      <c r="AD107">
        <v>0</v>
      </c>
      <c r="AE107">
        <v>0</v>
      </c>
      <c r="AF107">
        <v>0</v>
      </c>
      <c r="AG107">
        <v>0</v>
      </c>
      <c r="AH107"/>
      <c r="AI107" t="s">
        <v>176</v>
      </c>
      <c r="AJ107" t="s">
        <v>318</v>
      </c>
      <c r="AK107" s="17">
        <f>(Table1[[#This Row],[Climbed]]*weighting!$B$18)+(Table1[[#This Row],[Adjustable Climber]]*weighting!$B$19)+(Table1[[#This Row],[Lift other Robot]]*weighting!$B$20)+(Table1[[#This Row],[Balanced]]*weighting!$B$21)</f>
        <v>0</v>
      </c>
      <c r="AL107" s="8">
        <f>+Table1[[#This Row],[Endgame our score]]+Table1[[#This Row],[teleop our score]]+Table1[[#This Row],[auton our score]]</f>
        <v>6</v>
      </c>
      <c r="AM107" s="20">
        <f t="shared" si="3"/>
        <v>1</v>
      </c>
      <c r="AN107" s="20">
        <f t="shared" si="4"/>
        <v>0</v>
      </c>
      <c r="AO107" s="20">
        <f t="shared" si="5"/>
        <v>0</v>
      </c>
      <c r="AP107" s="20">
        <f>Table1[[#This Row],[balls scored]]+Table1[[#This Row],[auton balls scored]]</f>
        <v>0</v>
      </c>
      <c r="AQ107" s="20">
        <f>Table1[[#This Row],[balls scored high]]+Table1[[#This Row],[Auton Scored High]]</f>
        <v>0</v>
      </c>
      <c r="AR107" s="20">
        <f>Table1[[#This Row],[balls scored low]]+Table1[[#This Row],[Auton Scored Low]]</f>
        <v>0</v>
      </c>
      <c r="AS107" s="50">
        <f>IF(Table1[[#This Row],[Control Panel Spun Time]]&gt;0,1,0)</f>
        <v>0</v>
      </c>
      <c r="AT107" s="20">
        <f>IF(Table1[[#This Row],[Control Panel Color Time]]&gt;0,1,0)</f>
        <v>0</v>
      </c>
    </row>
    <row r="108" spans="1:46" x14ac:dyDescent="0.25">
      <c r="A108">
        <v>2067</v>
      </c>
      <c r="B108">
        <v>1</v>
      </c>
      <c r="C108">
        <v>3</v>
      </c>
      <c r="D108">
        <v>0</v>
      </c>
      <c r="E108">
        <v>0</v>
      </c>
      <c r="F108">
        <v>0</v>
      </c>
      <c r="G108">
        <v>0</v>
      </c>
      <c r="H108">
        <v>0</v>
      </c>
      <c r="I108" s="8">
        <f>+Table1[[#This Row],[Auton ball picked up in our trench]]+Table1[[#This Row],[Auton Balls Picked Up in Mid]]+Table1[[#This Row],[Auton Balls Picked Up In Their Trench]]</f>
        <v>0</v>
      </c>
      <c r="J108" s="8">
        <f>+Table1[[#This Row],[Auton Scored High]]+Table1[[#This Row],[Auton Scored Low]]</f>
        <v>3</v>
      </c>
      <c r="K10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9</v>
      </c>
      <c r="L108">
        <v>0</v>
      </c>
      <c r="M108">
        <v>14</v>
      </c>
      <c r="N108">
        <v>0</v>
      </c>
      <c r="O108">
        <v>0</v>
      </c>
      <c r="P108">
        <v>0</v>
      </c>
      <c r="Q108">
        <v>0</v>
      </c>
      <c r="R108">
        <v>0</v>
      </c>
      <c r="S108">
        <v>0</v>
      </c>
      <c r="T108">
        <v>0</v>
      </c>
      <c r="U108">
        <v>0</v>
      </c>
      <c r="V108" s="8">
        <f>Table1[[#This Row],[Balls Scored From Trench]]+Table1[[#This Row],[Balls Scored from Mid]]+Table1[[#This Row],[Balls Scored From Alliance zone]]</f>
        <v>14</v>
      </c>
      <c r="W108" s="8">
        <f>Table1[[#This Row],[balls scored high]]+Table1[[#This Row],[balls scored low]]</f>
        <v>14</v>
      </c>
      <c r="X108" s="8">
        <f>Table1[[#This Row],[Control Panel Spun Time]]+Table1[[#This Row],[Control Panel Color Time]]</f>
        <v>0</v>
      </c>
      <c r="Y108" s="8">
        <f>Table1[[#This Row],[Control Panels Spun]]+Table1[[#This Row],[Control Panel Color]]</f>
        <v>0</v>
      </c>
      <c r="Z10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28</v>
      </c>
      <c r="AA108">
        <v>0</v>
      </c>
      <c r="AB108">
        <v>0</v>
      </c>
      <c r="AC108">
        <v>0</v>
      </c>
      <c r="AD108">
        <v>0</v>
      </c>
      <c r="AE108">
        <v>0</v>
      </c>
      <c r="AF108">
        <v>0</v>
      </c>
      <c r="AG108">
        <v>0</v>
      </c>
      <c r="AI108" t="s">
        <v>174</v>
      </c>
      <c r="AJ108" t="s">
        <v>187</v>
      </c>
      <c r="AK108" s="17">
        <f>(Table1[[#This Row],[Climbed]]*weighting!$B$18)+(Table1[[#This Row],[Adjustable Climber]]*weighting!$B$19)+(Table1[[#This Row],[Lift other Robot]]*weighting!$B$20)+(Table1[[#This Row],[Balanced]]*weighting!$B$21)</f>
        <v>0</v>
      </c>
      <c r="AL108" s="8">
        <f>+Table1[[#This Row],[Endgame our score]]+Table1[[#This Row],[teleop our score]]+Table1[[#This Row],[auton our score]]</f>
        <v>37</v>
      </c>
      <c r="AM108" s="20">
        <f t="shared" si="3"/>
        <v>1</v>
      </c>
      <c r="AN108" s="20">
        <f t="shared" si="4"/>
        <v>0</v>
      </c>
      <c r="AO108" s="20">
        <f t="shared" si="5"/>
        <v>0</v>
      </c>
      <c r="AP108" s="20">
        <f>Table1[[#This Row],[balls scored]]+Table1[[#This Row],[auton balls scored]]</f>
        <v>17</v>
      </c>
      <c r="AQ108" s="20">
        <f>Table1[[#This Row],[balls scored high]]+Table1[[#This Row],[Auton Scored High]]</f>
        <v>17</v>
      </c>
      <c r="AR108" s="20">
        <f>Table1[[#This Row],[balls scored low]]+Table1[[#This Row],[Auton Scored Low]]</f>
        <v>0</v>
      </c>
      <c r="AS108" s="50">
        <f>IF(Table1[[#This Row],[Control Panel Spun Time]]&gt;0,1,0)</f>
        <v>0</v>
      </c>
      <c r="AT108" s="20">
        <f>IF(Table1[[#This Row],[Control Panel Color Time]]&gt;0,1,0)</f>
        <v>0</v>
      </c>
    </row>
    <row r="109" spans="1:46" s="2" customFormat="1" x14ac:dyDescent="0.25">
      <c r="A109">
        <v>2067</v>
      </c>
      <c r="B109">
        <v>3</v>
      </c>
      <c r="C109">
        <v>0</v>
      </c>
      <c r="D109">
        <v>0</v>
      </c>
      <c r="E109">
        <v>0</v>
      </c>
      <c r="F109">
        <v>0</v>
      </c>
      <c r="G109">
        <v>0</v>
      </c>
      <c r="H109">
        <v>1</v>
      </c>
      <c r="I109" s="8">
        <f>+Table1[[#This Row],[Auton ball picked up in our trench]]+Table1[[#This Row],[Auton Balls Picked Up in Mid]]+Table1[[#This Row],[Auton Balls Picked Up In Their Trench]]</f>
        <v>0</v>
      </c>
      <c r="J109" s="8">
        <f>+Table1[[#This Row],[Auton Scored High]]+Table1[[#This Row],[Auton Scored Low]]</f>
        <v>0</v>
      </c>
      <c r="K10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109">
        <v>0</v>
      </c>
      <c r="M109">
        <v>0</v>
      </c>
      <c r="N109">
        <v>0</v>
      </c>
      <c r="O109">
        <v>0</v>
      </c>
      <c r="P109">
        <v>0</v>
      </c>
      <c r="Q109">
        <v>0</v>
      </c>
      <c r="R109">
        <v>0</v>
      </c>
      <c r="S109">
        <v>0</v>
      </c>
      <c r="T109">
        <v>0</v>
      </c>
      <c r="U109">
        <v>0</v>
      </c>
      <c r="V109" s="8">
        <f>Table1[[#This Row],[Balls Scored From Trench]]+Table1[[#This Row],[Balls Scored from Mid]]+Table1[[#This Row],[Balls Scored From Alliance zone]]</f>
        <v>0</v>
      </c>
      <c r="W109" s="8">
        <f>Table1[[#This Row],[balls scored high]]+Table1[[#This Row],[balls scored low]]</f>
        <v>0</v>
      </c>
      <c r="X109" s="8">
        <f>Table1[[#This Row],[Control Panel Spun Time]]+Table1[[#This Row],[Control Panel Color Time]]</f>
        <v>0</v>
      </c>
      <c r="Y109" s="8">
        <f>Table1[[#This Row],[Control Panels Spun]]+Table1[[#This Row],[Control Panel Color]]</f>
        <v>0</v>
      </c>
      <c r="Z10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109">
        <v>1</v>
      </c>
      <c r="AB109">
        <v>0</v>
      </c>
      <c r="AC109">
        <v>1</v>
      </c>
      <c r="AD109">
        <v>0</v>
      </c>
      <c r="AE109">
        <v>1</v>
      </c>
      <c r="AF109">
        <v>0</v>
      </c>
      <c r="AG109">
        <v>0</v>
      </c>
      <c r="AH109"/>
      <c r="AI109" t="s">
        <v>176</v>
      </c>
      <c r="AJ109" t="s">
        <v>215</v>
      </c>
      <c r="AK109" s="17">
        <f>(Table1[[#This Row],[Climbed]]*weighting!$B$18)+(Table1[[#This Row],[Adjustable Climber]]*weighting!$B$19)+(Table1[[#This Row],[Lift other Robot]]*weighting!$B$20)+(Table1[[#This Row],[Balanced]]*weighting!$B$21)</f>
        <v>40</v>
      </c>
      <c r="AL109" s="8">
        <f>+Table1[[#This Row],[Endgame our score]]+Table1[[#This Row],[teleop our score]]+Table1[[#This Row],[auton our score]]</f>
        <v>41</v>
      </c>
      <c r="AM109" s="20">
        <f t="shared" si="3"/>
        <v>0</v>
      </c>
      <c r="AN109" s="20">
        <f t="shared" si="4"/>
        <v>0</v>
      </c>
      <c r="AO109" s="20">
        <f t="shared" si="5"/>
        <v>1</v>
      </c>
      <c r="AP109" s="20">
        <f>Table1[[#This Row],[balls scored]]+Table1[[#This Row],[auton balls scored]]</f>
        <v>0</v>
      </c>
      <c r="AQ109" s="20">
        <f>Table1[[#This Row],[balls scored high]]+Table1[[#This Row],[Auton Scored High]]</f>
        <v>0</v>
      </c>
      <c r="AR109" s="20">
        <f>Table1[[#This Row],[balls scored low]]+Table1[[#This Row],[Auton Scored Low]]</f>
        <v>0</v>
      </c>
      <c r="AS109" s="50">
        <f>IF(Table1[[#This Row],[Control Panel Spun Time]]&gt;0,1,0)</f>
        <v>0</v>
      </c>
      <c r="AT109" s="20">
        <f>IF(Table1[[#This Row],[Control Panel Color Time]]&gt;0,1,0)</f>
        <v>0</v>
      </c>
    </row>
    <row r="110" spans="1:46" x14ac:dyDescent="0.25">
      <c r="A110">
        <v>2067</v>
      </c>
      <c r="B110">
        <v>1</v>
      </c>
      <c r="C110">
        <v>0</v>
      </c>
      <c r="D110">
        <v>0</v>
      </c>
      <c r="E110">
        <v>0</v>
      </c>
      <c r="F110">
        <v>0</v>
      </c>
      <c r="G110">
        <v>0</v>
      </c>
      <c r="H110">
        <v>1</v>
      </c>
      <c r="I110" s="8">
        <f>+Table1[[#This Row],[Auton ball picked up in our trench]]+Table1[[#This Row],[Auton Balls Picked Up in Mid]]+Table1[[#This Row],[Auton Balls Picked Up In Their Trench]]</f>
        <v>0</v>
      </c>
      <c r="J110" s="8">
        <f>+Table1[[#This Row],[Auton Scored High]]+Table1[[#This Row],[Auton Scored Low]]</f>
        <v>0</v>
      </c>
      <c r="K11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110">
        <v>0</v>
      </c>
      <c r="M110">
        <v>0</v>
      </c>
      <c r="N110">
        <v>0</v>
      </c>
      <c r="O110">
        <v>0</v>
      </c>
      <c r="P110">
        <v>0</v>
      </c>
      <c r="Q110">
        <v>0</v>
      </c>
      <c r="R110">
        <v>0</v>
      </c>
      <c r="S110">
        <v>0</v>
      </c>
      <c r="T110">
        <v>0</v>
      </c>
      <c r="U110">
        <v>0</v>
      </c>
      <c r="V110" s="8">
        <f>Table1[[#This Row],[Balls Scored From Trench]]+Table1[[#This Row],[Balls Scored from Mid]]+Table1[[#This Row],[Balls Scored From Alliance zone]]</f>
        <v>0</v>
      </c>
      <c r="W110" s="8">
        <f>Table1[[#This Row],[balls scored high]]+Table1[[#This Row],[balls scored low]]</f>
        <v>0</v>
      </c>
      <c r="X110" s="8">
        <f>Table1[[#This Row],[Control Panel Spun Time]]+Table1[[#This Row],[Control Panel Color Time]]</f>
        <v>0</v>
      </c>
      <c r="Y110" s="8">
        <f>Table1[[#This Row],[Control Panels Spun]]+Table1[[#This Row],[Control Panel Color]]</f>
        <v>0</v>
      </c>
      <c r="Z11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110">
        <v>1</v>
      </c>
      <c r="AB110">
        <v>0</v>
      </c>
      <c r="AC110">
        <v>0</v>
      </c>
      <c r="AD110">
        <v>0</v>
      </c>
      <c r="AE110">
        <v>0</v>
      </c>
      <c r="AF110">
        <v>0</v>
      </c>
      <c r="AG110">
        <v>0</v>
      </c>
      <c r="AI110" t="s">
        <v>43</v>
      </c>
      <c r="AK110" s="17">
        <f>(Table1[[#This Row],[Climbed]]*weighting!$B$18)+(Table1[[#This Row],[Adjustable Climber]]*weighting!$B$19)+(Table1[[#This Row],[Lift other Robot]]*weighting!$B$20)+(Table1[[#This Row],[Balanced]]*weighting!$B$21)</f>
        <v>25</v>
      </c>
      <c r="AL110" s="8">
        <f>+Table1[[#This Row],[Endgame our score]]+Table1[[#This Row],[teleop our score]]+Table1[[#This Row],[auton our score]]</f>
        <v>26</v>
      </c>
      <c r="AM110" s="20">
        <f t="shared" si="3"/>
        <v>1</v>
      </c>
      <c r="AN110" s="20">
        <f t="shared" si="4"/>
        <v>0</v>
      </c>
      <c r="AO110" s="20">
        <f t="shared" si="5"/>
        <v>0</v>
      </c>
      <c r="AP110" s="20">
        <f>Table1[[#This Row],[balls scored]]+Table1[[#This Row],[auton balls scored]]</f>
        <v>0</v>
      </c>
      <c r="AQ110" s="20">
        <f>Table1[[#This Row],[balls scored high]]+Table1[[#This Row],[Auton Scored High]]</f>
        <v>0</v>
      </c>
      <c r="AR110" s="20">
        <f>Table1[[#This Row],[balls scored low]]+Table1[[#This Row],[Auton Scored Low]]</f>
        <v>0</v>
      </c>
      <c r="AS110" s="50">
        <f>IF(Table1[[#This Row],[Control Panel Spun Time]]&gt;0,1,0)</f>
        <v>0</v>
      </c>
      <c r="AT110" s="20">
        <f>IF(Table1[[#This Row],[Control Panel Color Time]]&gt;0,1,0)</f>
        <v>0</v>
      </c>
    </row>
    <row r="111" spans="1:46" s="2" customFormat="1" x14ac:dyDescent="0.25">
      <c r="A111">
        <v>2067</v>
      </c>
      <c r="B111">
        <v>3</v>
      </c>
      <c r="C111">
        <v>0</v>
      </c>
      <c r="D111">
        <v>0</v>
      </c>
      <c r="E111">
        <v>0</v>
      </c>
      <c r="F111">
        <v>0</v>
      </c>
      <c r="G111">
        <v>0</v>
      </c>
      <c r="H111">
        <v>1</v>
      </c>
      <c r="I111" s="8">
        <f>+Table1[[#This Row],[Auton ball picked up in our trench]]+Table1[[#This Row],[Auton Balls Picked Up in Mid]]+Table1[[#This Row],[Auton Balls Picked Up In Their Trench]]</f>
        <v>0</v>
      </c>
      <c r="J111" s="8">
        <f>+Table1[[#This Row],[Auton Scored High]]+Table1[[#This Row],[Auton Scored Low]]</f>
        <v>0</v>
      </c>
      <c r="K11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111">
        <v>0</v>
      </c>
      <c r="M111">
        <v>0</v>
      </c>
      <c r="N111">
        <v>6</v>
      </c>
      <c r="O111">
        <v>0</v>
      </c>
      <c r="P111">
        <v>0</v>
      </c>
      <c r="Q111">
        <v>0</v>
      </c>
      <c r="R111">
        <v>0</v>
      </c>
      <c r="S111">
        <v>0</v>
      </c>
      <c r="T111">
        <v>0</v>
      </c>
      <c r="U111">
        <v>0</v>
      </c>
      <c r="V111" s="8">
        <f>Table1[[#This Row],[Balls Scored From Trench]]+Table1[[#This Row],[Balls Scored from Mid]]+Table1[[#This Row],[Balls Scored From Alliance zone]]</f>
        <v>6</v>
      </c>
      <c r="W111" s="8">
        <f>Table1[[#This Row],[balls scored high]]+Table1[[#This Row],[balls scored low]]</f>
        <v>6</v>
      </c>
      <c r="X111" s="8">
        <f>Table1[[#This Row],[Control Panel Spun Time]]+Table1[[#This Row],[Control Panel Color Time]]</f>
        <v>0</v>
      </c>
      <c r="Y111" s="8">
        <f>Table1[[#This Row],[Control Panels Spun]]+Table1[[#This Row],[Control Panel Color]]</f>
        <v>0</v>
      </c>
      <c r="Z11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6</v>
      </c>
      <c r="AA111">
        <v>1</v>
      </c>
      <c r="AB111">
        <v>0</v>
      </c>
      <c r="AC111">
        <v>1</v>
      </c>
      <c r="AD111">
        <v>0</v>
      </c>
      <c r="AE111">
        <v>0</v>
      </c>
      <c r="AF111">
        <v>0</v>
      </c>
      <c r="AG111">
        <v>0</v>
      </c>
      <c r="AH111"/>
      <c r="AI111" t="s">
        <v>184</v>
      </c>
      <c r="AJ111" t="s">
        <v>285</v>
      </c>
      <c r="AK111" s="17">
        <f>(Table1[[#This Row],[Climbed]]*weighting!$B$18)+(Table1[[#This Row],[Adjustable Climber]]*weighting!$B$19)+(Table1[[#This Row],[Lift other Robot]]*weighting!$B$20)+(Table1[[#This Row],[Balanced]]*weighting!$B$21)</f>
        <v>40</v>
      </c>
      <c r="AL111" s="8">
        <f>+Table1[[#This Row],[Endgame our score]]+Table1[[#This Row],[teleop our score]]+Table1[[#This Row],[auton our score]]</f>
        <v>47</v>
      </c>
      <c r="AM111" s="20">
        <f t="shared" si="3"/>
        <v>0</v>
      </c>
      <c r="AN111" s="20">
        <f t="shared" si="4"/>
        <v>0</v>
      </c>
      <c r="AO111" s="20">
        <f t="shared" si="5"/>
        <v>1</v>
      </c>
      <c r="AP111" s="20">
        <f>Table1[[#This Row],[balls scored]]+Table1[[#This Row],[auton balls scored]]</f>
        <v>6</v>
      </c>
      <c r="AQ111" s="20">
        <f>Table1[[#This Row],[balls scored high]]+Table1[[#This Row],[Auton Scored High]]</f>
        <v>6</v>
      </c>
      <c r="AR111" s="20">
        <f>Table1[[#This Row],[balls scored low]]+Table1[[#This Row],[Auton Scored Low]]</f>
        <v>0</v>
      </c>
      <c r="AS111" s="50">
        <f>IF(Table1[[#This Row],[Control Panel Spun Time]]&gt;0,1,0)</f>
        <v>0</v>
      </c>
      <c r="AT111" s="20">
        <f>IF(Table1[[#This Row],[Control Panel Color Time]]&gt;0,1,0)</f>
        <v>0</v>
      </c>
    </row>
    <row r="112" spans="1:46" x14ac:dyDescent="0.25">
      <c r="A112">
        <v>2067</v>
      </c>
      <c r="B112">
        <v>2</v>
      </c>
      <c r="C112">
        <v>0</v>
      </c>
      <c r="D112">
        <v>0</v>
      </c>
      <c r="E112">
        <v>0</v>
      </c>
      <c r="F112">
        <v>0</v>
      </c>
      <c r="G112">
        <v>0</v>
      </c>
      <c r="H112">
        <v>0</v>
      </c>
      <c r="I112" s="8">
        <f>+Table1[[#This Row],[Auton ball picked up in our trench]]+Table1[[#This Row],[Auton Balls Picked Up in Mid]]+Table1[[#This Row],[Auton Balls Picked Up In Their Trench]]</f>
        <v>0</v>
      </c>
      <c r="J112" s="8">
        <f>+Table1[[#This Row],[Auton Scored High]]+Table1[[#This Row],[Auton Scored Low]]</f>
        <v>0</v>
      </c>
      <c r="K11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112">
        <v>1</v>
      </c>
      <c r="M112">
        <v>1</v>
      </c>
      <c r="N112">
        <v>0</v>
      </c>
      <c r="O112">
        <v>0</v>
      </c>
      <c r="P112">
        <v>0</v>
      </c>
      <c r="Q112">
        <v>0</v>
      </c>
      <c r="R112">
        <v>0</v>
      </c>
      <c r="S112">
        <v>0</v>
      </c>
      <c r="T112">
        <v>0</v>
      </c>
      <c r="U112">
        <v>0</v>
      </c>
      <c r="V112" s="8">
        <f>Table1[[#This Row],[Balls Scored From Trench]]+Table1[[#This Row],[Balls Scored from Mid]]+Table1[[#This Row],[Balls Scored From Alliance zone]]</f>
        <v>2</v>
      </c>
      <c r="W112" s="8">
        <f>Table1[[#This Row],[balls scored high]]+Table1[[#This Row],[balls scored low]]</f>
        <v>2</v>
      </c>
      <c r="X112" s="8">
        <f>Table1[[#This Row],[Control Panel Spun Time]]+Table1[[#This Row],[Control Panel Color Time]]</f>
        <v>0</v>
      </c>
      <c r="Y112" s="8">
        <f>Table1[[#This Row],[Control Panels Spun]]+Table1[[#This Row],[Control Panel Color]]</f>
        <v>0</v>
      </c>
      <c r="Z11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5</v>
      </c>
      <c r="AA112">
        <v>1</v>
      </c>
      <c r="AB112">
        <v>0</v>
      </c>
      <c r="AC112">
        <v>1</v>
      </c>
      <c r="AD112">
        <v>0</v>
      </c>
      <c r="AE112">
        <v>0</v>
      </c>
      <c r="AF112">
        <v>0</v>
      </c>
      <c r="AG112">
        <v>0</v>
      </c>
      <c r="AI112" t="s">
        <v>174</v>
      </c>
      <c r="AK112" s="17">
        <f>(Table1[[#This Row],[Climbed]]*weighting!$B$18)+(Table1[[#This Row],[Adjustable Climber]]*weighting!$B$19)+(Table1[[#This Row],[Lift other Robot]]*weighting!$B$20)+(Table1[[#This Row],[Balanced]]*weighting!$B$21)</f>
        <v>40</v>
      </c>
      <c r="AL112" s="8">
        <f>+Table1[[#This Row],[Endgame our score]]+Table1[[#This Row],[teleop our score]]+Table1[[#This Row],[auton our score]]</f>
        <v>45</v>
      </c>
      <c r="AM112" s="20">
        <f t="shared" si="3"/>
        <v>0</v>
      </c>
      <c r="AN112" s="20">
        <f t="shared" si="4"/>
        <v>1</v>
      </c>
      <c r="AO112" s="20">
        <f t="shared" si="5"/>
        <v>0</v>
      </c>
      <c r="AP112" s="20">
        <f>Table1[[#This Row],[balls scored]]+Table1[[#This Row],[auton balls scored]]</f>
        <v>2</v>
      </c>
      <c r="AQ112" s="20">
        <f>Table1[[#This Row],[balls scored high]]+Table1[[#This Row],[Auton Scored High]]</f>
        <v>2</v>
      </c>
      <c r="AR112" s="20">
        <f>Table1[[#This Row],[balls scored low]]+Table1[[#This Row],[Auton Scored Low]]</f>
        <v>0</v>
      </c>
      <c r="AS112" s="50">
        <f>IF(Table1[[#This Row],[Control Panel Spun Time]]&gt;0,1,0)</f>
        <v>0</v>
      </c>
      <c r="AT112" s="20">
        <f>IF(Table1[[#This Row],[Control Panel Color Time]]&gt;0,1,0)</f>
        <v>0</v>
      </c>
    </row>
    <row r="113" spans="1:46" s="2" customFormat="1" x14ac:dyDescent="0.25">
      <c r="A113">
        <v>2170</v>
      </c>
      <c r="B113">
        <v>2</v>
      </c>
      <c r="C113">
        <v>1</v>
      </c>
      <c r="D113">
        <v>0</v>
      </c>
      <c r="E113">
        <v>0</v>
      </c>
      <c r="F113">
        <v>0</v>
      </c>
      <c r="G113">
        <v>0</v>
      </c>
      <c r="H113">
        <v>1</v>
      </c>
      <c r="I113" s="8">
        <f>+Table1[[#This Row],[Auton ball picked up in our trench]]+Table1[[#This Row],[Auton Balls Picked Up in Mid]]+Table1[[#This Row],[Auton Balls Picked Up In Their Trench]]</f>
        <v>0</v>
      </c>
      <c r="J113" s="8">
        <f>+Table1[[#This Row],[Auton Scored High]]+Table1[[#This Row],[Auton Scored Low]]</f>
        <v>1</v>
      </c>
      <c r="K11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4</v>
      </c>
      <c r="L113">
        <v>0</v>
      </c>
      <c r="M113">
        <v>0</v>
      </c>
      <c r="N113">
        <v>10</v>
      </c>
      <c r="O113">
        <v>0</v>
      </c>
      <c r="P113">
        <v>0</v>
      </c>
      <c r="Q113">
        <v>0</v>
      </c>
      <c r="R113">
        <v>0</v>
      </c>
      <c r="S113">
        <v>0</v>
      </c>
      <c r="T113">
        <v>0</v>
      </c>
      <c r="U113">
        <v>0</v>
      </c>
      <c r="V113" s="8">
        <f>Table1[[#This Row],[Balls Scored From Trench]]+Table1[[#This Row],[Balls Scored from Mid]]+Table1[[#This Row],[Balls Scored From Alliance zone]]</f>
        <v>10</v>
      </c>
      <c r="W113" s="8">
        <f>Table1[[#This Row],[balls scored high]]+Table1[[#This Row],[balls scored low]]</f>
        <v>10</v>
      </c>
      <c r="X113" s="8">
        <f>Table1[[#This Row],[Control Panel Spun Time]]+Table1[[#This Row],[Control Panel Color Time]]</f>
        <v>0</v>
      </c>
      <c r="Y113" s="8">
        <f>Table1[[#This Row],[Control Panels Spun]]+Table1[[#This Row],[Control Panel Color]]</f>
        <v>0</v>
      </c>
      <c r="Z11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10</v>
      </c>
      <c r="AA113">
        <v>1</v>
      </c>
      <c r="AB113">
        <v>0</v>
      </c>
      <c r="AC113">
        <v>0</v>
      </c>
      <c r="AD113">
        <v>0</v>
      </c>
      <c r="AE113">
        <v>0</v>
      </c>
      <c r="AF113">
        <v>0</v>
      </c>
      <c r="AG113">
        <v>0</v>
      </c>
      <c r="AH113"/>
      <c r="AI113" t="s">
        <v>176</v>
      </c>
      <c r="AJ113" t="s">
        <v>188</v>
      </c>
      <c r="AK113" s="17">
        <f>(Table1[[#This Row],[Climbed]]*weighting!$B$18)+(Table1[[#This Row],[Adjustable Climber]]*weighting!$B$19)+(Table1[[#This Row],[Lift other Robot]]*weighting!$B$20)+(Table1[[#This Row],[Balanced]]*weighting!$B$21)</f>
        <v>25</v>
      </c>
      <c r="AL113" s="8">
        <f>+Table1[[#This Row],[Endgame our score]]+Table1[[#This Row],[teleop our score]]+Table1[[#This Row],[auton our score]]</f>
        <v>39</v>
      </c>
      <c r="AM113" s="20">
        <f t="shared" si="3"/>
        <v>0</v>
      </c>
      <c r="AN113" s="20">
        <f t="shared" si="4"/>
        <v>1</v>
      </c>
      <c r="AO113" s="20">
        <f t="shared" si="5"/>
        <v>0</v>
      </c>
      <c r="AP113" s="20">
        <f>Table1[[#This Row],[balls scored]]+Table1[[#This Row],[auton balls scored]]</f>
        <v>11</v>
      </c>
      <c r="AQ113" s="20">
        <f>Table1[[#This Row],[balls scored high]]+Table1[[#This Row],[Auton Scored High]]</f>
        <v>11</v>
      </c>
      <c r="AR113" s="20">
        <f>Table1[[#This Row],[balls scored low]]+Table1[[#This Row],[Auton Scored Low]]</f>
        <v>0</v>
      </c>
      <c r="AS113" s="50">
        <f>IF(Table1[[#This Row],[Control Panel Spun Time]]&gt;0,1,0)</f>
        <v>0</v>
      </c>
      <c r="AT113" s="20">
        <f>IF(Table1[[#This Row],[Control Panel Color Time]]&gt;0,1,0)</f>
        <v>0</v>
      </c>
    </row>
    <row r="114" spans="1:46" x14ac:dyDescent="0.25">
      <c r="A114">
        <v>2170</v>
      </c>
      <c r="B114">
        <v>3</v>
      </c>
      <c r="C114">
        <v>2</v>
      </c>
      <c r="D114">
        <v>0</v>
      </c>
      <c r="E114">
        <v>0</v>
      </c>
      <c r="F114">
        <v>0</v>
      </c>
      <c r="G114">
        <v>0</v>
      </c>
      <c r="H114">
        <v>1</v>
      </c>
      <c r="I114" s="8">
        <f>+Table1[[#This Row],[Auton ball picked up in our trench]]+Table1[[#This Row],[Auton Balls Picked Up in Mid]]+Table1[[#This Row],[Auton Balls Picked Up In Their Trench]]</f>
        <v>0</v>
      </c>
      <c r="J114" s="8">
        <f>+Table1[[#This Row],[Auton Scored High]]+Table1[[#This Row],[Auton Scored Low]]</f>
        <v>2</v>
      </c>
      <c r="K11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7</v>
      </c>
      <c r="L114">
        <v>0</v>
      </c>
      <c r="M114">
        <v>0</v>
      </c>
      <c r="N114">
        <v>5</v>
      </c>
      <c r="O114">
        <v>0</v>
      </c>
      <c r="P114">
        <v>0</v>
      </c>
      <c r="Q114">
        <v>0</v>
      </c>
      <c r="R114">
        <v>0</v>
      </c>
      <c r="S114">
        <v>0</v>
      </c>
      <c r="T114">
        <v>0</v>
      </c>
      <c r="U114">
        <v>0</v>
      </c>
      <c r="V114" s="8">
        <f>Table1[[#This Row],[Balls Scored From Trench]]+Table1[[#This Row],[Balls Scored from Mid]]+Table1[[#This Row],[Balls Scored From Alliance zone]]</f>
        <v>5</v>
      </c>
      <c r="W114" s="8">
        <f>Table1[[#This Row],[balls scored high]]+Table1[[#This Row],[balls scored low]]</f>
        <v>5</v>
      </c>
      <c r="X114" s="8">
        <f>Table1[[#This Row],[Control Panel Spun Time]]+Table1[[#This Row],[Control Panel Color Time]]</f>
        <v>0</v>
      </c>
      <c r="Y114" s="8">
        <f>Table1[[#This Row],[Control Panels Spun]]+Table1[[#This Row],[Control Panel Color]]</f>
        <v>0</v>
      </c>
      <c r="Z11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5</v>
      </c>
      <c r="AA114">
        <v>0</v>
      </c>
      <c r="AB114">
        <v>0</v>
      </c>
      <c r="AC114">
        <v>0</v>
      </c>
      <c r="AD114">
        <v>0</v>
      </c>
      <c r="AE114">
        <v>0</v>
      </c>
      <c r="AF114">
        <v>0</v>
      </c>
      <c r="AG114">
        <v>0</v>
      </c>
      <c r="AI114" t="s">
        <v>179</v>
      </c>
      <c r="AJ114" t="s">
        <v>189</v>
      </c>
      <c r="AK114" s="17">
        <f>(Table1[[#This Row],[Climbed]]*weighting!$B$18)+(Table1[[#This Row],[Adjustable Climber]]*weighting!$B$19)+(Table1[[#This Row],[Lift other Robot]]*weighting!$B$20)+(Table1[[#This Row],[Balanced]]*weighting!$B$21)</f>
        <v>0</v>
      </c>
      <c r="AL114" s="8">
        <f>+Table1[[#This Row],[Endgame our score]]+Table1[[#This Row],[teleop our score]]+Table1[[#This Row],[auton our score]]</f>
        <v>12</v>
      </c>
      <c r="AM114" s="20">
        <f t="shared" si="3"/>
        <v>0</v>
      </c>
      <c r="AN114" s="20">
        <f t="shared" si="4"/>
        <v>0</v>
      </c>
      <c r="AO114" s="20">
        <f t="shared" si="5"/>
        <v>1</v>
      </c>
      <c r="AP114" s="20">
        <f>Table1[[#This Row],[balls scored]]+Table1[[#This Row],[auton balls scored]]</f>
        <v>7</v>
      </c>
      <c r="AQ114" s="20">
        <f>Table1[[#This Row],[balls scored high]]+Table1[[#This Row],[Auton Scored High]]</f>
        <v>7</v>
      </c>
      <c r="AR114" s="20">
        <f>Table1[[#This Row],[balls scored low]]+Table1[[#This Row],[Auton Scored Low]]</f>
        <v>0</v>
      </c>
      <c r="AS114" s="50">
        <f>IF(Table1[[#This Row],[Control Panel Spun Time]]&gt;0,1,0)</f>
        <v>0</v>
      </c>
      <c r="AT114" s="20">
        <f>IF(Table1[[#This Row],[Control Panel Color Time]]&gt;0,1,0)</f>
        <v>0</v>
      </c>
    </row>
    <row r="115" spans="1:46" s="2" customFormat="1" x14ac:dyDescent="0.25">
      <c r="A115">
        <v>2170</v>
      </c>
      <c r="B115">
        <v>2</v>
      </c>
      <c r="C115">
        <v>2</v>
      </c>
      <c r="D115">
        <v>0</v>
      </c>
      <c r="E115">
        <v>0</v>
      </c>
      <c r="F115">
        <v>0</v>
      </c>
      <c r="G115">
        <v>0</v>
      </c>
      <c r="H115">
        <v>1</v>
      </c>
      <c r="I115" s="8">
        <f>+Table1[[#This Row],[Auton ball picked up in our trench]]+Table1[[#This Row],[Auton Balls Picked Up in Mid]]+Table1[[#This Row],[Auton Balls Picked Up In Their Trench]]</f>
        <v>0</v>
      </c>
      <c r="J115" s="8">
        <f>+Table1[[#This Row],[Auton Scored High]]+Table1[[#This Row],[Auton Scored Low]]</f>
        <v>2</v>
      </c>
      <c r="K11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7</v>
      </c>
      <c r="L115">
        <v>0</v>
      </c>
      <c r="M115">
        <v>0</v>
      </c>
      <c r="N115">
        <v>5</v>
      </c>
      <c r="O115">
        <v>0</v>
      </c>
      <c r="P115">
        <v>0</v>
      </c>
      <c r="Q115">
        <v>0</v>
      </c>
      <c r="R115">
        <v>0</v>
      </c>
      <c r="S115">
        <v>0</v>
      </c>
      <c r="T115">
        <v>0</v>
      </c>
      <c r="U115">
        <v>0</v>
      </c>
      <c r="V115" s="8">
        <f>Table1[[#This Row],[Balls Scored From Trench]]+Table1[[#This Row],[Balls Scored from Mid]]+Table1[[#This Row],[Balls Scored From Alliance zone]]</f>
        <v>5</v>
      </c>
      <c r="W115" s="8">
        <f>Table1[[#This Row],[balls scored high]]+Table1[[#This Row],[balls scored low]]</f>
        <v>5</v>
      </c>
      <c r="X115" s="8">
        <f>Table1[[#This Row],[Control Panel Spun Time]]+Table1[[#This Row],[Control Panel Color Time]]</f>
        <v>0</v>
      </c>
      <c r="Y115" s="8">
        <f>Table1[[#This Row],[Control Panels Spun]]+Table1[[#This Row],[Control Panel Color]]</f>
        <v>0</v>
      </c>
      <c r="Z11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5</v>
      </c>
      <c r="AA115">
        <v>0</v>
      </c>
      <c r="AB115">
        <v>0</v>
      </c>
      <c r="AC115">
        <v>0</v>
      </c>
      <c r="AD115">
        <v>0</v>
      </c>
      <c r="AE115">
        <v>0</v>
      </c>
      <c r="AF115">
        <v>0</v>
      </c>
      <c r="AG115">
        <v>0</v>
      </c>
      <c r="AH115"/>
      <c r="AI115" t="s">
        <v>43</v>
      </c>
      <c r="AJ115"/>
      <c r="AK115" s="17">
        <f>(Table1[[#This Row],[Climbed]]*weighting!$B$18)+(Table1[[#This Row],[Adjustable Climber]]*weighting!$B$19)+(Table1[[#This Row],[Lift other Robot]]*weighting!$B$20)+(Table1[[#This Row],[Balanced]]*weighting!$B$21)</f>
        <v>0</v>
      </c>
      <c r="AL115" s="8">
        <f>+Table1[[#This Row],[Endgame our score]]+Table1[[#This Row],[teleop our score]]+Table1[[#This Row],[auton our score]]</f>
        <v>12</v>
      </c>
      <c r="AM115" s="20">
        <f t="shared" si="3"/>
        <v>0</v>
      </c>
      <c r="AN115" s="20">
        <f t="shared" si="4"/>
        <v>1</v>
      </c>
      <c r="AO115" s="20">
        <f t="shared" si="5"/>
        <v>0</v>
      </c>
      <c r="AP115" s="20">
        <f>Table1[[#This Row],[balls scored]]+Table1[[#This Row],[auton balls scored]]</f>
        <v>7</v>
      </c>
      <c r="AQ115" s="20">
        <f>Table1[[#This Row],[balls scored high]]+Table1[[#This Row],[Auton Scored High]]</f>
        <v>7</v>
      </c>
      <c r="AR115" s="20">
        <f>Table1[[#This Row],[balls scored low]]+Table1[[#This Row],[Auton Scored Low]]</f>
        <v>0</v>
      </c>
      <c r="AS115" s="50">
        <f>IF(Table1[[#This Row],[Control Panel Spun Time]]&gt;0,1,0)</f>
        <v>0</v>
      </c>
      <c r="AT115" s="20">
        <f>IF(Table1[[#This Row],[Control Panel Color Time]]&gt;0,1,0)</f>
        <v>0</v>
      </c>
    </row>
    <row r="116" spans="1:46" x14ac:dyDescent="0.25">
      <c r="A116">
        <v>2170</v>
      </c>
      <c r="B116">
        <v>3</v>
      </c>
      <c r="C116">
        <v>2</v>
      </c>
      <c r="D116">
        <v>0</v>
      </c>
      <c r="E116">
        <v>0</v>
      </c>
      <c r="F116">
        <v>0</v>
      </c>
      <c r="G116">
        <v>0</v>
      </c>
      <c r="H116">
        <v>1</v>
      </c>
      <c r="I116" s="8">
        <f>+Table1[[#This Row],[Auton ball picked up in our trench]]+Table1[[#This Row],[Auton Balls Picked Up in Mid]]+Table1[[#This Row],[Auton Balls Picked Up In Their Trench]]</f>
        <v>0</v>
      </c>
      <c r="J116" s="8">
        <f>+Table1[[#This Row],[Auton Scored High]]+Table1[[#This Row],[Auton Scored Low]]</f>
        <v>2</v>
      </c>
      <c r="K11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7</v>
      </c>
      <c r="L116">
        <v>0</v>
      </c>
      <c r="M116">
        <v>0</v>
      </c>
      <c r="N116">
        <v>4</v>
      </c>
      <c r="O116">
        <v>0</v>
      </c>
      <c r="P116">
        <v>0</v>
      </c>
      <c r="Q116">
        <v>0</v>
      </c>
      <c r="R116">
        <v>0</v>
      </c>
      <c r="S116">
        <v>0</v>
      </c>
      <c r="T116">
        <v>0</v>
      </c>
      <c r="U116">
        <v>0</v>
      </c>
      <c r="V116" s="8">
        <f>Table1[[#This Row],[Balls Scored From Trench]]+Table1[[#This Row],[Balls Scored from Mid]]+Table1[[#This Row],[Balls Scored From Alliance zone]]</f>
        <v>4</v>
      </c>
      <c r="W116" s="8">
        <f>Table1[[#This Row],[balls scored high]]+Table1[[#This Row],[balls scored low]]</f>
        <v>4</v>
      </c>
      <c r="X116" s="8">
        <f>Table1[[#This Row],[Control Panel Spun Time]]+Table1[[#This Row],[Control Panel Color Time]]</f>
        <v>0</v>
      </c>
      <c r="Y116" s="8">
        <f>Table1[[#This Row],[Control Panels Spun]]+Table1[[#This Row],[Control Panel Color]]</f>
        <v>0</v>
      </c>
      <c r="Z11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4</v>
      </c>
      <c r="AA116">
        <v>1</v>
      </c>
      <c r="AB116">
        <v>0</v>
      </c>
      <c r="AC116">
        <v>0</v>
      </c>
      <c r="AD116">
        <v>0</v>
      </c>
      <c r="AE116">
        <v>0</v>
      </c>
      <c r="AF116">
        <v>0</v>
      </c>
      <c r="AG116">
        <v>0</v>
      </c>
      <c r="AI116" t="s">
        <v>116</v>
      </c>
      <c r="AJ116" t="s">
        <v>286</v>
      </c>
      <c r="AK116" s="17">
        <f>(Table1[[#This Row],[Climbed]]*weighting!$B$18)+(Table1[[#This Row],[Adjustable Climber]]*weighting!$B$19)+(Table1[[#This Row],[Lift other Robot]]*weighting!$B$20)+(Table1[[#This Row],[Balanced]]*weighting!$B$21)</f>
        <v>25</v>
      </c>
      <c r="AL116" s="8">
        <f>+Table1[[#This Row],[Endgame our score]]+Table1[[#This Row],[teleop our score]]+Table1[[#This Row],[auton our score]]</f>
        <v>36</v>
      </c>
      <c r="AM116" s="20">
        <f t="shared" si="3"/>
        <v>0</v>
      </c>
      <c r="AN116" s="20">
        <f t="shared" si="4"/>
        <v>0</v>
      </c>
      <c r="AO116" s="20">
        <f t="shared" si="5"/>
        <v>1</v>
      </c>
      <c r="AP116" s="20">
        <f>Table1[[#This Row],[balls scored]]+Table1[[#This Row],[auton balls scored]]</f>
        <v>6</v>
      </c>
      <c r="AQ116" s="20">
        <f>Table1[[#This Row],[balls scored high]]+Table1[[#This Row],[Auton Scored High]]</f>
        <v>6</v>
      </c>
      <c r="AR116" s="20">
        <f>Table1[[#This Row],[balls scored low]]+Table1[[#This Row],[Auton Scored Low]]</f>
        <v>0</v>
      </c>
      <c r="AS116" s="50">
        <f>IF(Table1[[#This Row],[Control Panel Spun Time]]&gt;0,1,0)</f>
        <v>0</v>
      </c>
      <c r="AT116" s="20">
        <f>IF(Table1[[#This Row],[Control Panel Color Time]]&gt;0,1,0)</f>
        <v>0</v>
      </c>
    </row>
    <row r="117" spans="1:46" s="2" customFormat="1" x14ac:dyDescent="0.25">
      <c r="A117">
        <v>2170</v>
      </c>
      <c r="B117">
        <v>2</v>
      </c>
      <c r="C117">
        <v>3</v>
      </c>
      <c r="D117">
        <v>0</v>
      </c>
      <c r="E117">
        <v>0</v>
      </c>
      <c r="F117">
        <v>0</v>
      </c>
      <c r="G117">
        <v>0</v>
      </c>
      <c r="H117">
        <v>1</v>
      </c>
      <c r="I117" s="8">
        <f>+Table1[[#This Row],[Auton ball picked up in our trench]]+Table1[[#This Row],[Auton Balls Picked Up in Mid]]+Table1[[#This Row],[Auton Balls Picked Up In Their Trench]]</f>
        <v>0</v>
      </c>
      <c r="J117" s="8">
        <f>+Table1[[#This Row],[Auton Scored High]]+Table1[[#This Row],[Auton Scored Low]]</f>
        <v>3</v>
      </c>
      <c r="K11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117">
        <v>0</v>
      </c>
      <c r="M117">
        <v>0</v>
      </c>
      <c r="N117">
        <v>9</v>
      </c>
      <c r="O117">
        <v>0</v>
      </c>
      <c r="P117">
        <v>0</v>
      </c>
      <c r="Q117">
        <v>0</v>
      </c>
      <c r="R117">
        <v>0</v>
      </c>
      <c r="S117">
        <v>0</v>
      </c>
      <c r="T117">
        <v>0</v>
      </c>
      <c r="U117">
        <v>0</v>
      </c>
      <c r="V117" s="8">
        <f>Table1[[#This Row],[Balls Scored From Trench]]+Table1[[#This Row],[Balls Scored from Mid]]+Table1[[#This Row],[Balls Scored From Alliance zone]]</f>
        <v>9</v>
      </c>
      <c r="W117" s="8">
        <f>Table1[[#This Row],[balls scored high]]+Table1[[#This Row],[balls scored low]]</f>
        <v>9</v>
      </c>
      <c r="X117" s="8">
        <f>Table1[[#This Row],[Control Panel Spun Time]]+Table1[[#This Row],[Control Panel Color Time]]</f>
        <v>0</v>
      </c>
      <c r="Y117" s="8">
        <f>Table1[[#This Row],[Control Panels Spun]]+Table1[[#This Row],[Control Panel Color]]</f>
        <v>0</v>
      </c>
      <c r="Z11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9</v>
      </c>
      <c r="AA117">
        <v>1</v>
      </c>
      <c r="AB117">
        <v>0</v>
      </c>
      <c r="AC117">
        <v>0</v>
      </c>
      <c r="AD117">
        <v>0</v>
      </c>
      <c r="AE117">
        <v>0</v>
      </c>
      <c r="AF117">
        <v>0</v>
      </c>
      <c r="AG117">
        <v>0</v>
      </c>
      <c r="AH117"/>
      <c r="AI117" t="s">
        <v>176</v>
      </c>
      <c r="AJ117" t="s">
        <v>319</v>
      </c>
      <c r="AK117" s="17">
        <f>(Table1[[#This Row],[Climbed]]*weighting!$B$18)+(Table1[[#This Row],[Adjustable Climber]]*weighting!$B$19)+(Table1[[#This Row],[Lift other Robot]]*weighting!$B$20)+(Table1[[#This Row],[Balanced]]*weighting!$B$21)</f>
        <v>25</v>
      </c>
      <c r="AL117" s="8">
        <f>+Table1[[#This Row],[Endgame our score]]+Table1[[#This Row],[teleop our score]]+Table1[[#This Row],[auton our score]]</f>
        <v>44</v>
      </c>
      <c r="AM117" s="20">
        <f t="shared" si="3"/>
        <v>0</v>
      </c>
      <c r="AN117" s="20">
        <f t="shared" si="4"/>
        <v>1</v>
      </c>
      <c r="AO117" s="20">
        <f t="shared" si="5"/>
        <v>0</v>
      </c>
      <c r="AP117" s="20">
        <f>Table1[[#This Row],[balls scored]]+Table1[[#This Row],[auton balls scored]]</f>
        <v>12</v>
      </c>
      <c r="AQ117" s="20">
        <f>Table1[[#This Row],[balls scored high]]+Table1[[#This Row],[Auton Scored High]]</f>
        <v>12</v>
      </c>
      <c r="AR117" s="20">
        <f>Table1[[#This Row],[balls scored low]]+Table1[[#This Row],[Auton Scored Low]]</f>
        <v>0</v>
      </c>
      <c r="AS117" s="50">
        <f>IF(Table1[[#This Row],[Control Panel Spun Time]]&gt;0,1,0)</f>
        <v>0</v>
      </c>
      <c r="AT117" s="20">
        <f>IF(Table1[[#This Row],[Control Panel Color Time]]&gt;0,1,0)</f>
        <v>0</v>
      </c>
    </row>
    <row r="118" spans="1:46" x14ac:dyDescent="0.25">
      <c r="A118">
        <v>2170</v>
      </c>
      <c r="B118">
        <v>2</v>
      </c>
      <c r="C118">
        <v>2</v>
      </c>
      <c r="D118">
        <v>0</v>
      </c>
      <c r="E118">
        <v>0</v>
      </c>
      <c r="F118">
        <v>0</v>
      </c>
      <c r="G118">
        <v>0</v>
      </c>
      <c r="H118">
        <v>1</v>
      </c>
      <c r="I118" s="8">
        <f>+Table1[[#This Row],[Auton ball picked up in our trench]]+Table1[[#This Row],[Auton Balls Picked Up in Mid]]+Table1[[#This Row],[Auton Balls Picked Up In Their Trench]]</f>
        <v>0</v>
      </c>
      <c r="J118" s="8">
        <f>+Table1[[#This Row],[Auton Scored High]]+Table1[[#This Row],[Auton Scored Low]]</f>
        <v>2</v>
      </c>
      <c r="K11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7</v>
      </c>
      <c r="L118">
        <v>0</v>
      </c>
      <c r="M118">
        <v>0</v>
      </c>
      <c r="N118">
        <v>9</v>
      </c>
      <c r="O118">
        <v>0</v>
      </c>
      <c r="P118">
        <v>0</v>
      </c>
      <c r="Q118">
        <v>0</v>
      </c>
      <c r="R118">
        <v>0</v>
      </c>
      <c r="S118">
        <v>0</v>
      </c>
      <c r="T118">
        <v>0</v>
      </c>
      <c r="U118">
        <v>0</v>
      </c>
      <c r="V118" s="8">
        <f>Table1[[#This Row],[Balls Scored From Trench]]+Table1[[#This Row],[Balls Scored from Mid]]+Table1[[#This Row],[Balls Scored From Alliance zone]]</f>
        <v>9</v>
      </c>
      <c r="W118" s="8">
        <f>Table1[[#This Row],[balls scored high]]+Table1[[#This Row],[balls scored low]]</f>
        <v>9</v>
      </c>
      <c r="X118" s="8">
        <f>Table1[[#This Row],[Control Panel Spun Time]]+Table1[[#This Row],[Control Panel Color Time]]</f>
        <v>0</v>
      </c>
      <c r="Y118" s="8">
        <f>Table1[[#This Row],[Control Panels Spun]]+Table1[[#This Row],[Control Panel Color]]</f>
        <v>0</v>
      </c>
      <c r="Z11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9</v>
      </c>
      <c r="AA118">
        <v>1</v>
      </c>
      <c r="AB118">
        <v>0</v>
      </c>
      <c r="AC118">
        <v>0</v>
      </c>
      <c r="AD118">
        <v>0</v>
      </c>
      <c r="AE118">
        <v>0</v>
      </c>
      <c r="AF118">
        <v>0</v>
      </c>
      <c r="AG118">
        <v>0</v>
      </c>
      <c r="AI118" t="s">
        <v>184</v>
      </c>
      <c r="AJ118" t="s">
        <v>320</v>
      </c>
      <c r="AK118" s="17">
        <f>(Table1[[#This Row],[Climbed]]*weighting!$B$18)+(Table1[[#This Row],[Adjustable Climber]]*weighting!$B$19)+(Table1[[#This Row],[Lift other Robot]]*weighting!$B$20)+(Table1[[#This Row],[Balanced]]*weighting!$B$21)</f>
        <v>25</v>
      </c>
      <c r="AL118" s="8">
        <f>+Table1[[#This Row],[Endgame our score]]+Table1[[#This Row],[teleop our score]]+Table1[[#This Row],[auton our score]]</f>
        <v>41</v>
      </c>
      <c r="AM118" s="20">
        <f t="shared" si="3"/>
        <v>0</v>
      </c>
      <c r="AN118" s="20">
        <f t="shared" si="4"/>
        <v>1</v>
      </c>
      <c r="AO118" s="20">
        <f t="shared" si="5"/>
        <v>0</v>
      </c>
      <c r="AP118" s="20">
        <f>Table1[[#This Row],[balls scored]]+Table1[[#This Row],[auton balls scored]]</f>
        <v>11</v>
      </c>
      <c r="AQ118" s="20">
        <f>Table1[[#This Row],[balls scored high]]+Table1[[#This Row],[Auton Scored High]]</f>
        <v>11</v>
      </c>
      <c r="AR118" s="20">
        <f>Table1[[#This Row],[balls scored low]]+Table1[[#This Row],[Auton Scored Low]]</f>
        <v>0</v>
      </c>
      <c r="AS118" s="50">
        <f>IF(Table1[[#This Row],[Control Panel Spun Time]]&gt;0,1,0)</f>
        <v>0</v>
      </c>
      <c r="AT118" s="20">
        <f>IF(Table1[[#This Row],[Control Panel Color Time]]&gt;0,1,0)</f>
        <v>0</v>
      </c>
    </row>
    <row r="119" spans="1:46" s="2" customFormat="1" x14ac:dyDescent="0.25">
      <c r="A119">
        <v>2262</v>
      </c>
      <c r="B119">
        <v>3</v>
      </c>
      <c r="C119">
        <v>1</v>
      </c>
      <c r="D119">
        <v>0</v>
      </c>
      <c r="E119">
        <v>0</v>
      </c>
      <c r="F119">
        <v>0</v>
      </c>
      <c r="G119">
        <v>0</v>
      </c>
      <c r="H119">
        <v>1</v>
      </c>
      <c r="I119" s="8">
        <f>+Table1[[#This Row],[Auton ball picked up in our trench]]+Table1[[#This Row],[Auton Balls Picked Up in Mid]]+Table1[[#This Row],[Auton Balls Picked Up In Their Trench]]</f>
        <v>0</v>
      </c>
      <c r="J119" s="8">
        <f>+Table1[[#This Row],[Auton Scored High]]+Table1[[#This Row],[Auton Scored Low]]</f>
        <v>1</v>
      </c>
      <c r="K11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4</v>
      </c>
      <c r="L119">
        <v>0</v>
      </c>
      <c r="M119">
        <v>0</v>
      </c>
      <c r="N119">
        <v>0</v>
      </c>
      <c r="O119">
        <v>0</v>
      </c>
      <c r="P119">
        <v>0</v>
      </c>
      <c r="Q119">
        <v>0</v>
      </c>
      <c r="R119">
        <v>0</v>
      </c>
      <c r="S119">
        <v>0</v>
      </c>
      <c r="T119">
        <v>0</v>
      </c>
      <c r="U119">
        <v>0</v>
      </c>
      <c r="V119" s="8">
        <f>Table1[[#This Row],[Balls Scored From Trench]]+Table1[[#This Row],[Balls Scored from Mid]]+Table1[[#This Row],[Balls Scored From Alliance zone]]</f>
        <v>0</v>
      </c>
      <c r="W119" s="8">
        <f>Table1[[#This Row],[balls scored high]]+Table1[[#This Row],[balls scored low]]</f>
        <v>0</v>
      </c>
      <c r="X119" s="8">
        <f>Table1[[#This Row],[Control Panel Spun Time]]+Table1[[#This Row],[Control Panel Color Time]]</f>
        <v>0</v>
      </c>
      <c r="Y119" s="8">
        <f>Table1[[#This Row],[Control Panels Spun]]+Table1[[#This Row],[Control Panel Color]]</f>
        <v>0</v>
      </c>
      <c r="Z11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119">
        <v>0</v>
      </c>
      <c r="AB119">
        <v>0</v>
      </c>
      <c r="AC119">
        <v>0</v>
      </c>
      <c r="AD119">
        <v>0</v>
      </c>
      <c r="AE119">
        <v>0</v>
      </c>
      <c r="AF119">
        <v>0</v>
      </c>
      <c r="AG119">
        <v>0</v>
      </c>
      <c r="AH119"/>
      <c r="AI119" t="s">
        <v>179</v>
      </c>
      <c r="AJ119" t="s">
        <v>190</v>
      </c>
      <c r="AK119" s="17">
        <f>(Table1[[#This Row],[Climbed]]*weighting!$B$18)+(Table1[[#This Row],[Adjustable Climber]]*weighting!$B$19)+(Table1[[#This Row],[Lift other Robot]]*weighting!$B$20)+(Table1[[#This Row],[Balanced]]*weighting!$B$21)</f>
        <v>0</v>
      </c>
      <c r="AL119" s="8">
        <f>+Table1[[#This Row],[Endgame our score]]+Table1[[#This Row],[teleop our score]]+Table1[[#This Row],[auton our score]]</f>
        <v>4</v>
      </c>
      <c r="AM119" s="20">
        <f t="shared" si="3"/>
        <v>0</v>
      </c>
      <c r="AN119" s="20">
        <f t="shared" si="4"/>
        <v>0</v>
      </c>
      <c r="AO119" s="20">
        <f t="shared" si="5"/>
        <v>1</v>
      </c>
      <c r="AP119" s="20">
        <f>Table1[[#This Row],[balls scored]]+Table1[[#This Row],[auton balls scored]]</f>
        <v>1</v>
      </c>
      <c r="AQ119" s="20">
        <f>Table1[[#This Row],[balls scored high]]+Table1[[#This Row],[Auton Scored High]]</f>
        <v>1</v>
      </c>
      <c r="AR119" s="20">
        <f>Table1[[#This Row],[balls scored low]]+Table1[[#This Row],[Auton Scored Low]]</f>
        <v>0</v>
      </c>
      <c r="AS119" s="50">
        <f>IF(Table1[[#This Row],[Control Panel Spun Time]]&gt;0,1,0)</f>
        <v>0</v>
      </c>
      <c r="AT119" s="20">
        <f>IF(Table1[[#This Row],[Control Panel Color Time]]&gt;0,1,0)</f>
        <v>0</v>
      </c>
    </row>
    <row r="120" spans="1:46" x14ac:dyDescent="0.25">
      <c r="A120">
        <v>2262</v>
      </c>
      <c r="B120">
        <v>3</v>
      </c>
      <c r="C120">
        <v>3</v>
      </c>
      <c r="D120">
        <v>0</v>
      </c>
      <c r="E120">
        <v>0</v>
      </c>
      <c r="F120">
        <v>0</v>
      </c>
      <c r="G120">
        <v>0</v>
      </c>
      <c r="H120">
        <v>1</v>
      </c>
      <c r="I120" s="8">
        <f>+Table1[[#This Row],[Auton ball picked up in our trench]]+Table1[[#This Row],[Auton Balls Picked Up in Mid]]+Table1[[#This Row],[Auton Balls Picked Up In Their Trench]]</f>
        <v>0</v>
      </c>
      <c r="J120" s="8">
        <f>+Table1[[#This Row],[Auton Scored High]]+Table1[[#This Row],[Auton Scored Low]]</f>
        <v>3</v>
      </c>
      <c r="K12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120">
        <v>0</v>
      </c>
      <c r="M120">
        <v>0</v>
      </c>
      <c r="N120">
        <v>0</v>
      </c>
      <c r="O120">
        <v>0</v>
      </c>
      <c r="P120">
        <v>0</v>
      </c>
      <c r="Q120">
        <v>0</v>
      </c>
      <c r="R120">
        <v>0</v>
      </c>
      <c r="S120">
        <v>0</v>
      </c>
      <c r="T120">
        <v>0</v>
      </c>
      <c r="U120">
        <v>0</v>
      </c>
      <c r="V120" s="8">
        <f>Table1[[#This Row],[Balls Scored From Trench]]+Table1[[#This Row],[Balls Scored from Mid]]+Table1[[#This Row],[Balls Scored From Alliance zone]]</f>
        <v>0</v>
      </c>
      <c r="W120" s="8">
        <f>Table1[[#This Row],[balls scored high]]+Table1[[#This Row],[balls scored low]]</f>
        <v>0</v>
      </c>
      <c r="X120" s="8">
        <f>Table1[[#This Row],[Control Panel Spun Time]]+Table1[[#This Row],[Control Panel Color Time]]</f>
        <v>0</v>
      </c>
      <c r="Y120" s="8">
        <f>Table1[[#This Row],[Control Panels Spun]]+Table1[[#This Row],[Control Panel Color]]</f>
        <v>0</v>
      </c>
      <c r="Z12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120">
        <v>1</v>
      </c>
      <c r="AB120">
        <v>0</v>
      </c>
      <c r="AC120">
        <v>1</v>
      </c>
      <c r="AD120">
        <v>0</v>
      </c>
      <c r="AE120">
        <v>0</v>
      </c>
      <c r="AF120">
        <v>0</v>
      </c>
      <c r="AG120">
        <v>0</v>
      </c>
      <c r="AI120" t="s">
        <v>209</v>
      </c>
      <c r="AK120" s="17">
        <f>(Table1[[#This Row],[Climbed]]*weighting!$B$18)+(Table1[[#This Row],[Adjustable Climber]]*weighting!$B$19)+(Table1[[#This Row],[Lift other Robot]]*weighting!$B$20)+(Table1[[#This Row],[Balanced]]*weighting!$B$21)</f>
        <v>40</v>
      </c>
      <c r="AL120" s="8">
        <f>+Table1[[#This Row],[Endgame our score]]+Table1[[#This Row],[teleop our score]]+Table1[[#This Row],[auton our score]]</f>
        <v>50</v>
      </c>
      <c r="AM120" s="20">
        <f t="shared" si="3"/>
        <v>0</v>
      </c>
      <c r="AN120" s="20">
        <f t="shared" si="4"/>
        <v>0</v>
      </c>
      <c r="AO120" s="20">
        <f t="shared" si="5"/>
        <v>1</v>
      </c>
      <c r="AP120" s="20">
        <f>Table1[[#This Row],[balls scored]]+Table1[[#This Row],[auton balls scored]]</f>
        <v>3</v>
      </c>
      <c r="AQ120" s="20">
        <f>Table1[[#This Row],[balls scored high]]+Table1[[#This Row],[Auton Scored High]]</f>
        <v>3</v>
      </c>
      <c r="AR120" s="20">
        <f>Table1[[#This Row],[balls scored low]]+Table1[[#This Row],[Auton Scored Low]]</f>
        <v>0</v>
      </c>
      <c r="AS120" s="50">
        <f>IF(Table1[[#This Row],[Control Panel Spun Time]]&gt;0,1,0)</f>
        <v>0</v>
      </c>
      <c r="AT120" s="20">
        <f>IF(Table1[[#This Row],[Control Panel Color Time]]&gt;0,1,0)</f>
        <v>0</v>
      </c>
    </row>
    <row r="121" spans="1:46" s="2" customFormat="1" x14ac:dyDescent="0.25">
      <c r="A121">
        <v>2262</v>
      </c>
      <c r="B121">
        <v>3</v>
      </c>
      <c r="C121">
        <v>0</v>
      </c>
      <c r="D121">
        <v>0</v>
      </c>
      <c r="E121">
        <v>0</v>
      </c>
      <c r="F121">
        <v>0</v>
      </c>
      <c r="G121">
        <v>0</v>
      </c>
      <c r="H121">
        <v>1</v>
      </c>
      <c r="I121" s="8">
        <f>+Table1[[#This Row],[Auton ball picked up in our trench]]+Table1[[#This Row],[Auton Balls Picked Up in Mid]]+Table1[[#This Row],[Auton Balls Picked Up In Their Trench]]</f>
        <v>0</v>
      </c>
      <c r="J121" s="8">
        <f>+Table1[[#This Row],[Auton Scored High]]+Table1[[#This Row],[Auton Scored Low]]</f>
        <v>0</v>
      </c>
      <c r="K12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121">
        <v>0</v>
      </c>
      <c r="M121">
        <v>0</v>
      </c>
      <c r="N121">
        <v>0</v>
      </c>
      <c r="O121">
        <v>0</v>
      </c>
      <c r="P121">
        <v>0</v>
      </c>
      <c r="Q121">
        <v>0</v>
      </c>
      <c r="R121">
        <v>0</v>
      </c>
      <c r="S121">
        <v>0</v>
      </c>
      <c r="T121">
        <v>0</v>
      </c>
      <c r="U121">
        <v>0</v>
      </c>
      <c r="V121" s="8">
        <f>Table1[[#This Row],[Balls Scored From Trench]]+Table1[[#This Row],[Balls Scored from Mid]]+Table1[[#This Row],[Balls Scored From Alliance zone]]</f>
        <v>0</v>
      </c>
      <c r="W121" s="8">
        <f>Table1[[#This Row],[balls scored high]]+Table1[[#This Row],[balls scored low]]</f>
        <v>0</v>
      </c>
      <c r="X121" s="8">
        <f>Table1[[#This Row],[Control Panel Spun Time]]+Table1[[#This Row],[Control Panel Color Time]]</f>
        <v>0</v>
      </c>
      <c r="Y121" s="8">
        <f>Table1[[#This Row],[Control Panels Spun]]+Table1[[#This Row],[Control Panel Color]]</f>
        <v>0</v>
      </c>
      <c r="Z12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121">
        <v>0</v>
      </c>
      <c r="AB121">
        <v>0</v>
      </c>
      <c r="AC121">
        <v>0</v>
      </c>
      <c r="AD121">
        <v>0</v>
      </c>
      <c r="AE121">
        <v>0</v>
      </c>
      <c r="AF121">
        <v>0</v>
      </c>
      <c r="AG121">
        <v>0</v>
      </c>
      <c r="AH121"/>
      <c r="AI121" t="s">
        <v>43</v>
      </c>
      <c r="AJ121"/>
      <c r="AK121" s="17">
        <f>(Table1[[#This Row],[Climbed]]*weighting!$B$18)+(Table1[[#This Row],[Adjustable Climber]]*weighting!$B$19)+(Table1[[#This Row],[Lift other Robot]]*weighting!$B$20)+(Table1[[#This Row],[Balanced]]*weighting!$B$21)</f>
        <v>0</v>
      </c>
      <c r="AL121" s="8">
        <f>+Table1[[#This Row],[Endgame our score]]+Table1[[#This Row],[teleop our score]]+Table1[[#This Row],[auton our score]]</f>
        <v>1</v>
      </c>
      <c r="AM121" s="20">
        <f t="shared" si="3"/>
        <v>0</v>
      </c>
      <c r="AN121" s="20">
        <f t="shared" si="4"/>
        <v>0</v>
      </c>
      <c r="AO121" s="20">
        <f t="shared" si="5"/>
        <v>1</v>
      </c>
      <c r="AP121" s="20">
        <f>Table1[[#This Row],[balls scored]]+Table1[[#This Row],[auton balls scored]]</f>
        <v>0</v>
      </c>
      <c r="AQ121" s="20">
        <f>Table1[[#This Row],[balls scored high]]+Table1[[#This Row],[Auton Scored High]]</f>
        <v>0</v>
      </c>
      <c r="AR121" s="20">
        <f>Table1[[#This Row],[balls scored low]]+Table1[[#This Row],[Auton Scored Low]]</f>
        <v>0</v>
      </c>
      <c r="AS121" s="50">
        <f>IF(Table1[[#This Row],[Control Panel Spun Time]]&gt;0,1,0)</f>
        <v>0</v>
      </c>
      <c r="AT121" s="20">
        <f>IF(Table1[[#This Row],[Control Panel Color Time]]&gt;0,1,0)</f>
        <v>0</v>
      </c>
    </row>
    <row r="122" spans="1:46" x14ac:dyDescent="0.25">
      <c r="A122">
        <v>2262</v>
      </c>
      <c r="B122">
        <v>2</v>
      </c>
      <c r="C122">
        <v>1</v>
      </c>
      <c r="D122">
        <v>0</v>
      </c>
      <c r="E122">
        <v>0</v>
      </c>
      <c r="F122">
        <v>0</v>
      </c>
      <c r="G122">
        <v>0</v>
      </c>
      <c r="H122">
        <v>1</v>
      </c>
      <c r="I122" s="8">
        <f>+Table1[[#This Row],[Auton ball picked up in our trench]]+Table1[[#This Row],[Auton Balls Picked Up in Mid]]+Table1[[#This Row],[Auton Balls Picked Up In Their Trench]]</f>
        <v>0</v>
      </c>
      <c r="J122" s="8">
        <f>+Table1[[#This Row],[Auton Scored High]]+Table1[[#This Row],[Auton Scored Low]]</f>
        <v>1</v>
      </c>
      <c r="K12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4</v>
      </c>
      <c r="L122">
        <v>0</v>
      </c>
      <c r="M122">
        <v>0</v>
      </c>
      <c r="N122">
        <v>1</v>
      </c>
      <c r="O122">
        <v>0</v>
      </c>
      <c r="P122">
        <v>0</v>
      </c>
      <c r="Q122">
        <v>0</v>
      </c>
      <c r="R122">
        <v>0</v>
      </c>
      <c r="S122">
        <v>0</v>
      </c>
      <c r="T122">
        <v>0</v>
      </c>
      <c r="U122">
        <v>0</v>
      </c>
      <c r="V122" s="8">
        <f>Table1[[#This Row],[Balls Scored From Trench]]+Table1[[#This Row],[Balls Scored from Mid]]+Table1[[#This Row],[Balls Scored From Alliance zone]]</f>
        <v>1</v>
      </c>
      <c r="W122" s="8">
        <f>Table1[[#This Row],[balls scored high]]+Table1[[#This Row],[balls scored low]]</f>
        <v>1</v>
      </c>
      <c r="X122" s="8">
        <f>Table1[[#This Row],[Control Panel Spun Time]]+Table1[[#This Row],[Control Panel Color Time]]</f>
        <v>0</v>
      </c>
      <c r="Y122" s="8">
        <f>Table1[[#This Row],[Control Panels Spun]]+Table1[[#This Row],[Control Panel Color]]</f>
        <v>0</v>
      </c>
      <c r="Z12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v>
      </c>
      <c r="AA122">
        <v>0</v>
      </c>
      <c r="AB122">
        <v>1</v>
      </c>
      <c r="AC122">
        <v>0</v>
      </c>
      <c r="AD122">
        <v>0</v>
      </c>
      <c r="AE122">
        <v>0</v>
      </c>
      <c r="AF122">
        <v>0</v>
      </c>
      <c r="AG122">
        <v>0</v>
      </c>
      <c r="AI122" t="s">
        <v>174</v>
      </c>
      <c r="AJ122" t="s">
        <v>253</v>
      </c>
      <c r="AK122" s="17">
        <f>(Table1[[#This Row],[Climbed]]*weighting!$B$18)+(Table1[[#This Row],[Adjustable Climber]]*weighting!$B$19)+(Table1[[#This Row],[Lift other Robot]]*weighting!$B$20)+(Table1[[#This Row],[Balanced]]*weighting!$B$21)</f>
        <v>10</v>
      </c>
      <c r="AL122" s="8">
        <f>+Table1[[#This Row],[Endgame our score]]+Table1[[#This Row],[teleop our score]]+Table1[[#This Row],[auton our score]]</f>
        <v>15</v>
      </c>
      <c r="AM122" s="20">
        <f t="shared" si="3"/>
        <v>0</v>
      </c>
      <c r="AN122" s="20">
        <f t="shared" si="4"/>
        <v>1</v>
      </c>
      <c r="AO122" s="20">
        <f t="shared" si="5"/>
        <v>0</v>
      </c>
      <c r="AP122" s="20">
        <f>Table1[[#This Row],[balls scored]]+Table1[[#This Row],[auton balls scored]]</f>
        <v>2</v>
      </c>
      <c r="AQ122" s="20">
        <f>Table1[[#This Row],[balls scored high]]+Table1[[#This Row],[Auton Scored High]]</f>
        <v>2</v>
      </c>
      <c r="AR122" s="20">
        <f>Table1[[#This Row],[balls scored low]]+Table1[[#This Row],[Auton Scored Low]]</f>
        <v>0</v>
      </c>
      <c r="AS122" s="50">
        <f>IF(Table1[[#This Row],[Control Panel Spun Time]]&gt;0,1,0)</f>
        <v>0</v>
      </c>
      <c r="AT122" s="20">
        <f>IF(Table1[[#This Row],[Control Panel Color Time]]&gt;0,1,0)</f>
        <v>0</v>
      </c>
    </row>
    <row r="123" spans="1:46" s="2" customFormat="1" x14ac:dyDescent="0.25">
      <c r="A123">
        <v>2262</v>
      </c>
      <c r="B123">
        <v>2</v>
      </c>
      <c r="C123">
        <v>2</v>
      </c>
      <c r="D123">
        <v>0</v>
      </c>
      <c r="E123">
        <v>0</v>
      </c>
      <c r="F123">
        <v>0</v>
      </c>
      <c r="G123">
        <v>0</v>
      </c>
      <c r="H123">
        <v>1</v>
      </c>
      <c r="I123" s="8">
        <f>+Table1[[#This Row],[Auton ball picked up in our trench]]+Table1[[#This Row],[Auton Balls Picked Up in Mid]]+Table1[[#This Row],[Auton Balls Picked Up In Their Trench]]</f>
        <v>0</v>
      </c>
      <c r="J123" s="8">
        <f>+Table1[[#This Row],[Auton Scored High]]+Table1[[#This Row],[Auton Scored Low]]</f>
        <v>2</v>
      </c>
      <c r="K12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7</v>
      </c>
      <c r="L123">
        <v>0</v>
      </c>
      <c r="M123">
        <v>0</v>
      </c>
      <c r="N123">
        <v>0</v>
      </c>
      <c r="O123">
        <v>0</v>
      </c>
      <c r="P123">
        <v>0</v>
      </c>
      <c r="Q123">
        <v>0</v>
      </c>
      <c r="R123">
        <v>0</v>
      </c>
      <c r="S123">
        <v>0</v>
      </c>
      <c r="T123">
        <v>0</v>
      </c>
      <c r="U123">
        <v>0</v>
      </c>
      <c r="V123" s="8">
        <f>Table1[[#This Row],[Balls Scored From Trench]]+Table1[[#This Row],[Balls Scored from Mid]]+Table1[[#This Row],[Balls Scored From Alliance zone]]</f>
        <v>0</v>
      </c>
      <c r="W123" s="8">
        <f>Table1[[#This Row],[balls scored high]]+Table1[[#This Row],[balls scored low]]</f>
        <v>0</v>
      </c>
      <c r="X123" s="8">
        <f>Table1[[#This Row],[Control Panel Spun Time]]+Table1[[#This Row],[Control Panel Color Time]]</f>
        <v>0</v>
      </c>
      <c r="Y123" s="8">
        <f>Table1[[#This Row],[Control Panels Spun]]+Table1[[#This Row],[Control Panel Color]]</f>
        <v>0</v>
      </c>
      <c r="Z12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123">
        <v>1</v>
      </c>
      <c r="AB123">
        <v>0</v>
      </c>
      <c r="AC123">
        <v>0</v>
      </c>
      <c r="AD123">
        <v>0</v>
      </c>
      <c r="AE123">
        <v>0</v>
      </c>
      <c r="AF123">
        <v>0</v>
      </c>
      <c r="AG123">
        <v>0</v>
      </c>
      <c r="AH123"/>
      <c r="AI123" t="s">
        <v>43</v>
      </c>
      <c r="AJ123"/>
      <c r="AK123" s="17">
        <f>(Table1[[#This Row],[Climbed]]*weighting!$B$18)+(Table1[[#This Row],[Adjustable Climber]]*weighting!$B$19)+(Table1[[#This Row],[Lift other Robot]]*weighting!$B$20)+(Table1[[#This Row],[Balanced]]*weighting!$B$21)</f>
        <v>25</v>
      </c>
      <c r="AL123" s="8">
        <f>+Table1[[#This Row],[Endgame our score]]+Table1[[#This Row],[teleop our score]]+Table1[[#This Row],[auton our score]]</f>
        <v>32</v>
      </c>
      <c r="AM123" s="20">
        <f t="shared" si="3"/>
        <v>0</v>
      </c>
      <c r="AN123" s="20">
        <f t="shared" si="4"/>
        <v>1</v>
      </c>
      <c r="AO123" s="20">
        <f t="shared" si="5"/>
        <v>0</v>
      </c>
      <c r="AP123" s="20">
        <f>Table1[[#This Row],[balls scored]]+Table1[[#This Row],[auton balls scored]]</f>
        <v>2</v>
      </c>
      <c r="AQ123" s="20">
        <f>Table1[[#This Row],[balls scored high]]+Table1[[#This Row],[Auton Scored High]]</f>
        <v>2</v>
      </c>
      <c r="AR123" s="20">
        <f>Table1[[#This Row],[balls scored low]]+Table1[[#This Row],[Auton Scored Low]]</f>
        <v>0</v>
      </c>
      <c r="AS123" s="50">
        <f>IF(Table1[[#This Row],[Control Panel Spun Time]]&gt;0,1,0)</f>
        <v>0</v>
      </c>
      <c r="AT123" s="20">
        <f>IF(Table1[[#This Row],[Control Panel Color Time]]&gt;0,1,0)</f>
        <v>0</v>
      </c>
    </row>
    <row r="124" spans="1:46" x14ac:dyDescent="0.25">
      <c r="A124">
        <v>2262</v>
      </c>
      <c r="B124">
        <v>2</v>
      </c>
      <c r="C124">
        <v>0</v>
      </c>
      <c r="D124">
        <v>0</v>
      </c>
      <c r="E124">
        <v>0</v>
      </c>
      <c r="F124">
        <v>0</v>
      </c>
      <c r="G124">
        <v>0</v>
      </c>
      <c r="H124">
        <v>1</v>
      </c>
      <c r="I124" s="8">
        <f>+Table1[[#This Row],[Auton ball picked up in our trench]]+Table1[[#This Row],[Auton Balls Picked Up in Mid]]+Table1[[#This Row],[Auton Balls Picked Up In Their Trench]]</f>
        <v>0</v>
      </c>
      <c r="J124" s="8">
        <f>+Table1[[#This Row],[Auton Scored High]]+Table1[[#This Row],[Auton Scored Low]]</f>
        <v>0</v>
      </c>
      <c r="K12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124">
        <v>0</v>
      </c>
      <c r="M124">
        <v>0</v>
      </c>
      <c r="N124">
        <v>0</v>
      </c>
      <c r="O124">
        <v>0</v>
      </c>
      <c r="P124">
        <v>0</v>
      </c>
      <c r="Q124">
        <v>0</v>
      </c>
      <c r="R124">
        <v>0</v>
      </c>
      <c r="S124">
        <v>0</v>
      </c>
      <c r="T124">
        <v>0</v>
      </c>
      <c r="U124">
        <v>2.5</v>
      </c>
      <c r="V124" s="8">
        <f>Table1[[#This Row],[Balls Scored From Trench]]+Table1[[#This Row],[Balls Scored from Mid]]+Table1[[#This Row],[Balls Scored From Alliance zone]]</f>
        <v>0</v>
      </c>
      <c r="W124" s="8">
        <f>Table1[[#This Row],[balls scored high]]+Table1[[#This Row],[balls scored low]]</f>
        <v>0</v>
      </c>
      <c r="X124" s="8">
        <f>Table1[[#This Row],[Control Panel Spun Time]]+Table1[[#This Row],[Control Panel Color Time]]</f>
        <v>0</v>
      </c>
      <c r="Y124" s="8">
        <f>Table1[[#This Row],[Control Panels Spun]]+Table1[[#This Row],[Control Panel Color]]</f>
        <v>0</v>
      </c>
      <c r="Z12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5</v>
      </c>
      <c r="AA124">
        <v>0</v>
      </c>
      <c r="AB124">
        <v>0</v>
      </c>
      <c r="AC124">
        <v>0</v>
      </c>
      <c r="AD124">
        <v>0</v>
      </c>
      <c r="AE124">
        <v>0</v>
      </c>
      <c r="AF124">
        <v>0</v>
      </c>
      <c r="AG124">
        <v>0</v>
      </c>
      <c r="AI124" t="s">
        <v>184</v>
      </c>
      <c r="AJ124" t="s">
        <v>287</v>
      </c>
      <c r="AK124" s="17">
        <f>(Table1[[#This Row],[Climbed]]*weighting!$B$18)+(Table1[[#This Row],[Adjustable Climber]]*weighting!$B$19)+(Table1[[#This Row],[Lift other Robot]]*weighting!$B$20)+(Table1[[#This Row],[Balanced]]*weighting!$B$21)</f>
        <v>0</v>
      </c>
      <c r="AL124" s="8">
        <f>+Table1[[#This Row],[Endgame our score]]+Table1[[#This Row],[teleop our score]]+Table1[[#This Row],[auton our score]]</f>
        <v>6</v>
      </c>
      <c r="AM124" s="20">
        <f t="shared" si="3"/>
        <v>0</v>
      </c>
      <c r="AN124" s="20">
        <f t="shared" si="4"/>
        <v>1</v>
      </c>
      <c r="AO124" s="20">
        <f t="shared" si="5"/>
        <v>0</v>
      </c>
      <c r="AP124" s="20">
        <f>Table1[[#This Row],[balls scored]]+Table1[[#This Row],[auton balls scored]]</f>
        <v>0</v>
      </c>
      <c r="AQ124" s="20">
        <f>Table1[[#This Row],[balls scored high]]+Table1[[#This Row],[Auton Scored High]]</f>
        <v>0</v>
      </c>
      <c r="AR124" s="20">
        <f>Table1[[#This Row],[balls scored low]]+Table1[[#This Row],[Auton Scored Low]]</f>
        <v>0</v>
      </c>
      <c r="AS124" s="50">
        <f>IF(Table1[[#This Row],[Control Panel Spun Time]]&gt;0,1,0)</f>
        <v>0</v>
      </c>
      <c r="AT124" s="20">
        <f>IF(Table1[[#This Row],[Control Panel Color Time]]&gt;0,1,0)</f>
        <v>0</v>
      </c>
    </row>
    <row r="125" spans="1:46" s="2" customFormat="1" x14ac:dyDescent="0.25">
      <c r="A125">
        <v>2262</v>
      </c>
      <c r="B125">
        <v>2</v>
      </c>
      <c r="C125">
        <v>0</v>
      </c>
      <c r="D125">
        <v>0</v>
      </c>
      <c r="E125">
        <v>0</v>
      </c>
      <c r="F125">
        <v>0</v>
      </c>
      <c r="G125">
        <v>0</v>
      </c>
      <c r="H125">
        <v>1</v>
      </c>
      <c r="I125" s="8">
        <f>+Table1[[#This Row],[Auton ball picked up in our trench]]+Table1[[#This Row],[Auton Balls Picked Up in Mid]]+Table1[[#This Row],[Auton Balls Picked Up In Their Trench]]</f>
        <v>0</v>
      </c>
      <c r="J125" s="8">
        <f>+Table1[[#This Row],[Auton Scored High]]+Table1[[#This Row],[Auton Scored Low]]</f>
        <v>0</v>
      </c>
      <c r="K12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125">
        <v>0</v>
      </c>
      <c r="M125">
        <v>0</v>
      </c>
      <c r="N125">
        <v>0</v>
      </c>
      <c r="O125">
        <v>0</v>
      </c>
      <c r="P125">
        <v>0</v>
      </c>
      <c r="Q125">
        <v>0</v>
      </c>
      <c r="R125">
        <v>0</v>
      </c>
      <c r="S125">
        <v>0</v>
      </c>
      <c r="T125">
        <v>0</v>
      </c>
      <c r="U125">
        <v>2.5</v>
      </c>
      <c r="V125" s="8">
        <f>Table1[[#This Row],[Balls Scored From Trench]]+Table1[[#This Row],[Balls Scored from Mid]]+Table1[[#This Row],[Balls Scored From Alliance zone]]</f>
        <v>0</v>
      </c>
      <c r="W125" s="8">
        <f>Table1[[#This Row],[balls scored high]]+Table1[[#This Row],[balls scored low]]</f>
        <v>0</v>
      </c>
      <c r="X125" s="8">
        <f>Table1[[#This Row],[Control Panel Spun Time]]+Table1[[#This Row],[Control Panel Color Time]]</f>
        <v>0</v>
      </c>
      <c r="Y125" s="8">
        <f>Table1[[#This Row],[Control Panels Spun]]+Table1[[#This Row],[Control Panel Color]]</f>
        <v>0</v>
      </c>
      <c r="Z12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5</v>
      </c>
      <c r="AA125">
        <v>0</v>
      </c>
      <c r="AB125">
        <v>0</v>
      </c>
      <c r="AC125">
        <v>0</v>
      </c>
      <c r="AD125">
        <v>0</v>
      </c>
      <c r="AE125">
        <v>0</v>
      </c>
      <c r="AF125">
        <v>0</v>
      </c>
      <c r="AG125">
        <v>0</v>
      </c>
      <c r="AH125"/>
      <c r="AI125" t="s">
        <v>162</v>
      </c>
      <c r="AJ125" t="s">
        <v>321</v>
      </c>
      <c r="AK125" s="17">
        <f>(Table1[[#This Row],[Climbed]]*weighting!$B$18)+(Table1[[#This Row],[Adjustable Climber]]*weighting!$B$19)+(Table1[[#This Row],[Lift other Robot]]*weighting!$B$20)+(Table1[[#This Row],[Balanced]]*weighting!$B$21)</f>
        <v>0</v>
      </c>
      <c r="AL125" s="8">
        <f>+Table1[[#This Row],[Endgame our score]]+Table1[[#This Row],[teleop our score]]+Table1[[#This Row],[auton our score]]</f>
        <v>6</v>
      </c>
      <c r="AM125" s="20">
        <f t="shared" si="3"/>
        <v>0</v>
      </c>
      <c r="AN125" s="20">
        <f t="shared" si="4"/>
        <v>1</v>
      </c>
      <c r="AO125" s="20">
        <f t="shared" si="5"/>
        <v>0</v>
      </c>
      <c r="AP125" s="20">
        <f>Table1[[#This Row],[balls scored]]+Table1[[#This Row],[auton balls scored]]</f>
        <v>0</v>
      </c>
      <c r="AQ125" s="20">
        <f>Table1[[#This Row],[balls scored high]]+Table1[[#This Row],[Auton Scored High]]</f>
        <v>0</v>
      </c>
      <c r="AR125" s="20">
        <f>Table1[[#This Row],[balls scored low]]+Table1[[#This Row],[Auton Scored Low]]</f>
        <v>0</v>
      </c>
      <c r="AS125" s="50">
        <f>IF(Table1[[#This Row],[Control Panel Spun Time]]&gt;0,1,0)</f>
        <v>0</v>
      </c>
      <c r="AT125" s="20">
        <f>IF(Table1[[#This Row],[Control Panel Color Time]]&gt;0,1,0)</f>
        <v>0</v>
      </c>
    </row>
    <row r="126" spans="1:46" x14ac:dyDescent="0.25">
      <c r="A126">
        <v>2262</v>
      </c>
      <c r="B126">
        <v>2</v>
      </c>
      <c r="C126">
        <v>1</v>
      </c>
      <c r="D126">
        <v>0</v>
      </c>
      <c r="E126">
        <v>0</v>
      </c>
      <c r="F126">
        <v>0</v>
      </c>
      <c r="G126">
        <v>0</v>
      </c>
      <c r="H126">
        <v>1</v>
      </c>
      <c r="I126" s="8">
        <f>+Table1[[#This Row],[Auton ball picked up in our trench]]+Table1[[#This Row],[Auton Balls Picked Up in Mid]]+Table1[[#This Row],[Auton Balls Picked Up In Their Trench]]</f>
        <v>0</v>
      </c>
      <c r="J126" s="8">
        <f>+Table1[[#This Row],[Auton Scored High]]+Table1[[#This Row],[Auton Scored Low]]</f>
        <v>1</v>
      </c>
      <c r="K12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4</v>
      </c>
      <c r="L126">
        <v>0</v>
      </c>
      <c r="M126">
        <v>0</v>
      </c>
      <c r="N126">
        <v>2</v>
      </c>
      <c r="O126">
        <v>0</v>
      </c>
      <c r="P126">
        <v>0</v>
      </c>
      <c r="Q126">
        <v>0</v>
      </c>
      <c r="R126">
        <v>0</v>
      </c>
      <c r="S126">
        <v>0</v>
      </c>
      <c r="T126">
        <v>0</v>
      </c>
      <c r="U126">
        <v>0</v>
      </c>
      <c r="V126" s="8">
        <f>Table1[[#This Row],[Balls Scored From Trench]]+Table1[[#This Row],[Balls Scored from Mid]]+Table1[[#This Row],[Balls Scored From Alliance zone]]</f>
        <v>2</v>
      </c>
      <c r="W126" s="8">
        <f>Table1[[#This Row],[balls scored high]]+Table1[[#This Row],[balls scored low]]</f>
        <v>2</v>
      </c>
      <c r="X126" s="8">
        <f>Table1[[#This Row],[Control Panel Spun Time]]+Table1[[#This Row],[Control Panel Color Time]]</f>
        <v>0</v>
      </c>
      <c r="Y126" s="8">
        <f>Table1[[#This Row],[Control Panels Spun]]+Table1[[#This Row],[Control Panel Color]]</f>
        <v>0</v>
      </c>
      <c r="Z12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2</v>
      </c>
      <c r="AA126">
        <v>1</v>
      </c>
      <c r="AB126">
        <v>0</v>
      </c>
      <c r="AC126">
        <v>1</v>
      </c>
      <c r="AD126">
        <v>0</v>
      </c>
      <c r="AE126">
        <v>0</v>
      </c>
      <c r="AF126">
        <v>0</v>
      </c>
      <c r="AG126">
        <v>0</v>
      </c>
      <c r="AI126" t="s">
        <v>176</v>
      </c>
      <c r="AK126" s="17">
        <f>(Table1[[#This Row],[Climbed]]*weighting!$B$18)+(Table1[[#This Row],[Adjustable Climber]]*weighting!$B$19)+(Table1[[#This Row],[Lift other Robot]]*weighting!$B$20)+(Table1[[#This Row],[Balanced]]*weighting!$B$21)</f>
        <v>40</v>
      </c>
      <c r="AL126" s="8">
        <f>+Table1[[#This Row],[Endgame our score]]+Table1[[#This Row],[teleop our score]]+Table1[[#This Row],[auton our score]]</f>
        <v>46</v>
      </c>
      <c r="AM126" s="20">
        <f t="shared" si="3"/>
        <v>0</v>
      </c>
      <c r="AN126" s="20">
        <f t="shared" si="4"/>
        <v>1</v>
      </c>
      <c r="AO126" s="20">
        <f t="shared" si="5"/>
        <v>0</v>
      </c>
      <c r="AP126" s="20">
        <f>Table1[[#This Row],[balls scored]]+Table1[[#This Row],[auton balls scored]]</f>
        <v>3</v>
      </c>
      <c r="AQ126" s="20">
        <f>Table1[[#This Row],[balls scored high]]+Table1[[#This Row],[Auton Scored High]]</f>
        <v>3</v>
      </c>
      <c r="AR126" s="20">
        <f>Table1[[#This Row],[balls scored low]]+Table1[[#This Row],[Auton Scored Low]]</f>
        <v>0</v>
      </c>
      <c r="AS126" s="50">
        <f>IF(Table1[[#This Row],[Control Panel Spun Time]]&gt;0,1,0)</f>
        <v>0</v>
      </c>
      <c r="AT126" s="20">
        <f>IF(Table1[[#This Row],[Control Panel Color Time]]&gt;0,1,0)</f>
        <v>0</v>
      </c>
    </row>
    <row r="127" spans="1:46" s="2" customFormat="1" x14ac:dyDescent="0.25">
      <c r="A127">
        <v>2370</v>
      </c>
      <c r="B127">
        <v>1</v>
      </c>
      <c r="C127">
        <v>0</v>
      </c>
      <c r="D127">
        <v>0</v>
      </c>
      <c r="E127">
        <v>0</v>
      </c>
      <c r="F127">
        <v>0</v>
      </c>
      <c r="G127">
        <v>0</v>
      </c>
      <c r="H127">
        <v>0</v>
      </c>
      <c r="I127" s="8">
        <f>+Table1[[#This Row],[Auton ball picked up in our trench]]+Table1[[#This Row],[Auton Balls Picked Up in Mid]]+Table1[[#This Row],[Auton Balls Picked Up In Their Trench]]</f>
        <v>0</v>
      </c>
      <c r="J127" s="8">
        <f>+Table1[[#This Row],[Auton Scored High]]+Table1[[#This Row],[Auton Scored Low]]</f>
        <v>0</v>
      </c>
      <c r="K12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127">
        <v>0</v>
      </c>
      <c r="M127">
        <v>0</v>
      </c>
      <c r="N127">
        <v>0</v>
      </c>
      <c r="O127">
        <v>0</v>
      </c>
      <c r="P127">
        <v>0</v>
      </c>
      <c r="Q127">
        <v>0</v>
      </c>
      <c r="R127">
        <v>0</v>
      </c>
      <c r="S127">
        <v>0</v>
      </c>
      <c r="T127">
        <v>0</v>
      </c>
      <c r="U127">
        <v>0</v>
      </c>
      <c r="V127" s="8">
        <f>Table1[[#This Row],[Balls Scored From Trench]]+Table1[[#This Row],[Balls Scored from Mid]]+Table1[[#This Row],[Balls Scored From Alliance zone]]</f>
        <v>0</v>
      </c>
      <c r="W127" s="8">
        <f>Table1[[#This Row],[balls scored high]]+Table1[[#This Row],[balls scored low]]</f>
        <v>0</v>
      </c>
      <c r="X127" s="8">
        <f>Table1[[#This Row],[Control Panel Spun Time]]+Table1[[#This Row],[Control Panel Color Time]]</f>
        <v>0</v>
      </c>
      <c r="Y127" s="8">
        <f>Table1[[#This Row],[Control Panels Spun]]+Table1[[#This Row],[Control Panel Color]]</f>
        <v>0</v>
      </c>
      <c r="Z12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127">
        <v>0</v>
      </c>
      <c r="AB127">
        <v>0</v>
      </c>
      <c r="AC127">
        <v>0</v>
      </c>
      <c r="AD127">
        <v>0</v>
      </c>
      <c r="AE127">
        <v>0</v>
      </c>
      <c r="AF127">
        <v>0</v>
      </c>
      <c r="AG127">
        <v>0</v>
      </c>
      <c r="AH127"/>
      <c r="AI127" t="s">
        <v>173</v>
      </c>
      <c r="AJ127"/>
      <c r="AK127" s="17">
        <f>(Table1[[#This Row],[Climbed]]*weighting!$B$18)+(Table1[[#This Row],[Adjustable Climber]]*weighting!$B$19)+(Table1[[#This Row],[Lift other Robot]]*weighting!$B$20)+(Table1[[#This Row],[Balanced]]*weighting!$B$21)</f>
        <v>0</v>
      </c>
      <c r="AL127" s="8">
        <f>+Table1[[#This Row],[Endgame our score]]+Table1[[#This Row],[teleop our score]]+Table1[[#This Row],[auton our score]]</f>
        <v>0</v>
      </c>
      <c r="AM127" s="20">
        <f t="shared" si="3"/>
        <v>1</v>
      </c>
      <c r="AN127" s="20">
        <f t="shared" si="4"/>
        <v>0</v>
      </c>
      <c r="AO127" s="20">
        <f t="shared" si="5"/>
        <v>0</v>
      </c>
      <c r="AP127" s="20">
        <f>Table1[[#This Row],[balls scored]]+Table1[[#This Row],[auton balls scored]]</f>
        <v>0</v>
      </c>
      <c r="AQ127" s="20">
        <f>Table1[[#This Row],[balls scored high]]+Table1[[#This Row],[Auton Scored High]]</f>
        <v>0</v>
      </c>
      <c r="AR127" s="20">
        <f>Table1[[#This Row],[balls scored low]]+Table1[[#This Row],[Auton Scored Low]]</f>
        <v>0</v>
      </c>
      <c r="AS127" s="50">
        <f>IF(Table1[[#This Row],[Control Panel Spun Time]]&gt;0,1,0)</f>
        <v>0</v>
      </c>
      <c r="AT127" s="20">
        <f>IF(Table1[[#This Row],[Control Panel Color Time]]&gt;0,1,0)</f>
        <v>0</v>
      </c>
    </row>
    <row r="128" spans="1:46" x14ac:dyDescent="0.25">
      <c r="A128">
        <v>2370</v>
      </c>
      <c r="B128">
        <v>1</v>
      </c>
      <c r="C128">
        <v>3</v>
      </c>
      <c r="D128">
        <v>0</v>
      </c>
      <c r="E128">
        <v>0</v>
      </c>
      <c r="F128">
        <v>0</v>
      </c>
      <c r="G128">
        <v>0</v>
      </c>
      <c r="H128">
        <v>0</v>
      </c>
      <c r="I128" s="8">
        <f>+Table1[[#This Row],[Auton ball picked up in our trench]]+Table1[[#This Row],[Auton Balls Picked Up in Mid]]+Table1[[#This Row],[Auton Balls Picked Up In Their Trench]]</f>
        <v>0</v>
      </c>
      <c r="J128" s="8">
        <f>+Table1[[#This Row],[Auton Scored High]]+Table1[[#This Row],[Auton Scored Low]]</f>
        <v>3</v>
      </c>
      <c r="K12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9</v>
      </c>
      <c r="L128">
        <v>2</v>
      </c>
      <c r="M128">
        <v>1</v>
      </c>
      <c r="N128">
        <v>0</v>
      </c>
      <c r="O128">
        <v>0</v>
      </c>
      <c r="P128">
        <v>0</v>
      </c>
      <c r="Q128">
        <v>0</v>
      </c>
      <c r="R128">
        <v>0</v>
      </c>
      <c r="S128">
        <v>0</v>
      </c>
      <c r="T128">
        <v>0</v>
      </c>
      <c r="U128">
        <v>0</v>
      </c>
      <c r="V128" s="8">
        <f>Table1[[#This Row],[Balls Scored From Trench]]+Table1[[#This Row],[Balls Scored from Mid]]+Table1[[#This Row],[Balls Scored From Alliance zone]]</f>
        <v>3</v>
      </c>
      <c r="W128" s="8">
        <f>Table1[[#This Row],[balls scored high]]+Table1[[#This Row],[balls scored low]]</f>
        <v>3</v>
      </c>
      <c r="X128" s="8">
        <f>Table1[[#This Row],[Control Panel Spun Time]]+Table1[[#This Row],[Control Panel Color Time]]</f>
        <v>0</v>
      </c>
      <c r="Y128" s="8">
        <f>Table1[[#This Row],[Control Panels Spun]]+Table1[[#This Row],[Control Panel Color]]</f>
        <v>0</v>
      </c>
      <c r="Z12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8</v>
      </c>
      <c r="AA128">
        <v>0</v>
      </c>
      <c r="AB128">
        <v>0</v>
      </c>
      <c r="AC128">
        <v>0</v>
      </c>
      <c r="AD128">
        <v>0</v>
      </c>
      <c r="AE128">
        <v>0</v>
      </c>
      <c r="AF128">
        <v>0</v>
      </c>
      <c r="AG128">
        <v>0</v>
      </c>
      <c r="AI128" t="s">
        <v>43</v>
      </c>
      <c r="AJ128" t="s">
        <v>191</v>
      </c>
      <c r="AK128" s="17">
        <f>(Table1[[#This Row],[Climbed]]*weighting!$B$18)+(Table1[[#This Row],[Adjustable Climber]]*weighting!$B$19)+(Table1[[#This Row],[Lift other Robot]]*weighting!$B$20)+(Table1[[#This Row],[Balanced]]*weighting!$B$21)</f>
        <v>0</v>
      </c>
      <c r="AL128" s="8">
        <f>+Table1[[#This Row],[Endgame our score]]+Table1[[#This Row],[teleop our score]]+Table1[[#This Row],[auton our score]]</f>
        <v>17</v>
      </c>
      <c r="AM128" s="20">
        <f t="shared" si="3"/>
        <v>1</v>
      </c>
      <c r="AN128" s="20">
        <f t="shared" si="4"/>
        <v>0</v>
      </c>
      <c r="AO128" s="20">
        <f t="shared" si="5"/>
        <v>0</v>
      </c>
      <c r="AP128" s="20">
        <f>Table1[[#This Row],[balls scored]]+Table1[[#This Row],[auton balls scored]]</f>
        <v>6</v>
      </c>
      <c r="AQ128" s="20">
        <f>Table1[[#This Row],[balls scored high]]+Table1[[#This Row],[Auton Scored High]]</f>
        <v>6</v>
      </c>
      <c r="AR128" s="20">
        <f>Table1[[#This Row],[balls scored low]]+Table1[[#This Row],[Auton Scored Low]]</f>
        <v>0</v>
      </c>
      <c r="AS128" s="50">
        <f>IF(Table1[[#This Row],[Control Panel Spun Time]]&gt;0,1,0)</f>
        <v>0</v>
      </c>
      <c r="AT128" s="20">
        <f>IF(Table1[[#This Row],[Control Panel Color Time]]&gt;0,1,0)</f>
        <v>0</v>
      </c>
    </row>
    <row r="129" spans="1:46" s="2" customFormat="1" x14ac:dyDescent="0.25">
      <c r="A129">
        <v>2370</v>
      </c>
      <c r="B129">
        <v>2</v>
      </c>
      <c r="C129">
        <v>3</v>
      </c>
      <c r="D129">
        <v>0</v>
      </c>
      <c r="E129">
        <v>0</v>
      </c>
      <c r="F129">
        <v>0</v>
      </c>
      <c r="G129">
        <v>0</v>
      </c>
      <c r="H129">
        <v>1</v>
      </c>
      <c r="I129" s="8">
        <f>+Table1[[#This Row],[Auton ball picked up in our trench]]+Table1[[#This Row],[Auton Balls Picked Up in Mid]]+Table1[[#This Row],[Auton Balls Picked Up In Their Trench]]</f>
        <v>0</v>
      </c>
      <c r="J129" s="8">
        <f>+Table1[[#This Row],[Auton Scored High]]+Table1[[#This Row],[Auton Scored Low]]</f>
        <v>3</v>
      </c>
      <c r="K12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129">
        <v>0</v>
      </c>
      <c r="M129">
        <v>7</v>
      </c>
      <c r="N129">
        <v>0</v>
      </c>
      <c r="O129">
        <v>0</v>
      </c>
      <c r="P129">
        <v>0</v>
      </c>
      <c r="Q129">
        <v>0</v>
      </c>
      <c r="R129">
        <v>0</v>
      </c>
      <c r="S129">
        <v>0</v>
      </c>
      <c r="T129">
        <v>0</v>
      </c>
      <c r="U129">
        <v>0</v>
      </c>
      <c r="V129" s="8">
        <f>Table1[[#This Row],[Balls Scored From Trench]]+Table1[[#This Row],[Balls Scored from Mid]]+Table1[[#This Row],[Balls Scored From Alliance zone]]</f>
        <v>7</v>
      </c>
      <c r="W129" s="8">
        <f>Table1[[#This Row],[balls scored high]]+Table1[[#This Row],[balls scored low]]</f>
        <v>7</v>
      </c>
      <c r="X129" s="8">
        <f>Table1[[#This Row],[Control Panel Spun Time]]+Table1[[#This Row],[Control Panel Color Time]]</f>
        <v>0</v>
      </c>
      <c r="Y129" s="8">
        <f>Table1[[#This Row],[Control Panels Spun]]+Table1[[#This Row],[Control Panel Color]]</f>
        <v>0</v>
      </c>
      <c r="Z12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14</v>
      </c>
      <c r="AA129">
        <v>1</v>
      </c>
      <c r="AB129">
        <v>0</v>
      </c>
      <c r="AC129">
        <v>1</v>
      </c>
      <c r="AD129">
        <v>0</v>
      </c>
      <c r="AE129">
        <v>0</v>
      </c>
      <c r="AF129">
        <v>0</v>
      </c>
      <c r="AG129">
        <v>0</v>
      </c>
      <c r="AH129"/>
      <c r="AI129" t="s">
        <v>174</v>
      </c>
      <c r="AJ129" t="s">
        <v>254</v>
      </c>
      <c r="AK129" s="17">
        <f>(Table1[[#This Row],[Climbed]]*weighting!$B$18)+(Table1[[#This Row],[Adjustable Climber]]*weighting!$B$19)+(Table1[[#This Row],[Lift other Robot]]*weighting!$B$20)+(Table1[[#This Row],[Balanced]]*weighting!$B$21)</f>
        <v>40</v>
      </c>
      <c r="AL129" s="8">
        <f>+Table1[[#This Row],[Endgame our score]]+Table1[[#This Row],[teleop our score]]+Table1[[#This Row],[auton our score]]</f>
        <v>64</v>
      </c>
      <c r="AM129" s="20">
        <f t="shared" si="3"/>
        <v>0</v>
      </c>
      <c r="AN129" s="20">
        <f t="shared" si="4"/>
        <v>1</v>
      </c>
      <c r="AO129" s="20">
        <f t="shared" si="5"/>
        <v>0</v>
      </c>
      <c r="AP129" s="20">
        <f>Table1[[#This Row],[balls scored]]+Table1[[#This Row],[auton balls scored]]</f>
        <v>10</v>
      </c>
      <c r="AQ129" s="20">
        <f>Table1[[#This Row],[balls scored high]]+Table1[[#This Row],[Auton Scored High]]</f>
        <v>10</v>
      </c>
      <c r="AR129" s="20">
        <f>Table1[[#This Row],[balls scored low]]+Table1[[#This Row],[Auton Scored Low]]</f>
        <v>0</v>
      </c>
      <c r="AS129" s="50">
        <f>IF(Table1[[#This Row],[Control Panel Spun Time]]&gt;0,1,0)</f>
        <v>0</v>
      </c>
      <c r="AT129" s="20">
        <f>IF(Table1[[#This Row],[Control Panel Color Time]]&gt;0,1,0)</f>
        <v>0</v>
      </c>
    </row>
    <row r="130" spans="1:46" x14ac:dyDescent="0.25">
      <c r="A130">
        <v>2370</v>
      </c>
      <c r="B130">
        <v>2</v>
      </c>
      <c r="C130">
        <v>3</v>
      </c>
      <c r="D130">
        <v>0</v>
      </c>
      <c r="E130">
        <v>0</v>
      </c>
      <c r="F130">
        <v>0</v>
      </c>
      <c r="G130">
        <v>0</v>
      </c>
      <c r="H130">
        <v>1</v>
      </c>
      <c r="I130" s="8">
        <f>+Table1[[#This Row],[Auton ball picked up in our trench]]+Table1[[#This Row],[Auton Balls Picked Up in Mid]]+Table1[[#This Row],[Auton Balls Picked Up In Their Trench]]</f>
        <v>0</v>
      </c>
      <c r="J130" s="8">
        <f>+Table1[[#This Row],[Auton Scored High]]+Table1[[#This Row],[Auton Scored Low]]</f>
        <v>3</v>
      </c>
      <c r="K13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130">
        <v>0</v>
      </c>
      <c r="M130">
        <v>5</v>
      </c>
      <c r="N130">
        <v>0</v>
      </c>
      <c r="O130">
        <v>0</v>
      </c>
      <c r="P130">
        <v>0</v>
      </c>
      <c r="Q130">
        <v>0</v>
      </c>
      <c r="R130">
        <v>0</v>
      </c>
      <c r="S130">
        <v>0</v>
      </c>
      <c r="T130">
        <v>0</v>
      </c>
      <c r="U130">
        <v>0</v>
      </c>
      <c r="V130" s="8">
        <f>Table1[[#This Row],[Balls Scored From Trench]]+Table1[[#This Row],[Balls Scored from Mid]]+Table1[[#This Row],[Balls Scored From Alliance zone]]</f>
        <v>5</v>
      </c>
      <c r="W130" s="8">
        <f>Table1[[#This Row],[balls scored high]]+Table1[[#This Row],[balls scored low]]</f>
        <v>5</v>
      </c>
      <c r="X130" s="8">
        <f>Table1[[#This Row],[Control Panel Spun Time]]+Table1[[#This Row],[Control Panel Color Time]]</f>
        <v>0</v>
      </c>
      <c r="Y130" s="8">
        <f>Table1[[#This Row],[Control Panels Spun]]+Table1[[#This Row],[Control Panel Color]]</f>
        <v>0</v>
      </c>
      <c r="Z13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10</v>
      </c>
      <c r="AA130">
        <v>1</v>
      </c>
      <c r="AB130">
        <v>0</v>
      </c>
      <c r="AC130">
        <v>0</v>
      </c>
      <c r="AD130">
        <v>0</v>
      </c>
      <c r="AE130">
        <v>0</v>
      </c>
      <c r="AF130">
        <v>0</v>
      </c>
      <c r="AG130">
        <v>0</v>
      </c>
      <c r="AI130" t="s">
        <v>43</v>
      </c>
      <c r="AJ130" t="s">
        <v>288</v>
      </c>
      <c r="AK130" s="17">
        <f>(Table1[[#This Row],[Climbed]]*weighting!$B$18)+(Table1[[#This Row],[Adjustable Climber]]*weighting!$B$19)+(Table1[[#This Row],[Lift other Robot]]*weighting!$B$20)+(Table1[[#This Row],[Balanced]]*weighting!$B$21)</f>
        <v>25</v>
      </c>
      <c r="AL130" s="8">
        <f>+Table1[[#This Row],[Endgame our score]]+Table1[[#This Row],[teleop our score]]+Table1[[#This Row],[auton our score]]</f>
        <v>45</v>
      </c>
      <c r="AM130" s="20">
        <f t="shared" ref="AM130:AM193" si="6">IF(B130=1,1,0)</f>
        <v>0</v>
      </c>
      <c r="AN130" s="20">
        <f t="shared" ref="AN130:AN193" si="7">IF(B130=2,1,0)</f>
        <v>1</v>
      </c>
      <c r="AO130" s="20">
        <f t="shared" ref="AO130:AO193" si="8">IF(B130=3,1,0)</f>
        <v>0</v>
      </c>
      <c r="AP130" s="20">
        <f>Table1[[#This Row],[balls scored]]+Table1[[#This Row],[auton balls scored]]</f>
        <v>8</v>
      </c>
      <c r="AQ130" s="20">
        <f>Table1[[#This Row],[balls scored high]]+Table1[[#This Row],[Auton Scored High]]</f>
        <v>8</v>
      </c>
      <c r="AR130" s="20">
        <f>Table1[[#This Row],[balls scored low]]+Table1[[#This Row],[Auton Scored Low]]</f>
        <v>0</v>
      </c>
      <c r="AS130" s="50">
        <f>IF(Table1[[#This Row],[Control Panel Spun Time]]&gt;0,1,0)</f>
        <v>0</v>
      </c>
      <c r="AT130" s="20">
        <f>IF(Table1[[#This Row],[Control Panel Color Time]]&gt;0,1,0)</f>
        <v>0</v>
      </c>
    </row>
    <row r="131" spans="1:46" s="2" customFormat="1" x14ac:dyDescent="0.25">
      <c r="A131">
        <v>2370</v>
      </c>
      <c r="B131">
        <v>1</v>
      </c>
      <c r="C131">
        <v>2</v>
      </c>
      <c r="D131">
        <v>0</v>
      </c>
      <c r="E131">
        <v>0</v>
      </c>
      <c r="F131">
        <v>0</v>
      </c>
      <c r="G131">
        <v>0</v>
      </c>
      <c r="H131">
        <v>1</v>
      </c>
      <c r="I131" s="8">
        <f>+Table1[[#This Row],[Auton ball picked up in our trench]]+Table1[[#This Row],[Auton Balls Picked Up in Mid]]+Table1[[#This Row],[Auton Balls Picked Up In Their Trench]]</f>
        <v>0</v>
      </c>
      <c r="J131" s="8">
        <f>+Table1[[#This Row],[Auton Scored High]]+Table1[[#This Row],[Auton Scored Low]]</f>
        <v>2</v>
      </c>
      <c r="K13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7</v>
      </c>
      <c r="L131">
        <v>0</v>
      </c>
      <c r="M131">
        <v>5</v>
      </c>
      <c r="N131">
        <v>0</v>
      </c>
      <c r="O131">
        <v>0</v>
      </c>
      <c r="P131">
        <v>0</v>
      </c>
      <c r="Q131">
        <v>0</v>
      </c>
      <c r="R131">
        <v>0</v>
      </c>
      <c r="S131">
        <v>0</v>
      </c>
      <c r="T131">
        <v>0</v>
      </c>
      <c r="U131">
        <v>0</v>
      </c>
      <c r="V131" s="8">
        <f>Table1[[#This Row],[Balls Scored From Trench]]+Table1[[#This Row],[Balls Scored from Mid]]+Table1[[#This Row],[Balls Scored From Alliance zone]]</f>
        <v>5</v>
      </c>
      <c r="W131" s="8">
        <f>Table1[[#This Row],[balls scored high]]+Table1[[#This Row],[balls scored low]]</f>
        <v>5</v>
      </c>
      <c r="X131" s="8">
        <f>Table1[[#This Row],[Control Panel Spun Time]]+Table1[[#This Row],[Control Panel Color Time]]</f>
        <v>0</v>
      </c>
      <c r="Y131" s="8">
        <f>Table1[[#This Row],[Control Panels Spun]]+Table1[[#This Row],[Control Panel Color]]</f>
        <v>0</v>
      </c>
      <c r="Z13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10</v>
      </c>
      <c r="AA131">
        <v>1</v>
      </c>
      <c r="AB131">
        <v>0</v>
      </c>
      <c r="AC131">
        <v>0</v>
      </c>
      <c r="AD131">
        <v>0</v>
      </c>
      <c r="AE131">
        <v>0</v>
      </c>
      <c r="AF131">
        <v>0</v>
      </c>
      <c r="AG131">
        <v>0</v>
      </c>
      <c r="AH131"/>
      <c r="AI131" t="s">
        <v>281</v>
      </c>
      <c r="AJ131" t="s">
        <v>289</v>
      </c>
      <c r="AK131" s="17">
        <f>(Table1[[#This Row],[Climbed]]*weighting!$B$18)+(Table1[[#This Row],[Adjustable Climber]]*weighting!$B$19)+(Table1[[#This Row],[Lift other Robot]]*weighting!$B$20)+(Table1[[#This Row],[Balanced]]*weighting!$B$21)</f>
        <v>25</v>
      </c>
      <c r="AL131" s="8">
        <f>+Table1[[#This Row],[Endgame our score]]+Table1[[#This Row],[teleop our score]]+Table1[[#This Row],[auton our score]]</f>
        <v>42</v>
      </c>
      <c r="AM131" s="20">
        <f t="shared" si="6"/>
        <v>1</v>
      </c>
      <c r="AN131" s="20">
        <f t="shared" si="7"/>
        <v>0</v>
      </c>
      <c r="AO131" s="20">
        <f t="shared" si="8"/>
        <v>0</v>
      </c>
      <c r="AP131" s="20">
        <f>Table1[[#This Row],[balls scored]]+Table1[[#This Row],[auton balls scored]]</f>
        <v>7</v>
      </c>
      <c r="AQ131" s="20">
        <f>Table1[[#This Row],[balls scored high]]+Table1[[#This Row],[Auton Scored High]]</f>
        <v>7</v>
      </c>
      <c r="AR131" s="20">
        <f>Table1[[#This Row],[balls scored low]]+Table1[[#This Row],[Auton Scored Low]]</f>
        <v>0</v>
      </c>
      <c r="AS131" s="50">
        <f>IF(Table1[[#This Row],[Control Panel Spun Time]]&gt;0,1,0)</f>
        <v>0</v>
      </c>
      <c r="AT131" s="20">
        <f>IF(Table1[[#This Row],[Control Panel Color Time]]&gt;0,1,0)</f>
        <v>0</v>
      </c>
    </row>
    <row r="132" spans="1:46" x14ac:dyDescent="0.25">
      <c r="A132">
        <v>2370</v>
      </c>
      <c r="B132">
        <v>2</v>
      </c>
      <c r="C132">
        <v>3</v>
      </c>
      <c r="D132">
        <v>0</v>
      </c>
      <c r="E132">
        <v>0</v>
      </c>
      <c r="F132">
        <v>0</v>
      </c>
      <c r="G132">
        <v>0</v>
      </c>
      <c r="H132">
        <v>1</v>
      </c>
      <c r="I132" s="8">
        <f>+Table1[[#This Row],[Auton ball picked up in our trench]]+Table1[[#This Row],[Auton Balls Picked Up in Mid]]+Table1[[#This Row],[Auton Balls Picked Up In Their Trench]]</f>
        <v>0</v>
      </c>
      <c r="J132" s="8">
        <f>+Table1[[#This Row],[Auton Scored High]]+Table1[[#This Row],[Auton Scored Low]]</f>
        <v>3</v>
      </c>
      <c r="K13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132">
        <v>3</v>
      </c>
      <c r="M132">
        <v>0</v>
      </c>
      <c r="N132">
        <v>0</v>
      </c>
      <c r="O132">
        <v>0</v>
      </c>
      <c r="P132">
        <v>0</v>
      </c>
      <c r="Q132">
        <v>0</v>
      </c>
      <c r="R132">
        <v>0</v>
      </c>
      <c r="S132">
        <v>0</v>
      </c>
      <c r="T132">
        <v>0</v>
      </c>
      <c r="U132">
        <v>0</v>
      </c>
      <c r="V132" s="8">
        <f>Table1[[#This Row],[Balls Scored From Trench]]+Table1[[#This Row],[Balls Scored from Mid]]+Table1[[#This Row],[Balls Scored From Alliance zone]]</f>
        <v>3</v>
      </c>
      <c r="W132" s="8">
        <f>Table1[[#This Row],[balls scored high]]+Table1[[#This Row],[balls scored low]]</f>
        <v>3</v>
      </c>
      <c r="X132" s="8">
        <f>Table1[[#This Row],[Control Panel Spun Time]]+Table1[[#This Row],[Control Panel Color Time]]</f>
        <v>0</v>
      </c>
      <c r="Y132" s="8">
        <f>Table1[[#This Row],[Control Panels Spun]]+Table1[[#This Row],[Control Panel Color]]</f>
        <v>0</v>
      </c>
      <c r="Z13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9</v>
      </c>
      <c r="AA132">
        <v>1</v>
      </c>
      <c r="AB132">
        <v>0</v>
      </c>
      <c r="AC132">
        <v>1</v>
      </c>
      <c r="AD132">
        <v>0</v>
      </c>
      <c r="AE132">
        <v>0</v>
      </c>
      <c r="AF132">
        <v>0</v>
      </c>
      <c r="AG132">
        <v>0</v>
      </c>
      <c r="AI132" t="s">
        <v>176</v>
      </c>
      <c r="AK132" s="17">
        <f>(Table1[[#This Row],[Climbed]]*weighting!$B$18)+(Table1[[#This Row],[Adjustable Climber]]*weighting!$B$19)+(Table1[[#This Row],[Lift other Robot]]*weighting!$B$20)+(Table1[[#This Row],[Balanced]]*weighting!$B$21)</f>
        <v>40</v>
      </c>
      <c r="AL132" s="8">
        <f>+Table1[[#This Row],[Endgame our score]]+Table1[[#This Row],[teleop our score]]+Table1[[#This Row],[auton our score]]</f>
        <v>59</v>
      </c>
      <c r="AM132" s="20">
        <f t="shared" si="6"/>
        <v>0</v>
      </c>
      <c r="AN132" s="20">
        <f t="shared" si="7"/>
        <v>1</v>
      </c>
      <c r="AO132" s="20">
        <f t="shared" si="8"/>
        <v>0</v>
      </c>
      <c r="AP132" s="20">
        <f>Table1[[#This Row],[balls scored]]+Table1[[#This Row],[auton balls scored]]</f>
        <v>6</v>
      </c>
      <c r="AQ132" s="20">
        <f>Table1[[#This Row],[balls scored high]]+Table1[[#This Row],[Auton Scored High]]</f>
        <v>6</v>
      </c>
      <c r="AR132" s="20">
        <f>Table1[[#This Row],[balls scored low]]+Table1[[#This Row],[Auton Scored Low]]</f>
        <v>0</v>
      </c>
      <c r="AS132" s="50">
        <f>IF(Table1[[#This Row],[Control Panel Spun Time]]&gt;0,1,0)</f>
        <v>0</v>
      </c>
      <c r="AT132" s="20">
        <f>IF(Table1[[#This Row],[Control Panel Color Time]]&gt;0,1,0)</f>
        <v>0</v>
      </c>
    </row>
    <row r="133" spans="1:46" s="2" customFormat="1" x14ac:dyDescent="0.25">
      <c r="A133">
        <v>2370</v>
      </c>
      <c r="B133">
        <v>3</v>
      </c>
      <c r="C133">
        <v>3</v>
      </c>
      <c r="D133">
        <v>0</v>
      </c>
      <c r="E133">
        <v>0</v>
      </c>
      <c r="F133">
        <v>0</v>
      </c>
      <c r="G133">
        <v>0</v>
      </c>
      <c r="H133">
        <v>1</v>
      </c>
      <c r="I133" s="8">
        <f>+Table1[[#This Row],[Auton ball picked up in our trench]]+Table1[[#This Row],[Auton Balls Picked Up in Mid]]+Table1[[#This Row],[Auton Balls Picked Up In Their Trench]]</f>
        <v>0</v>
      </c>
      <c r="J133" s="8">
        <f>+Table1[[#This Row],[Auton Scored High]]+Table1[[#This Row],[Auton Scored Low]]</f>
        <v>3</v>
      </c>
      <c r="K13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133">
        <v>3</v>
      </c>
      <c r="M133">
        <v>0</v>
      </c>
      <c r="N133">
        <v>3</v>
      </c>
      <c r="O133">
        <v>0</v>
      </c>
      <c r="P133">
        <v>0</v>
      </c>
      <c r="Q133">
        <v>0</v>
      </c>
      <c r="R133">
        <v>0</v>
      </c>
      <c r="S133">
        <v>0</v>
      </c>
      <c r="T133">
        <v>0</v>
      </c>
      <c r="U133">
        <v>0</v>
      </c>
      <c r="V133" s="8">
        <f>Table1[[#This Row],[Balls Scored From Trench]]+Table1[[#This Row],[Balls Scored from Mid]]+Table1[[#This Row],[Balls Scored From Alliance zone]]</f>
        <v>6</v>
      </c>
      <c r="W133" s="8">
        <f>Table1[[#This Row],[balls scored high]]+Table1[[#This Row],[balls scored low]]</f>
        <v>6</v>
      </c>
      <c r="X133" s="8">
        <f>Table1[[#This Row],[Control Panel Spun Time]]+Table1[[#This Row],[Control Panel Color Time]]</f>
        <v>0</v>
      </c>
      <c r="Y133" s="8">
        <f>Table1[[#This Row],[Control Panels Spun]]+Table1[[#This Row],[Control Panel Color]]</f>
        <v>0</v>
      </c>
      <c r="Z13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12</v>
      </c>
      <c r="AA133">
        <v>0</v>
      </c>
      <c r="AB133">
        <v>0</v>
      </c>
      <c r="AC133">
        <v>0</v>
      </c>
      <c r="AD133">
        <v>0</v>
      </c>
      <c r="AE133">
        <v>1</v>
      </c>
      <c r="AF133">
        <v>0</v>
      </c>
      <c r="AG133">
        <v>0</v>
      </c>
      <c r="AH133"/>
      <c r="AI133" t="s">
        <v>179</v>
      </c>
      <c r="AJ133" t="s">
        <v>322</v>
      </c>
      <c r="AK133" s="17">
        <f>(Table1[[#This Row],[Climbed]]*weighting!$B$18)+(Table1[[#This Row],[Adjustable Climber]]*weighting!$B$19)+(Table1[[#This Row],[Lift other Robot]]*weighting!$B$20)+(Table1[[#This Row],[Balanced]]*weighting!$B$21)</f>
        <v>0</v>
      </c>
      <c r="AL133" s="8">
        <f>+Table1[[#This Row],[Endgame our score]]+Table1[[#This Row],[teleop our score]]+Table1[[#This Row],[auton our score]]</f>
        <v>22</v>
      </c>
      <c r="AM133" s="20">
        <f t="shared" si="6"/>
        <v>0</v>
      </c>
      <c r="AN133" s="20">
        <f t="shared" si="7"/>
        <v>0</v>
      </c>
      <c r="AO133" s="20">
        <f t="shared" si="8"/>
        <v>1</v>
      </c>
      <c r="AP133" s="20">
        <f>Table1[[#This Row],[balls scored]]+Table1[[#This Row],[auton balls scored]]</f>
        <v>9</v>
      </c>
      <c r="AQ133" s="20">
        <f>Table1[[#This Row],[balls scored high]]+Table1[[#This Row],[Auton Scored High]]</f>
        <v>9</v>
      </c>
      <c r="AR133" s="20">
        <f>Table1[[#This Row],[balls scored low]]+Table1[[#This Row],[Auton Scored Low]]</f>
        <v>0</v>
      </c>
      <c r="AS133" s="50">
        <f>IF(Table1[[#This Row],[Control Panel Spun Time]]&gt;0,1,0)</f>
        <v>0</v>
      </c>
      <c r="AT133" s="20">
        <f>IF(Table1[[#This Row],[Control Panel Color Time]]&gt;0,1,0)</f>
        <v>0</v>
      </c>
    </row>
    <row r="134" spans="1:46" x14ac:dyDescent="0.25">
      <c r="A134">
        <v>2590</v>
      </c>
      <c r="B134">
        <v>2</v>
      </c>
      <c r="C134">
        <v>3</v>
      </c>
      <c r="D134">
        <v>0</v>
      </c>
      <c r="E134">
        <v>0</v>
      </c>
      <c r="F134">
        <v>0</v>
      </c>
      <c r="G134">
        <v>0</v>
      </c>
      <c r="H134">
        <v>0</v>
      </c>
      <c r="I134" s="8">
        <f>+Table1[[#This Row],[Auton ball picked up in our trench]]+Table1[[#This Row],[Auton Balls Picked Up in Mid]]+Table1[[#This Row],[Auton Balls Picked Up In Their Trench]]</f>
        <v>0</v>
      </c>
      <c r="J134" s="8">
        <f>+Table1[[#This Row],[Auton Scored High]]+Table1[[#This Row],[Auton Scored Low]]</f>
        <v>3</v>
      </c>
      <c r="K13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9</v>
      </c>
      <c r="L134">
        <v>0</v>
      </c>
      <c r="M134">
        <v>4</v>
      </c>
      <c r="N134">
        <v>0</v>
      </c>
      <c r="O134">
        <v>0</v>
      </c>
      <c r="P134">
        <v>0</v>
      </c>
      <c r="Q134">
        <v>0</v>
      </c>
      <c r="R134">
        <v>0</v>
      </c>
      <c r="S134">
        <v>0</v>
      </c>
      <c r="T134">
        <v>0</v>
      </c>
      <c r="U134">
        <v>0</v>
      </c>
      <c r="V134" s="8">
        <f>Table1[[#This Row],[Balls Scored From Trench]]+Table1[[#This Row],[Balls Scored from Mid]]+Table1[[#This Row],[Balls Scored From Alliance zone]]</f>
        <v>4</v>
      </c>
      <c r="W134" s="8">
        <f>Table1[[#This Row],[balls scored high]]+Table1[[#This Row],[balls scored low]]</f>
        <v>4</v>
      </c>
      <c r="X134" s="8">
        <f>Table1[[#This Row],[Control Panel Spun Time]]+Table1[[#This Row],[Control Panel Color Time]]</f>
        <v>0</v>
      </c>
      <c r="Y134" s="8">
        <f>Table1[[#This Row],[Control Panels Spun]]+Table1[[#This Row],[Control Panel Color]]</f>
        <v>0</v>
      </c>
      <c r="Z13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8</v>
      </c>
      <c r="AA134">
        <v>1</v>
      </c>
      <c r="AB134">
        <v>1</v>
      </c>
      <c r="AC134">
        <v>1</v>
      </c>
      <c r="AD134">
        <v>0</v>
      </c>
      <c r="AE134">
        <v>0</v>
      </c>
      <c r="AF134">
        <v>0</v>
      </c>
      <c r="AG134">
        <v>0</v>
      </c>
      <c r="AI134" t="s">
        <v>174</v>
      </c>
      <c r="AJ134" t="s">
        <v>192</v>
      </c>
      <c r="AK134" s="17">
        <f>(Table1[[#This Row],[Climbed]]*weighting!$B$18)+(Table1[[#This Row],[Adjustable Climber]]*weighting!$B$19)+(Table1[[#This Row],[Lift other Robot]]*weighting!$B$20)+(Table1[[#This Row],[Balanced]]*weighting!$B$21)</f>
        <v>50</v>
      </c>
      <c r="AL134" s="8">
        <f>+Table1[[#This Row],[Endgame our score]]+Table1[[#This Row],[teleop our score]]+Table1[[#This Row],[auton our score]]</f>
        <v>67</v>
      </c>
      <c r="AM134" s="20">
        <f t="shared" si="6"/>
        <v>0</v>
      </c>
      <c r="AN134" s="20">
        <f t="shared" si="7"/>
        <v>1</v>
      </c>
      <c r="AO134" s="20">
        <f t="shared" si="8"/>
        <v>0</v>
      </c>
      <c r="AP134" s="20">
        <f>Table1[[#This Row],[balls scored]]+Table1[[#This Row],[auton balls scored]]</f>
        <v>7</v>
      </c>
      <c r="AQ134" s="20">
        <f>Table1[[#This Row],[balls scored high]]+Table1[[#This Row],[Auton Scored High]]</f>
        <v>7</v>
      </c>
      <c r="AR134" s="20">
        <f>Table1[[#This Row],[balls scored low]]+Table1[[#This Row],[Auton Scored Low]]</f>
        <v>0</v>
      </c>
      <c r="AS134" s="50">
        <f>IF(Table1[[#This Row],[Control Panel Spun Time]]&gt;0,1,0)</f>
        <v>0</v>
      </c>
      <c r="AT134" s="20">
        <f>IF(Table1[[#This Row],[Control Panel Color Time]]&gt;0,1,0)</f>
        <v>0</v>
      </c>
    </row>
    <row r="135" spans="1:46" s="2" customFormat="1" x14ac:dyDescent="0.25">
      <c r="A135">
        <v>2590</v>
      </c>
      <c r="B135">
        <v>2</v>
      </c>
      <c r="C135">
        <v>1</v>
      </c>
      <c r="D135">
        <v>0</v>
      </c>
      <c r="E135">
        <v>0</v>
      </c>
      <c r="F135">
        <v>0</v>
      </c>
      <c r="G135">
        <v>0</v>
      </c>
      <c r="H135">
        <v>1</v>
      </c>
      <c r="I135" s="8">
        <f>+Table1[[#This Row],[Auton ball picked up in our trench]]+Table1[[#This Row],[Auton Balls Picked Up in Mid]]+Table1[[#This Row],[Auton Balls Picked Up In Their Trench]]</f>
        <v>0</v>
      </c>
      <c r="J135" s="8">
        <f>+Table1[[#This Row],[Auton Scored High]]+Table1[[#This Row],[Auton Scored Low]]</f>
        <v>1</v>
      </c>
      <c r="K13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4</v>
      </c>
      <c r="L135">
        <v>0</v>
      </c>
      <c r="M135">
        <v>1</v>
      </c>
      <c r="N135">
        <v>0</v>
      </c>
      <c r="O135">
        <v>0</v>
      </c>
      <c r="P135">
        <v>0</v>
      </c>
      <c r="Q135">
        <v>0</v>
      </c>
      <c r="R135">
        <v>0</v>
      </c>
      <c r="S135">
        <v>0</v>
      </c>
      <c r="T135">
        <v>0</v>
      </c>
      <c r="U135">
        <v>0</v>
      </c>
      <c r="V135" s="8">
        <f>Table1[[#This Row],[Balls Scored From Trench]]+Table1[[#This Row],[Balls Scored from Mid]]+Table1[[#This Row],[Balls Scored From Alliance zone]]</f>
        <v>1</v>
      </c>
      <c r="W135" s="8">
        <f>Table1[[#This Row],[balls scored high]]+Table1[[#This Row],[balls scored low]]</f>
        <v>1</v>
      </c>
      <c r="X135" s="8">
        <f>Table1[[#This Row],[Control Panel Spun Time]]+Table1[[#This Row],[Control Panel Color Time]]</f>
        <v>0</v>
      </c>
      <c r="Y135" s="8">
        <f>Table1[[#This Row],[Control Panels Spun]]+Table1[[#This Row],[Control Panel Color]]</f>
        <v>0</v>
      </c>
      <c r="Z13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2</v>
      </c>
      <c r="AA135">
        <v>1</v>
      </c>
      <c r="AB135">
        <v>0</v>
      </c>
      <c r="AC135">
        <v>0</v>
      </c>
      <c r="AD135">
        <v>0</v>
      </c>
      <c r="AE135">
        <v>0</v>
      </c>
      <c r="AF135">
        <v>0</v>
      </c>
      <c r="AG135">
        <v>0</v>
      </c>
      <c r="AH135"/>
      <c r="AI135" t="s">
        <v>179</v>
      </c>
      <c r="AJ135" t="s">
        <v>216</v>
      </c>
      <c r="AK135" s="17">
        <f>(Table1[[#This Row],[Climbed]]*weighting!$B$18)+(Table1[[#This Row],[Adjustable Climber]]*weighting!$B$19)+(Table1[[#This Row],[Lift other Robot]]*weighting!$B$20)+(Table1[[#This Row],[Balanced]]*weighting!$B$21)</f>
        <v>25</v>
      </c>
      <c r="AL135" s="8">
        <f>+Table1[[#This Row],[Endgame our score]]+Table1[[#This Row],[teleop our score]]+Table1[[#This Row],[auton our score]]</f>
        <v>31</v>
      </c>
      <c r="AM135" s="20">
        <f t="shared" si="6"/>
        <v>0</v>
      </c>
      <c r="AN135" s="20">
        <f t="shared" si="7"/>
        <v>1</v>
      </c>
      <c r="AO135" s="20">
        <f t="shared" si="8"/>
        <v>0</v>
      </c>
      <c r="AP135" s="20">
        <f>Table1[[#This Row],[balls scored]]+Table1[[#This Row],[auton balls scored]]</f>
        <v>2</v>
      </c>
      <c r="AQ135" s="20">
        <f>Table1[[#This Row],[balls scored high]]+Table1[[#This Row],[Auton Scored High]]</f>
        <v>2</v>
      </c>
      <c r="AR135" s="20">
        <f>Table1[[#This Row],[balls scored low]]+Table1[[#This Row],[Auton Scored Low]]</f>
        <v>0</v>
      </c>
      <c r="AS135" s="50">
        <f>IF(Table1[[#This Row],[Control Panel Spun Time]]&gt;0,1,0)</f>
        <v>0</v>
      </c>
      <c r="AT135" s="20">
        <f>IF(Table1[[#This Row],[Control Panel Color Time]]&gt;0,1,0)</f>
        <v>0</v>
      </c>
    </row>
    <row r="136" spans="1:46" x14ac:dyDescent="0.25">
      <c r="A136">
        <v>2590</v>
      </c>
      <c r="B136">
        <v>3</v>
      </c>
      <c r="C136">
        <v>2</v>
      </c>
      <c r="D136">
        <v>0</v>
      </c>
      <c r="E136">
        <v>0</v>
      </c>
      <c r="F136">
        <v>0</v>
      </c>
      <c r="G136">
        <v>0</v>
      </c>
      <c r="H136">
        <v>1</v>
      </c>
      <c r="I136" s="8">
        <f>+Table1[[#This Row],[Auton ball picked up in our trench]]+Table1[[#This Row],[Auton Balls Picked Up in Mid]]+Table1[[#This Row],[Auton Balls Picked Up In Their Trench]]</f>
        <v>0</v>
      </c>
      <c r="J136" s="8">
        <f>+Table1[[#This Row],[Auton Scored High]]+Table1[[#This Row],[Auton Scored Low]]</f>
        <v>2</v>
      </c>
      <c r="K13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7</v>
      </c>
      <c r="L136">
        <v>1</v>
      </c>
      <c r="M136">
        <v>1</v>
      </c>
      <c r="N136">
        <v>0</v>
      </c>
      <c r="O136">
        <v>0</v>
      </c>
      <c r="P136">
        <v>0</v>
      </c>
      <c r="Q136">
        <v>0</v>
      </c>
      <c r="R136">
        <v>0</v>
      </c>
      <c r="S136">
        <v>0</v>
      </c>
      <c r="T136">
        <v>0</v>
      </c>
      <c r="U136">
        <v>0</v>
      </c>
      <c r="V136" s="8">
        <f>Table1[[#This Row],[Balls Scored From Trench]]+Table1[[#This Row],[Balls Scored from Mid]]+Table1[[#This Row],[Balls Scored From Alliance zone]]</f>
        <v>2</v>
      </c>
      <c r="W136" s="8">
        <f>Table1[[#This Row],[balls scored high]]+Table1[[#This Row],[balls scored low]]</f>
        <v>2</v>
      </c>
      <c r="X136" s="8">
        <f>Table1[[#This Row],[Control Panel Spun Time]]+Table1[[#This Row],[Control Panel Color Time]]</f>
        <v>0</v>
      </c>
      <c r="Y136" s="8">
        <f>Table1[[#This Row],[Control Panels Spun]]+Table1[[#This Row],[Control Panel Color]]</f>
        <v>0</v>
      </c>
      <c r="Z13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5</v>
      </c>
      <c r="AA136">
        <v>1</v>
      </c>
      <c r="AB136">
        <v>0</v>
      </c>
      <c r="AC136">
        <v>0</v>
      </c>
      <c r="AD136">
        <v>0</v>
      </c>
      <c r="AE136">
        <v>0</v>
      </c>
      <c r="AF136">
        <v>0</v>
      </c>
      <c r="AG136">
        <v>0</v>
      </c>
      <c r="AI136" t="s">
        <v>43</v>
      </c>
      <c r="AJ136" t="s">
        <v>255</v>
      </c>
      <c r="AK136" s="17">
        <f>(Table1[[#This Row],[Climbed]]*weighting!$B$18)+(Table1[[#This Row],[Adjustable Climber]]*weighting!$B$19)+(Table1[[#This Row],[Lift other Robot]]*weighting!$B$20)+(Table1[[#This Row],[Balanced]]*weighting!$B$21)</f>
        <v>25</v>
      </c>
      <c r="AL136" s="8">
        <f>+Table1[[#This Row],[Endgame our score]]+Table1[[#This Row],[teleop our score]]+Table1[[#This Row],[auton our score]]</f>
        <v>37</v>
      </c>
      <c r="AM136" s="20">
        <f t="shared" si="6"/>
        <v>0</v>
      </c>
      <c r="AN136" s="20">
        <f t="shared" si="7"/>
        <v>0</v>
      </c>
      <c r="AO136" s="20">
        <f t="shared" si="8"/>
        <v>1</v>
      </c>
      <c r="AP136" s="20">
        <f>Table1[[#This Row],[balls scored]]+Table1[[#This Row],[auton balls scored]]</f>
        <v>4</v>
      </c>
      <c r="AQ136" s="20">
        <f>Table1[[#This Row],[balls scored high]]+Table1[[#This Row],[Auton Scored High]]</f>
        <v>4</v>
      </c>
      <c r="AR136" s="20">
        <f>Table1[[#This Row],[balls scored low]]+Table1[[#This Row],[Auton Scored Low]]</f>
        <v>0</v>
      </c>
      <c r="AS136" s="50">
        <f>IF(Table1[[#This Row],[Control Panel Spun Time]]&gt;0,1,0)</f>
        <v>0</v>
      </c>
      <c r="AT136" s="20">
        <f>IF(Table1[[#This Row],[Control Panel Color Time]]&gt;0,1,0)</f>
        <v>0</v>
      </c>
    </row>
    <row r="137" spans="1:46" s="2" customFormat="1" x14ac:dyDescent="0.25">
      <c r="A137">
        <v>2590</v>
      </c>
      <c r="B137">
        <v>2</v>
      </c>
      <c r="C137">
        <v>2</v>
      </c>
      <c r="D137">
        <v>0</v>
      </c>
      <c r="E137">
        <v>0</v>
      </c>
      <c r="F137">
        <v>0</v>
      </c>
      <c r="G137">
        <v>0</v>
      </c>
      <c r="H137">
        <v>0</v>
      </c>
      <c r="I137" s="8">
        <f>+Table1[[#This Row],[Auton ball picked up in our trench]]+Table1[[#This Row],[Auton Balls Picked Up in Mid]]+Table1[[#This Row],[Auton Balls Picked Up In Their Trench]]</f>
        <v>0</v>
      </c>
      <c r="J137" s="8">
        <f>+Table1[[#This Row],[Auton Scored High]]+Table1[[#This Row],[Auton Scored Low]]</f>
        <v>2</v>
      </c>
      <c r="K13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6</v>
      </c>
      <c r="L137">
        <v>0</v>
      </c>
      <c r="M137">
        <v>0</v>
      </c>
      <c r="N137">
        <v>0</v>
      </c>
      <c r="O137">
        <v>0</v>
      </c>
      <c r="P137">
        <v>0</v>
      </c>
      <c r="Q137">
        <v>0</v>
      </c>
      <c r="R137">
        <v>0</v>
      </c>
      <c r="S137">
        <v>0</v>
      </c>
      <c r="T137">
        <v>0</v>
      </c>
      <c r="U137">
        <v>0</v>
      </c>
      <c r="V137" s="8">
        <f>Table1[[#This Row],[Balls Scored From Trench]]+Table1[[#This Row],[Balls Scored from Mid]]+Table1[[#This Row],[Balls Scored From Alliance zone]]</f>
        <v>0</v>
      </c>
      <c r="W137" s="8">
        <f>Table1[[#This Row],[balls scored high]]+Table1[[#This Row],[balls scored low]]</f>
        <v>0</v>
      </c>
      <c r="X137" s="8">
        <f>Table1[[#This Row],[Control Panel Spun Time]]+Table1[[#This Row],[Control Panel Color Time]]</f>
        <v>0</v>
      </c>
      <c r="Y137" s="8">
        <f>Table1[[#This Row],[Control Panels Spun]]+Table1[[#This Row],[Control Panel Color]]</f>
        <v>0</v>
      </c>
      <c r="Z13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137">
        <v>0</v>
      </c>
      <c r="AB137">
        <v>0</v>
      </c>
      <c r="AC137">
        <v>0</v>
      </c>
      <c r="AD137">
        <v>0</v>
      </c>
      <c r="AE137">
        <v>0</v>
      </c>
      <c r="AF137">
        <v>1</v>
      </c>
      <c r="AG137">
        <v>0</v>
      </c>
      <c r="AH137"/>
      <c r="AI137" t="s">
        <v>43</v>
      </c>
      <c r="AJ137" t="s">
        <v>256</v>
      </c>
      <c r="AK137" s="17">
        <f>(Table1[[#This Row],[Climbed]]*weighting!$B$18)+(Table1[[#This Row],[Adjustable Climber]]*weighting!$B$19)+(Table1[[#This Row],[Lift other Robot]]*weighting!$B$20)+(Table1[[#This Row],[Balanced]]*weighting!$B$21)</f>
        <v>0</v>
      </c>
      <c r="AL137" s="8">
        <f>+Table1[[#This Row],[Endgame our score]]+Table1[[#This Row],[teleop our score]]+Table1[[#This Row],[auton our score]]</f>
        <v>6</v>
      </c>
      <c r="AM137" s="20">
        <f t="shared" si="6"/>
        <v>0</v>
      </c>
      <c r="AN137" s="20">
        <f t="shared" si="7"/>
        <v>1</v>
      </c>
      <c r="AO137" s="20">
        <f t="shared" si="8"/>
        <v>0</v>
      </c>
      <c r="AP137" s="20">
        <f>Table1[[#This Row],[balls scored]]+Table1[[#This Row],[auton balls scored]]</f>
        <v>2</v>
      </c>
      <c r="AQ137" s="20">
        <f>Table1[[#This Row],[balls scored high]]+Table1[[#This Row],[Auton Scored High]]</f>
        <v>2</v>
      </c>
      <c r="AR137" s="20">
        <f>Table1[[#This Row],[balls scored low]]+Table1[[#This Row],[Auton Scored Low]]</f>
        <v>0</v>
      </c>
      <c r="AS137" s="50">
        <f>IF(Table1[[#This Row],[Control Panel Spun Time]]&gt;0,1,0)</f>
        <v>0</v>
      </c>
      <c r="AT137" s="20">
        <f>IF(Table1[[#This Row],[Control Panel Color Time]]&gt;0,1,0)</f>
        <v>0</v>
      </c>
    </row>
    <row r="138" spans="1:46" x14ac:dyDescent="0.25">
      <c r="A138">
        <v>2590</v>
      </c>
      <c r="B138">
        <v>1</v>
      </c>
      <c r="C138">
        <v>2</v>
      </c>
      <c r="D138">
        <v>0</v>
      </c>
      <c r="E138">
        <v>0</v>
      </c>
      <c r="F138">
        <v>0</v>
      </c>
      <c r="G138">
        <v>0</v>
      </c>
      <c r="H138">
        <v>0</v>
      </c>
      <c r="I138" s="8">
        <f>+Table1[[#This Row],[Auton ball picked up in our trench]]+Table1[[#This Row],[Auton Balls Picked Up in Mid]]+Table1[[#This Row],[Auton Balls Picked Up In Their Trench]]</f>
        <v>0</v>
      </c>
      <c r="J138" s="8">
        <f>+Table1[[#This Row],[Auton Scored High]]+Table1[[#This Row],[Auton Scored Low]]</f>
        <v>2</v>
      </c>
      <c r="K13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6</v>
      </c>
      <c r="L138">
        <v>0</v>
      </c>
      <c r="M138">
        <v>0</v>
      </c>
      <c r="N138">
        <v>0</v>
      </c>
      <c r="O138">
        <v>0</v>
      </c>
      <c r="P138">
        <v>0</v>
      </c>
      <c r="Q138">
        <v>0</v>
      </c>
      <c r="R138">
        <v>0</v>
      </c>
      <c r="S138">
        <v>0</v>
      </c>
      <c r="T138">
        <v>0</v>
      </c>
      <c r="U138">
        <v>5</v>
      </c>
      <c r="V138" s="8">
        <f>Table1[[#This Row],[Balls Scored From Trench]]+Table1[[#This Row],[Balls Scored from Mid]]+Table1[[#This Row],[Balls Scored From Alliance zone]]</f>
        <v>0</v>
      </c>
      <c r="W138" s="8">
        <f>Table1[[#This Row],[balls scored high]]+Table1[[#This Row],[balls scored low]]</f>
        <v>0</v>
      </c>
      <c r="X138" s="8">
        <f>Table1[[#This Row],[Control Panel Spun Time]]+Table1[[#This Row],[Control Panel Color Time]]</f>
        <v>0</v>
      </c>
      <c r="Y138" s="8">
        <f>Table1[[#This Row],[Control Panels Spun]]+Table1[[#This Row],[Control Panel Color]]</f>
        <v>0</v>
      </c>
      <c r="Z13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10</v>
      </c>
      <c r="AA138">
        <v>0</v>
      </c>
      <c r="AB138">
        <v>0</v>
      </c>
      <c r="AC138">
        <v>0</v>
      </c>
      <c r="AD138">
        <v>0</v>
      </c>
      <c r="AE138">
        <v>1</v>
      </c>
      <c r="AF138">
        <v>0</v>
      </c>
      <c r="AG138">
        <v>0</v>
      </c>
      <c r="AI138" t="s">
        <v>43</v>
      </c>
      <c r="AJ138" t="s">
        <v>290</v>
      </c>
      <c r="AK138" s="17">
        <f>(Table1[[#This Row],[Climbed]]*weighting!$B$18)+(Table1[[#This Row],[Adjustable Climber]]*weighting!$B$19)+(Table1[[#This Row],[Lift other Robot]]*weighting!$B$20)+(Table1[[#This Row],[Balanced]]*weighting!$B$21)</f>
        <v>0</v>
      </c>
      <c r="AL138" s="8">
        <f>+Table1[[#This Row],[Endgame our score]]+Table1[[#This Row],[teleop our score]]+Table1[[#This Row],[auton our score]]</f>
        <v>16</v>
      </c>
      <c r="AM138" s="20">
        <f t="shared" si="6"/>
        <v>1</v>
      </c>
      <c r="AN138" s="20">
        <f t="shared" si="7"/>
        <v>0</v>
      </c>
      <c r="AO138" s="20">
        <f t="shared" si="8"/>
        <v>0</v>
      </c>
      <c r="AP138" s="20">
        <f>Table1[[#This Row],[balls scored]]+Table1[[#This Row],[auton balls scored]]</f>
        <v>2</v>
      </c>
      <c r="AQ138" s="20">
        <f>Table1[[#This Row],[balls scored high]]+Table1[[#This Row],[Auton Scored High]]</f>
        <v>2</v>
      </c>
      <c r="AR138" s="20">
        <f>Table1[[#This Row],[balls scored low]]+Table1[[#This Row],[Auton Scored Low]]</f>
        <v>0</v>
      </c>
      <c r="AS138" s="50">
        <f>IF(Table1[[#This Row],[Control Panel Spun Time]]&gt;0,1,0)</f>
        <v>0</v>
      </c>
      <c r="AT138" s="20">
        <f>IF(Table1[[#This Row],[Control Panel Color Time]]&gt;0,1,0)</f>
        <v>0</v>
      </c>
    </row>
    <row r="139" spans="1:46" s="2" customFormat="1" x14ac:dyDescent="0.25">
      <c r="A139">
        <v>2590</v>
      </c>
      <c r="B139">
        <v>2</v>
      </c>
      <c r="C139">
        <v>3</v>
      </c>
      <c r="D139">
        <v>0</v>
      </c>
      <c r="E139">
        <v>0</v>
      </c>
      <c r="F139">
        <v>0</v>
      </c>
      <c r="G139">
        <v>0</v>
      </c>
      <c r="H139">
        <v>1</v>
      </c>
      <c r="I139" s="8">
        <f>+Table1[[#This Row],[Auton ball picked up in our trench]]+Table1[[#This Row],[Auton Balls Picked Up in Mid]]+Table1[[#This Row],[Auton Balls Picked Up In Their Trench]]</f>
        <v>0</v>
      </c>
      <c r="J139" s="8">
        <f>+Table1[[#This Row],[Auton Scored High]]+Table1[[#This Row],[Auton Scored Low]]</f>
        <v>3</v>
      </c>
      <c r="K13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139">
        <v>0</v>
      </c>
      <c r="M139">
        <v>1</v>
      </c>
      <c r="N139">
        <v>0</v>
      </c>
      <c r="O139">
        <v>0</v>
      </c>
      <c r="P139">
        <v>0</v>
      </c>
      <c r="Q139">
        <v>0</v>
      </c>
      <c r="R139">
        <v>0</v>
      </c>
      <c r="S139">
        <v>0</v>
      </c>
      <c r="T139">
        <v>0</v>
      </c>
      <c r="U139">
        <v>0</v>
      </c>
      <c r="V139" s="8">
        <f>Table1[[#This Row],[Balls Scored From Trench]]+Table1[[#This Row],[Balls Scored from Mid]]+Table1[[#This Row],[Balls Scored From Alliance zone]]</f>
        <v>1</v>
      </c>
      <c r="W139" s="8">
        <f>Table1[[#This Row],[balls scored high]]+Table1[[#This Row],[balls scored low]]</f>
        <v>1</v>
      </c>
      <c r="X139" s="8">
        <f>Table1[[#This Row],[Control Panel Spun Time]]+Table1[[#This Row],[Control Panel Color Time]]</f>
        <v>0</v>
      </c>
      <c r="Y139" s="8">
        <f>Table1[[#This Row],[Control Panels Spun]]+Table1[[#This Row],[Control Panel Color]]</f>
        <v>0</v>
      </c>
      <c r="Z13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2</v>
      </c>
      <c r="AA139">
        <v>1</v>
      </c>
      <c r="AB139">
        <v>0</v>
      </c>
      <c r="AC139">
        <v>0</v>
      </c>
      <c r="AD139">
        <v>0</v>
      </c>
      <c r="AE139">
        <v>0</v>
      </c>
      <c r="AF139">
        <v>0</v>
      </c>
      <c r="AG139">
        <v>0</v>
      </c>
      <c r="AH139"/>
      <c r="AI139" t="s">
        <v>176</v>
      </c>
      <c r="AJ139"/>
      <c r="AK139" s="17">
        <f>(Table1[[#This Row],[Climbed]]*weighting!$B$18)+(Table1[[#This Row],[Adjustable Climber]]*weighting!$B$19)+(Table1[[#This Row],[Lift other Robot]]*weighting!$B$20)+(Table1[[#This Row],[Balanced]]*weighting!$B$21)</f>
        <v>25</v>
      </c>
      <c r="AL139" s="8">
        <f>+Table1[[#This Row],[Endgame our score]]+Table1[[#This Row],[teleop our score]]+Table1[[#This Row],[auton our score]]</f>
        <v>37</v>
      </c>
      <c r="AM139" s="20">
        <f t="shared" si="6"/>
        <v>0</v>
      </c>
      <c r="AN139" s="20">
        <f t="shared" si="7"/>
        <v>1</v>
      </c>
      <c r="AO139" s="20">
        <f t="shared" si="8"/>
        <v>0</v>
      </c>
      <c r="AP139" s="20">
        <f>Table1[[#This Row],[balls scored]]+Table1[[#This Row],[auton balls scored]]</f>
        <v>4</v>
      </c>
      <c r="AQ139" s="20">
        <f>Table1[[#This Row],[balls scored high]]+Table1[[#This Row],[Auton Scored High]]</f>
        <v>4</v>
      </c>
      <c r="AR139" s="20">
        <f>Table1[[#This Row],[balls scored low]]+Table1[[#This Row],[Auton Scored Low]]</f>
        <v>0</v>
      </c>
      <c r="AS139" s="50">
        <f>IF(Table1[[#This Row],[Control Panel Spun Time]]&gt;0,1,0)</f>
        <v>0</v>
      </c>
      <c r="AT139" s="20">
        <f>IF(Table1[[#This Row],[Control Panel Color Time]]&gt;0,1,0)</f>
        <v>0</v>
      </c>
    </row>
    <row r="140" spans="1:46" x14ac:dyDescent="0.25">
      <c r="A140">
        <v>2590</v>
      </c>
      <c r="B140">
        <v>3</v>
      </c>
      <c r="C140">
        <v>2</v>
      </c>
      <c r="D140">
        <v>0</v>
      </c>
      <c r="E140">
        <v>0</v>
      </c>
      <c r="F140">
        <v>0</v>
      </c>
      <c r="G140">
        <v>0</v>
      </c>
      <c r="H140">
        <v>1</v>
      </c>
      <c r="I140" s="8">
        <f>+Table1[[#This Row],[Auton ball picked up in our trench]]+Table1[[#This Row],[Auton Balls Picked Up in Mid]]+Table1[[#This Row],[Auton Balls Picked Up In Their Trench]]</f>
        <v>0</v>
      </c>
      <c r="J140" s="8">
        <f>+Table1[[#This Row],[Auton Scored High]]+Table1[[#This Row],[Auton Scored Low]]</f>
        <v>2</v>
      </c>
      <c r="K14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7</v>
      </c>
      <c r="L140">
        <v>0</v>
      </c>
      <c r="M140">
        <v>0</v>
      </c>
      <c r="N140">
        <v>0</v>
      </c>
      <c r="O140">
        <v>0</v>
      </c>
      <c r="P140">
        <v>0</v>
      </c>
      <c r="Q140">
        <v>0</v>
      </c>
      <c r="R140">
        <v>0</v>
      </c>
      <c r="S140">
        <v>0</v>
      </c>
      <c r="T140">
        <v>0</v>
      </c>
      <c r="U140">
        <v>2.5</v>
      </c>
      <c r="V140" s="8">
        <f>Table1[[#This Row],[Balls Scored From Trench]]+Table1[[#This Row],[Balls Scored from Mid]]+Table1[[#This Row],[Balls Scored From Alliance zone]]</f>
        <v>0</v>
      </c>
      <c r="W140" s="8">
        <f>Table1[[#This Row],[balls scored high]]+Table1[[#This Row],[balls scored low]]</f>
        <v>0</v>
      </c>
      <c r="X140" s="8">
        <f>Table1[[#This Row],[Control Panel Spun Time]]+Table1[[#This Row],[Control Panel Color Time]]</f>
        <v>0</v>
      </c>
      <c r="Y140" s="8">
        <f>Table1[[#This Row],[Control Panels Spun]]+Table1[[#This Row],[Control Panel Color]]</f>
        <v>0</v>
      </c>
      <c r="Z14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5</v>
      </c>
      <c r="AA140">
        <v>1</v>
      </c>
      <c r="AB140">
        <v>0</v>
      </c>
      <c r="AC140">
        <v>0</v>
      </c>
      <c r="AD140">
        <v>0</v>
      </c>
      <c r="AE140">
        <v>1</v>
      </c>
      <c r="AF140">
        <v>0</v>
      </c>
      <c r="AG140">
        <v>0</v>
      </c>
      <c r="AI140" t="s">
        <v>179</v>
      </c>
      <c r="AJ140" t="s">
        <v>323</v>
      </c>
      <c r="AK140" s="17">
        <f>(Table1[[#This Row],[Climbed]]*weighting!$B$18)+(Table1[[#This Row],[Adjustable Climber]]*weighting!$B$19)+(Table1[[#This Row],[Lift other Robot]]*weighting!$B$20)+(Table1[[#This Row],[Balanced]]*weighting!$B$21)</f>
        <v>25</v>
      </c>
      <c r="AL140" s="8">
        <f>+Table1[[#This Row],[Endgame our score]]+Table1[[#This Row],[teleop our score]]+Table1[[#This Row],[auton our score]]</f>
        <v>37</v>
      </c>
      <c r="AM140" s="20">
        <f t="shared" si="6"/>
        <v>0</v>
      </c>
      <c r="AN140" s="20">
        <f t="shared" si="7"/>
        <v>0</v>
      </c>
      <c r="AO140" s="20">
        <f t="shared" si="8"/>
        <v>1</v>
      </c>
      <c r="AP140" s="20">
        <f>Table1[[#This Row],[balls scored]]+Table1[[#This Row],[auton balls scored]]</f>
        <v>2</v>
      </c>
      <c r="AQ140" s="20">
        <f>Table1[[#This Row],[balls scored high]]+Table1[[#This Row],[Auton Scored High]]</f>
        <v>2</v>
      </c>
      <c r="AR140" s="20">
        <f>Table1[[#This Row],[balls scored low]]+Table1[[#This Row],[Auton Scored Low]]</f>
        <v>0</v>
      </c>
      <c r="AS140" s="50">
        <f>IF(Table1[[#This Row],[Control Panel Spun Time]]&gt;0,1,0)</f>
        <v>0</v>
      </c>
      <c r="AT140" s="20">
        <f>IF(Table1[[#This Row],[Control Panel Color Time]]&gt;0,1,0)</f>
        <v>0</v>
      </c>
    </row>
    <row r="141" spans="1:46" s="2" customFormat="1" x14ac:dyDescent="0.25">
      <c r="A141">
        <v>2877</v>
      </c>
      <c r="B141">
        <v>3</v>
      </c>
      <c r="C141">
        <v>0</v>
      </c>
      <c r="D141">
        <v>0</v>
      </c>
      <c r="E141">
        <v>0</v>
      </c>
      <c r="F141">
        <v>0</v>
      </c>
      <c r="G141">
        <v>0</v>
      </c>
      <c r="H141">
        <v>0</v>
      </c>
      <c r="I141" s="8">
        <f>+Table1[[#This Row],[Auton ball picked up in our trench]]+Table1[[#This Row],[Auton Balls Picked Up in Mid]]+Table1[[#This Row],[Auton Balls Picked Up In Their Trench]]</f>
        <v>0</v>
      </c>
      <c r="J141" s="8">
        <f>+Table1[[#This Row],[Auton Scored High]]+Table1[[#This Row],[Auton Scored Low]]</f>
        <v>0</v>
      </c>
      <c r="K14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141">
        <v>0</v>
      </c>
      <c r="M141">
        <v>0</v>
      </c>
      <c r="N141">
        <v>6</v>
      </c>
      <c r="O141">
        <v>0</v>
      </c>
      <c r="P141">
        <v>0</v>
      </c>
      <c r="Q141">
        <v>0</v>
      </c>
      <c r="R141">
        <v>0</v>
      </c>
      <c r="S141">
        <v>0</v>
      </c>
      <c r="T141">
        <v>0</v>
      </c>
      <c r="U141">
        <v>0</v>
      </c>
      <c r="V141" s="8">
        <f>Table1[[#This Row],[Balls Scored From Trench]]+Table1[[#This Row],[Balls Scored from Mid]]+Table1[[#This Row],[Balls Scored From Alliance zone]]</f>
        <v>6</v>
      </c>
      <c r="W141" s="8">
        <f>Table1[[#This Row],[balls scored high]]+Table1[[#This Row],[balls scored low]]</f>
        <v>6</v>
      </c>
      <c r="X141" s="8">
        <f>Table1[[#This Row],[Control Panel Spun Time]]+Table1[[#This Row],[Control Panel Color Time]]</f>
        <v>0</v>
      </c>
      <c r="Y141" s="8">
        <f>Table1[[#This Row],[Control Panels Spun]]+Table1[[#This Row],[Control Panel Color]]</f>
        <v>0</v>
      </c>
      <c r="Z14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6</v>
      </c>
      <c r="AA141">
        <v>0</v>
      </c>
      <c r="AB141">
        <v>0</v>
      </c>
      <c r="AC141">
        <v>0</v>
      </c>
      <c r="AD141">
        <v>0</v>
      </c>
      <c r="AE141">
        <v>0</v>
      </c>
      <c r="AF141">
        <v>0</v>
      </c>
      <c r="AG141">
        <v>0</v>
      </c>
      <c r="AH141"/>
      <c r="AI141" t="s">
        <v>179</v>
      </c>
      <c r="AJ141" t="s">
        <v>193</v>
      </c>
      <c r="AK141" s="17">
        <f>(Table1[[#This Row],[Climbed]]*weighting!$B$18)+(Table1[[#This Row],[Adjustable Climber]]*weighting!$B$19)+(Table1[[#This Row],[Lift other Robot]]*weighting!$B$20)+(Table1[[#This Row],[Balanced]]*weighting!$B$21)</f>
        <v>0</v>
      </c>
      <c r="AL141" s="8">
        <f>+Table1[[#This Row],[Endgame our score]]+Table1[[#This Row],[teleop our score]]+Table1[[#This Row],[auton our score]]</f>
        <v>6</v>
      </c>
      <c r="AM141" s="20">
        <f t="shared" si="6"/>
        <v>0</v>
      </c>
      <c r="AN141" s="20">
        <f t="shared" si="7"/>
        <v>0</v>
      </c>
      <c r="AO141" s="20">
        <f t="shared" si="8"/>
        <v>1</v>
      </c>
      <c r="AP141" s="20">
        <f>Table1[[#This Row],[balls scored]]+Table1[[#This Row],[auton balls scored]]</f>
        <v>6</v>
      </c>
      <c r="AQ141" s="20">
        <f>Table1[[#This Row],[balls scored high]]+Table1[[#This Row],[Auton Scored High]]</f>
        <v>6</v>
      </c>
      <c r="AR141" s="20">
        <f>Table1[[#This Row],[balls scored low]]+Table1[[#This Row],[Auton Scored Low]]</f>
        <v>0</v>
      </c>
      <c r="AS141" s="50">
        <f>IF(Table1[[#This Row],[Control Panel Spun Time]]&gt;0,1,0)</f>
        <v>0</v>
      </c>
      <c r="AT141" s="20">
        <f>IF(Table1[[#This Row],[Control Panel Color Time]]&gt;0,1,0)</f>
        <v>0</v>
      </c>
    </row>
    <row r="142" spans="1:46" x14ac:dyDescent="0.25">
      <c r="A142">
        <v>2877</v>
      </c>
      <c r="B142">
        <v>3</v>
      </c>
      <c r="C142">
        <v>2</v>
      </c>
      <c r="D142">
        <v>0</v>
      </c>
      <c r="E142">
        <v>0</v>
      </c>
      <c r="F142">
        <v>0</v>
      </c>
      <c r="G142">
        <v>0</v>
      </c>
      <c r="H142">
        <v>0</v>
      </c>
      <c r="I142" s="8">
        <f>+Table1[[#This Row],[Auton ball picked up in our trench]]+Table1[[#This Row],[Auton Balls Picked Up in Mid]]+Table1[[#This Row],[Auton Balls Picked Up In Their Trench]]</f>
        <v>0</v>
      </c>
      <c r="J142" s="8">
        <f>+Table1[[#This Row],[Auton Scored High]]+Table1[[#This Row],[Auton Scored Low]]</f>
        <v>2</v>
      </c>
      <c r="K14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6</v>
      </c>
      <c r="L142">
        <v>0</v>
      </c>
      <c r="M142">
        <v>0</v>
      </c>
      <c r="N142">
        <v>3</v>
      </c>
      <c r="O142">
        <v>0</v>
      </c>
      <c r="P142">
        <v>0</v>
      </c>
      <c r="Q142">
        <v>0</v>
      </c>
      <c r="R142">
        <v>0</v>
      </c>
      <c r="S142">
        <v>0</v>
      </c>
      <c r="T142">
        <v>0</v>
      </c>
      <c r="U142">
        <v>0</v>
      </c>
      <c r="V142" s="8">
        <f>Table1[[#This Row],[Balls Scored From Trench]]+Table1[[#This Row],[Balls Scored from Mid]]+Table1[[#This Row],[Balls Scored From Alliance zone]]</f>
        <v>3</v>
      </c>
      <c r="W142" s="8">
        <f>Table1[[#This Row],[balls scored high]]+Table1[[#This Row],[balls scored low]]</f>
        <v>3</v>
      </c>
      <c r="X142" s="8">
        <f>Table1[[#This Row],[Control Panel Spun Time]]+Table1[[#This Row],[Control Panel Color Time]]</f>
        <v>0</v>
      </c>
      <c r="Y142" s="8">
        <f>Table1[[#This Row],[Control Panels Spun]]+Table1[[#This Row],[Control Panel Color]]</f>
        <v>0</v>
      </c>
      <c r="Z14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3</v>
      </c>
      <c r="AA142">
        <v>0</v>
      </c>
      <c r="AB142">
        <v>0</v>
      </c>
      <c r="AC142">
        <v>0</v>
      </c>
      <c r="AD142">
        <v>0</v>
      </c>
      <c r="AE142">
        <v>0</v>
      </c>
      <c r="AF142">
        <v>1</v>
      </c>
      <c r="AG142">
        <v>1</v>
      </c>
      <c r="AI142" t="s">
        <v>184</v>
      </c>
      <c r="AJ142" t="s">
        <v>194</v>
      </c>
      <c r="AK142" s="17">
        <f>(Table1[[#This Row],[Climbed]]*weighting!$B$18)+(Table1[[#This Row],[Adjustable Climber]]*weighting!$B$19)+(Table1[[#This Row],[Lift other Robot]]*weighting!$B$20)+(Table1[[#This Row],[Balanced]]*weighting!$B$21)</f>
        <v>0</v>
      </c>
      <c r="AL142" s="8">
        <f>+Table1[[#This Row],[Endgame our score]]+Table1[[#This Row],[teleop our score]]+Table1[[#This Row],[auton our score]]</f>
        <v>9</v>
      </c>
      <c r="AM142" s="20">
        <f t="shared" si="6"/>
        <v>0</v>
      </c>
      <c r="AN142" s="20">
        <f t="shared" si="7"/>
        <v>0</v>
      </c>
      <c r="AO142" s="20">
        <f t="shared" si="8"/>
        <v>1</v>
      </c>
      <c r="AP142" s="20">
        <f>Table1[[#This Row],[balls scored]]+Table1[[#This Row],[auton balls scored]]</f>
        <v>5</v>
      </c>
      <c r="AQ142" s="20">
        <f>Table1[[#This Row],[balls scored high]]+Table1[[#This Row],[Auton Scored High]]</f>
        <v>5</v>
      </c>
      <c r="AR142" s="20">
        <f>Table1[[#This Row],[balls scored low]]+Table1[[#This Row],[Auton Scored Low]]</f>
        <v>0</v>
      </c>
      <c r="AS142" s="50">
        <f>IF(Table1[[#This Row],[Control Panel Spun Time]]&gt;0,1,0)</f>
        <v>0</v>
      </c>
      <c r="AT142" s="20">
        <f>IF(Table1[[#This Row],[Control Panel Color Time]]&gt;0,1,0)</f>
        <v>0</v>
      </c>
    </row>
    <row r="143" spans="1:46" s="2" customFormat="1" x14ac:dyDescent="0.25">
      <c r="A143">
        <v>2877</v>
      </c>
      <c r="B143">
        <v>3</v>
      </c>
      <c r="C143">
        <v>0</v>
      </c>
      <c r="D143">
        <v>0</v>
      </c>
      <c r="E143">
        <v>0</v>
      </c>
      <c r="F143">
        <v>0</v>
      </c>
      <c r="G143">
        <v>0</v>
      </c>
      <c r="H143">
        <v>0</v>
      </c>
      <c r="I143" s="8">
        <f>+Table1[[#This Row],[Auton ball picked up in our trench]]+Table1[[#This Row],[Auton Balls Picked Up in Mid]]+Table1[[#This Row],[Auton Balls Picked Up In Their Trench]]</f>
        <v>0</v>
      </c>
      <c r="J143" s="8">
        <f>+Table1[[#This Row],[Auton Scored High]]+Table1[[#This Row],[Auton Scored Low]]</f>
        <v>0</v>
      </c>
      <c r="K14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143">
        <v>0</v>
      </c>
      <c r="M143">
        <v>0</v>
      </c>
      <c r="N143">
        <v>0</v>
      </c>
      <c r="O143">
        <v>0</v>
      </c>
      <c r="P143">
        <v>0</v>
      </c>
      <c r="Q143">
        <v>0</v>
      </c>
      <c r="R143">
        <v>0</v>
      </c>
      <c r="S143">
        <v>0</v>
      </c>
      <c r="T143">
        <v>0</v>
      </c>
      <c r="U143">
        <v>0</v>
      </c>
      <c r="V143" s="8">
        <f>Table1[[#This Row],[Balls Scored From Trench]]+Table1[[#This Row],[Balls Scored from Mid]]+Table1[[#This Row],[Balls Scored From Alliance zone]]</f>
        <v>0</v>
      </c>
      <c r="W143" s="8">
        <f>Table1[[#This Row],[balls scored high]]+Table1[[#This Row],[balls scored low]]</f>
        <v>0</v>
      </c>
      <c r="X143" s="8">
        <f>Table1[[#This Row],[Control Panel Spun Time]]+Table1[[#This Row],[Control Panel Color Time]]</f>
        <v>0</v>
      </c>
      <c r="Y143" s="8">
        <f>Table1[[#This Row],[Control Panels Spun]]+Table1[[#This Row],[Control Panel Color]]</f>
        <v>0</v>
      </c>
      <c r="Z14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143">
        <v>0</v>
      </c>
      <c r="AB143">
        <v>0</v>
      </c>
      <c r="AC143">
        <v>0</v>
      </c>
      <c r="AD143">
        <v>0</v>
      </c>
      <c r="AE143">
        <v>0</v>
      </c>
      <c r="AF143">
        <v>1</v>
      </c>
      <c r="AG143">
        <v>0</v>
      </c>
      <c r="AH143"/>
      <c r="AI143" t="s">
        <v>116</v>
      </c>
      <c r="AJ143" t="s">
        <v>232</v>
      </c>
      <c r="AK143" s="17">
        <f>(Table1[[#This Row],[Climbed]]*weighting!$B$18)+(Table1[[#This Row],[Adjustable Climber]]*weighting!$B$19)+(Table1[[#This Row],[Lift other Robot]]*weighting!$B$20)+(Table1[[#This Row],[Balanced]]*weighting!$B$21)</f>
        <v>0</v>
      </c>
      <c r="AL143" s="8">
        <f>+Table1[[#This Row],[Endgame our score]]+Table1[[#This Row],[teleop our score]]+Table1[[#This Row],[auton our score]]</f>
        <v>0</v>
      </c>
      <c r="AM143" s="20">
        <f t="shared" si="6"/>
        <v>0</v>
      </c>
      <c r="AN143" s="20">
        <f t="shared" si="7"/>
        <v>0</v>
      </c>
      <c r="AO143" s="20">
        <f t="shared" si="8"/>
        <v>1</v>
      </c>
      <c r="AP143" s="20">
        <f>Table1[[#This Row],[balls scored]]+Table1[[#This Row],[auton balls scored]]</f>
        <v>0</v>
      </c>
      <c r="AQ143" s="20">
        <f>Table1[[#This Row],[balls scored high]]+Table1[[#This Row],[Auton Scored High]]</f>
        <v>0</v>
      </c>
      <c r="AR143" s="20">
        <f>Table1[[#This Row],[balls scored low]]+Table1[[#This Row],[Auton Scored Low]]</f>
        <v>0</v>
      </c>
      <c r="AS143" s="50">
        <f>IF(Table1[[#This Row],[Control Panel Spun Time]]&gt;0,1,0)</f>
        <v>0</v>
      </c>
      <c r="AT143" s="20">
        <f>IF(Table1[[#This Row],[Control Panel Color Time]]&gt;0,1,0)</f>
        <v>0</v>
      </c>
    </row>
    <row r="144" spans="1:46" x14ac:dyDescent="0.25">
      <c r="A144">
        <v>2877</v>
      </c>
      <c r="B144">
        <v>3</v>
      </c>
      <c r="C144">
        <v>0</v>
      </c>
      <c r="D144">
        <v>0</v>
      </c>
      <c r="E144">
        <v>0</v>
      </c>
      <c r="F144">
        <v>0</v>
      </c>
      <c r="G144">
        <v>0</v>
      </c>
      <c r="H144">
        <v>0</v>
      </c>
      <c r="I144" s="8">
        <f>+Table1[[#This Row],[Auton ball picked up in our trench]]+Table1[[#This Row],[Auton Balls Picked Up in Mid]]+Table1[[#This Row],[Auton Balls Picked Up In Their Trench]]</f>
        <v>0</v>
      </c>
      <c r="J144" s="8">
        <f>+Table1[[#This Row],[Auton Scored High]]+Table1[[#This Row],[Auton Scored Low]]</f>
        <v>0</v>
      </c>
      <c r="K14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144">
        <v>0</v>
      </c>
      <c r="M144">
        <v>0</v>
      </c>
      <c r="N144">
        <v>0</v>
      </c>
      <c r="O144">
        <v>0</v>
      </c>
      <c r="P144">
        <v>0</v>
      </c>
      <c r="Q144">
        <v>0</v>
      </c>
      <c r="R144">
        <v>0</v>
      </c>
      <c r="S144">
        <v>0</v>
      </c>
      <c r="T144">
        <v>0</v>
      </c>
      <c r="U144">
        <v>0</v>
      </c>
      <c r="V144" s="8">
        <f>Table1[[#This Row],[Balls Scored From Trench]]+Table1[[#This Row],[Balls Scored from Mid]]+Table1[[#This Row],[Balls Scored From Alliance zone]]</f>
        <v>0</v>
      </c>
      <c r="W144" s="8">
        <f>Table1[[#This Row],[balls scored high]]+Table1[[#This Row],[balls scored low]]</f>
        <v>0</v>
      </c>
      <c r="X144" s="8">
        <f>Table1[[#This Row],[Control Panel Spun Time]]+Table1[[#This Row],[Control Panel Color Time]]</f>
        <v>0</v>
      </c>
      <c r="Y144" s="8">
        <f>Table1[[#This Row],[Control Panels Spun]]+Table1[[#This Row],[Control Panel Color]]</f>
        <v>0</v>
      </c>
      <c r="Z14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144">
        <v>0</v>
      </c>
      <c r="AB144">
        <v>0</v>
      </c>
      <c r="AC144">
        <v>0</v>
      </c>
      <c r="AD144">
        <v>0</v>
      </c>
      <c r="AE144">
        <v>0</v>
      </c>
      <c r="AF144">
        <v>1</v>
      </c>
      <c r="AG144">
        <v>0</v>
      </c>
      <c r="AI144" t="s">
        <v>174</v>
      </c>
      <c r="AJ144" t="s">
        <v>233</v>
      </c>
      <c r="AK144" s="17">
        <f>(Table1[[#This Row],[Climbed]]*weighting!$B$18)+(Table1[[#This Row],[Adjustable Climber]]*weighting!$B$19)+(Table1[[#This Row],[Lift other Robot]]*weighting!$B$20)+(Table1[[#This Row],[Balanced]]*weighting!$B$21)</f>
        <v>0</v>
      </c>
      <c r="AL144" s="8">
        <f>+Table1[[#This Row],[Endgame our score]]+Table1[[#This Row],[teleop our score]]+Table1[[#This Row],[auton our score]]</f>
        <v>0</v>
      </c>
      <c r="AM144" s="20">
        <f t="shared" si="6"/>
        <v>0</v>
      </c>
      <c r="AN144" s="20">
        <f t="shared" si="7"/>
        <v>0</v>
      </c>
      <c r="AO144" s="20">
        <f t="shared" si="8"/>
        <v>1</v>
      </c>
      <c r="AP144" s="20">
        <f>Table1[[#This Row],[balls scored]]+Table1[[#This Row],[auton balls scored]]</f>
        <v>0</v>
      </c>
      <c r="AQ144" s="20">
        <f>Table1[[#This Row],[balls scored high]]+Table1[[#This Row],[Auton Scored High]]</f>
        <v>0</v>
      </c>
      <c r="AR144" s="20">
        <f>Table1[[#This Row],[balls scored low]]+Table1[[#This Row],[Auton Scored Low]]</f>
        <v>0</v>
      </c>
      <c r="AS144" s="50">
        <f>IF(Table1[[#This Row],[Control Panel Spun Time]]&gt;0,1,0)</f>
        <v>0</v>
      </c>
      <c r="AT144" s="20">
        <f>IF(Table1[[#This Row],[Control Panel Color Time]]&gt;0,1,0)</f>
        <v>0</v>
      </c>
    </row>
    <row r="145" spans="1:46" s="2" customFormat="1" x14ac:dyDescent="0.25">
      <c r="A145">
        <v>2877</v>
      </c>
      <c r="B145">
        <v>3</v>
      </c>
      <c r="C145">
        <v>0</v>
      </c>
      <c r="D145">
        <v>0</v>
      </c>
      <c r="E145">
        <v>0</v>
      </c>
      <c r="F145">
        <v>0</v>
      </c>
      <c r="G145">
        <v>0</v>
      </c>
      <c r="H145">
        <v>0</v>
      </c>
      <c r="I145" s="8">
        <f>+Table1[[#This Row],[Auton ball picked up in our trench]]+Table1[[#This Row],[Auton Balls Picked Up in Mid]]+Table1[[#This Row],[Auton Balls Picked Up In Their Trench]]</f>
        <v>0</v>
      </c>
      <c r="J145" s="8">
        <f>+Table1[[#This Row],[Auton Scored High]]+Table1[[#This Row],[Auton Scored Low]]</f>
        <v>0</v>
      </c>
      <c r="K14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145">
        <v>0</v>
      </c>
      <c r="M145">
        <v>0</v>
      </c>
      <c r="N145">
        <v>3</v>
      </c>
      <c r="O145">
        <v>0</v>
      </c>
      <c r="P145">
        <v>0</v>
      </c>
      <c r="Q145">
        <v>0</v>
      </c>
      <c r="R145">
        <v>0</v>
      </c>
      <c r="S145">
        <v>0</v>
      </c>
      <c r="T145">
        <v>0</v>
      </c>
      <c r="U145">
        <v>0</v>
      </c>
      <c r="V145" s="8">
        <f>Table1[[#This Row],[Balls Scored From Trench]]+Table1[[#This Row],[Balls Scored from Mid]]+Table1[[#This Row],[Balls Scored From Alliance zone]]</f>
        <v>3</v>
      </c>
      <c r="W145" s="8">
        <f>Table1[[#This Row],[balls scored high]]+Table1[[#This Row],[balls scored low]]</f>
        <v>3</v>
      </c>
      <c r="X145" s="8">
        <f>Table1[[#This Row],[Control Panel Spun Time]]+Table1[[#This Row],[Control Panel Color Time]]</f>
        <v>0</v>
      </c>
      <c r="Y145" s="8">
        <f>Table1[[#This Row],[Control Panels Spun]]+Table1[[#This Row],[Control Panel Color]]</f>
        <v>0</v>
      </c>
      <c r="Z14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3</v>
      </c>
      <c r="AA145">
        <v>0</v>
      </c>
      <c r="AB145">
        <v>0</v>
      </c>
      <c r="AC145">
        <v>0</v>
      </c>
      <c r="AD145">
        <v>0</v>
      </c>
      <c r="AE145">
        <v>0</v>
      </c>
      <c r="AF145">
        <v>0</v>
      </c>
      <c r="AG145">
        <v>0</v>
      </c>
      <c r="AH145"/>
      <c r="AI145" t="s">
        <v>184</v>
      </c>
      <c r="AJ145" t="s">
        <v>257</v>
      </c>
      <c r="AK145" s="17">
        <f>(Table1[[#This Row],[Climbed]]*weighting!$B$18)+(Table1[[#This Row],[Adjustable Climber]]*weighting!$B$19)+(Table1[[#This Row],[Lift other Robot]]*weighting!$B$20)+(Table1[[#This Row],[Balanced]]*weighting!$B$21)</f>
        <v>0</v>
      </c>
      <c r="AL145" s="8">
        <f>+Table1[[#This Row],[Endgame our score]]+Table1[[#This Row],[teleop our score]]+Table1[[#This Row],[auton our score]]</f>
        <v>3</v>
      </c>
      <c r="AM145" s="20">
        <f t="shared" si="6"/>
        <v>0</v>
      </c>
      <c r="AN145" s="20">
        <f t="shared" si="7"/>
        <v>0</v>
      </c>
      <c r="AO145" s="20">
        <f t="shared" si="8"/>
        <v>1</v>
      </c>
      <c r="AP145" s="20">
        <f>Table1[[#This Row],[balls scored]]+Table1[[#This Row],[auton balls scored]]</f>
        <v>3</v>
      </c>
      <c r="AQ145" s="20">
        <f>Table1[[#This Row],[balls scored high]]+Table1[[#This Row],[Auton Scored High]]</f>
        <v>3</v>
      </c>
      <c r="AR145" s="20">
        <f>Table1[[#This Row],[balls scored low]]+Table1[[#This Row],[Auton Scored Low]]</f>
        <v>0</v>
      </c>
      <c r="AS145" s="50">
        <f>IF(Table1[[#This Row],[Control Panel Spun Time]]&gt;0,1,0)</f>
        <v>0</v>
      </c>
      <c r="AT145" s="20">
        <f>IF(Table1[[#This Row],[Control Panel Color Time]]&gt;0,1,0)</f>
        <v>0</v>
      </c>
    </row>
    <row r="146" spans="1:46" x14ac:dyDescent="0.25">
      <c r="A146">
        <v>2877</v>
      </c>
      <c r="B146">
        <v>3</v>
      </c>
      <c r="C146">
        <v>0</v>
      </c>
      <c r="D146">
        <v>0</v>
      </c>
      <c r="E146">
        <v>0</v>
      </c>
      <c r="F146">
        <v>0</v>
      </c>
      <c r="G146">
        <v>0</v>
      </c>
      <c r="H146">
        <v>0</v>
      </c>
      <c r="I146" s="8">
        <f>+Table1[[#This Row],[Auton ball picked up in our trench]]+Table1[[#This Row],[Auton Balls Picked Up in Mid]]+Table1[[#This Row],[Auton Balls Picked Up In Their Trench]]</f>
        <v>0</v>
      </c>
      <c r="J146" s="8">
        <f>+Table1[[#This Row],[Auton Scored High]]+Table1[[#This Row],[Auton Scored Low]]</f>
        <v>0</v>
      </c>
      <c r="K14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146">
        <v>0</v>
      </c>
      <c r="M146">
        <v>0</v>
      </c>
      <c r="N146">
        <v>0</v>
      </c>
      <c r="O146">
        <v>0</v>
      </c>
      <c r="P146">
        <v>0</v>
      </c>
      <c r="Q146">
        <v>0</v>
      </c>
      <c r="R146">
        <v>0</v>
      </c>
      <c r="S146">
        <v>0</v>
      </c>
      <c r="T146">
        <v>0</v>
      </c>
      <c r="U146">
        <v>0</v>
      </c>
      <c r="V146" s="8">
        <f>Table1[[#This Row],[Balls Scored From Trench]]+Table1[[#This Row],[Balls Scored from Mid]]+Table1[[#This Row],[Balls Scored From Alliance zone]]</f>
        <v>0</v>
      </c>
      <c r="W146" s="8">
        <f>Table1[[#This Row],[balls scored high]]+Table1[[#This Row],[balls scored low]]</f>
        <v>0</v>
      </c>
      <c r="X146" s="8">
        <f>Table1[[#This Row],[Control Panel Spun Time]]+Table1[[#This Row],[Control Panel Color Time]]</f>
        <v>0</v>
      </c>
      <c r="Y146" s="8">
        <f>Table1[[#This Row],[Control Panels Spun]]+Table1[[#This Row],[Control Panel Color]]</f>
        <v>0</v>
      </c>
      <c r="Z14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146">
        <v>0</v>
      </c>
      <c r="AB146">
        <v>0</v>
      </c>
      <c r="AC146">
        <v>0</v>
      </c>
      <c r="AD146">
        <v>0</v>
      </c>
      <c r="AE146">
        <v>1</v>
      </c>
      <c r="AF146">
        <v>0</v>
      </c>
      <c r="AG146">
        <v>0</v>
      </c>
      <c r="AI146" t="s">
        <v>184</v>
      </c>
      <c r="AJ146" t="s">
        <v>258</v>
      </c>
      <c r="AK146" s="17">
        <f>(Table1[[#This Row],[Climbed]]*weighting!$B$18)+(Table1[[#This Row],[Adjustable Climber]]*weighting!$B$19)+(Table1[[#This Row],[Lift other Robot]]*weighting!$B$20)+(Table1[[#This Row],[Balanced]]*weighting!$B$21)</f>
        <v>0</v>
      </c>
      <c r="AL146" s="8">
        <f>+Table1[[#This Row],[Endgame our score]]+Table1[[#This Row],[teleop our score]]+Table1[[#This Row],[auton our score]]</f>
        <v>0</v>
      </c>
      <c r="AM146" s="20">
        <f t="shared" si="6"/>
        <v>0</v>
      </c>
      <c r="AN146" s="20">
        <f t="shared" si="7"/>
        <v>0</v>
      </c>
      <c r="AO146" s="20">
        <f t="shared" si="8"/>
        <v>1</v>
      </c>
      <c r="AP146" s="20">
        <f>Table1[[#This Row],[balls scored]]+Table1[[#This Row],[auton balls scored]]</f>
        <v>0</v>
      </c>
      <c r="AQ146" s="20">
        <f>Table1[[#This Row],[balls scored high]]+Table1[[#This Row],[Auton Scored High]]</f>
        <v>0</v>
      </c>
      <c r="AR146" s="20">
        <f>Table1[[#This Row],[balls scored low]]+Table1[[#This Row],[Auton Scored Low]]</f>
        <v>0</v>
      </c>
      <c r="AS146" s="50">
        <f>IF(Table1[[#This Row],[Control Panel Spun Time]]&gt;0,1,0)</f>
        <v>0</v>
      </c>
      <c r="AT146" s="20">
        <f>IF(Table1[[#This Row],[Control Panel Color Time]]&gt;0,1,0)</f>
        <v>0</v>
      </c>
    </row>
    <row r="147" spans="1:46" s="2" customFormat="1" x14ac:dyDescent="0.25">
      <c r="A147">
        <v>2877</v>
      </c>
      <c r="B147">
        <v>1</v>
      </c>
      <c r="C147">
        <v>1</v>
      </c>
      <c r="D147">
        <v>0</v>
      </c>
      <c r="E147">
        <v>0</v>
      </c>
      <c r="F147">
        <v>0</v>
      </c>
      <c r="G147">
        <v>0</v>
      </c>
      <c r="H147">
        <v>1</v>
      </c>
      <c r="I147" s="8">
        <f>+Table1[[#This Row],[Auton ball picked up in our trench]]+Table1[[#This Row],[Auton Balls Picked Up in Mid]]+Table1[[#This Row],[Auton Balls Picked Up In Their Trench]]</f>
        <v>0</v>
      </c>
      <c r="J147" s="8">
        <f>+Table1[[#This Row],[Auton Scored High]]+Table1[[#This Row],[Auton Scored Low]]</f>
        <v>1</v>
      </c>
      <c r="K14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4</v>
      </c>
      <c r="L147">
        <v>0</v>
      </c>
      <c r="M147">
        <v>0</v>
      </c>
      <c r="N147">
        <v>5</v>
      </c>
      <c r="O147">
        <v>0</v>
      </c>
      <c r="P147">
        <v>0</v>
      </c>
      <c r="Q147">
        <v>0</v>
      </c>
      <c r="R147">
        <v>0</v>
      </c>
      <c r="S147">
        <v>0</v>
      </c>
      <c r="T147">
        <v>0</v>
      </c>
      <c r="U147">
        <v>0</v>
      </c>
      <c r="V147" s="8">
        <f>Table1[[#This Row],[Balls Scored From Trench]]+Table1[[#This Row],[Balls Scored from Mid]]+Table1[[#This Row],[Balls Scored From Alliance zone]]</f>
        <v>5</v>
      </c>
      <c r="W147" s="8">
        <f>Table1[[#This Row],[balls scored high]]+Table1[[#This Row],[balls scored low]]</f>
        <v>5</v>
      </c>
      <c r="X147" s="8">
        <f>Table1[[#This Row],[Control Panel Spun Time]]+Table1[[#This Row],[Control Panel Color Time]]</f>
        <v>0</v>
      </c>
      <c r="Y147" s="8">
        <f>Table1[[#This Row],[Control Panels Spun]]+Table1[[#This Row],[Control Panel Color]]</f>
        <v>0</v>
      </c>
      <c r="Z14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5</v>
      </c>
      <c r="AA147">
        <v>0</v>
      </c>
      <c r="AB147">
        <v>0</v>
      </c>
      <c r="AC147">
        <v>0</v>
      </c>
      <c r="AD147">
        <v>0</v>
      </c>
      <c r="AE147">
        <v>0</v>
      </c>
      <c r="AF147">
        <v>0</v>
      </c>
      <c r="AG147">
        <v>0</v>
      </c>
      <c r="AH147"/>
      <c r="AI147" t="s">
        <v>174</v>
      </c>
      <c r="AJ147"/>
      <c r="AK147" s="17">
        <f>(Table1[[#This Row],[Climbed]]*weighting!$B$18)+(Table1[[#This Row],[Adjustable Climber]]*weighting!$B$19)+(Table1[[#This Row],[Lift other Robot]]*weighting!$B$20)+(Table1[[#This Row],[Balanced]]*weighting!$B$21)</f>
        <v>0</v>
      </c>
      <c r="AL147" s="8">
        <f>+Table1[[#This Row],[Endgame our score]]+Table1[[#This Row],[teleop our score]]+Table1[[#This Row],[auton our score]]</f>
        <v>9</v>
      </c>
      <c r="AM147" s="20">
        <f t="shared" si="6"/>
        <v>1</v>
      </c>
      <c r="AN147" s="20">
        <f t="shared" si="7"/>
        <v>0</v>
      </c>
      <c r="AO147" s="20">
        <f t="shared" si="8"/>
        <v>0</v>
      </c>
      <c r="AP147" s="20">
        <f>Table1[[#This Row],[balls scored]]+Table1[[#This Row],[auton balls scored]]</f>
        <v>6</v>
      </c>
      <c r="AQ147" s="20">
        <f>Table1[[#This Row],[balls scored high]]+Table1[[#This Row],[Auton Scored High]]</f>
        <v>6</v>
      </c>
      <c r="AR147" s="20">
        <f>Table1[[#This Row],[balls scored low]]+Table1[[#This Row],[Auton Scored Low]]</f>
        <v>0</v>
      </c>
      <c r="AS147" s="50">
        <f>IF(Table1[[#This Row],[Control Panel Spun Time]]&gt;0,1,0)</f>
        <v>0</v>
      </c>
      <c r="AT147" s="20">
        <f>IF(Table1[[#This Row],[Control Panel Color Time]]&gt;0,1,0)</f>
        <v>0</v>
      </c>
    </row>
    <row r="148" spans="1:46" x14ac:dyDescent="0.25">
      <c r="A148">
        <v>2877</v>
      </c>
      <c r="B148">
        <v>3</v>
      </c>
      <c r="C148">
        <v>0</v>
      </c>
      <c r="D148">
        <v>0</v>
      </c>
      <c r="E148">
        <v>0</v>
      </c>
      <c r="F148">
        <v>0</v>
      </c>
      <c r="G148">
        <v>0</v>
      </c>
      <c r="H148">
        <v>1</v>
      </c>
      <c r="I148" s="8">
        <f>+Table1[[#This Row],[Auton ball picked up in our trench]]+Table1[[#This Row],[Auton Balls Picked Up in Mid]]+Table1[[#This Row],[Auton Balls Picked Up In Their Trench]]</f>
        <v>0</v>
      </c>
      <c r="J148" s="8">
        <f>+Table1[[#This Row],[Auton Scored High]]+Table1[[#This Row],[Auton Scored Low]]</f>
        <v>0</v>
      </c>
      <c r="K14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148">
        <v>2</v>
      </c>
      <c r="M148">
        <v>0</v>
      </c>
      <c r="N148">
        <v>0</v>
      </c>
      <c r="O148">
        <v>0</v>
      </c>
      <c r="P148">
        <v>0</v>
      </c>
      <c r="Q148">
        <v>0</v>
      </c>
      <c r="R148">
        <v>0</v>
      </c>
      <c r="S148">
        <v>0</v>
      </c>
      <c r="T148">
        <v>0</v>
      </c>
      <c r="U148">
        <v>0</v>
      </c>
      <c r="V148" s="8">
        <f>Table1[[#This Row],[Balls Scored From Trench]]+Table1[[#This Row],[Balls Scored from Mid]]+Table1[[#This Row],[Balls Scored From Alliance zone]]</f>
        <v>2</v>
      </c>
      <c r="W148" s="8">
        <f>Table1[[#This Row],[balls scored high]]+Table1[[#This Row],[balls scored low]]</f>
        <v>2</v>
      </c>
      <c r="X148" s="8">
        <f>Table1[[#This Row],[Control Panel Spun Time]]+Table1[[#This Row],[Control Panel Color Time]]</f>
        <v>0</v>
      </c>
      <c r="Y148" s="8">
        <f>Table1[[#This Row],[Control Panels Spun]]+Table1[[#This Row],[Control Panel Color]]</f>
        <v>0</v>
      </c>
      <c r="Z14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6</v>
      </c>
      <c r="AA148">
        <v>0</v>
      </c>
      <c r="AB148">
        <v>0</v>
      </c>
      <c r="AC148">
        <v>0</v>
      </c>
      <c r="AD148">
        <v>0</v>
      </c>
      <c r="AE148">
        <v>0</v>
      </c>
      <c r="AF148">
        <v>0</v>
      </c>
      <c r="AG148">
        <v>0</v>
      </c>
      <c r="AI148" t="s">
        <v>174</v>
      </c>
      <c r="AK148" s="17">
        <f>(Table1[[#This Row],[Climbed]]*weighting!$B$18)+(Table1[[#This Row],[Adjustable Climber]]*weighting!$B$19)+(Table1[[#This Row],[Lift other Robot]]*weighting!$B$20)+(Table1[[#This Row],[Balanced]]*weighting!$B$21)</f>
        <v>0</v>
      </c>
      <c r="AL148" s="8">
        <f>+Table1[[#This Row],[Endgame our score]]+Table1[[#This Row],[teleop our score]]+Table1[[#This Row],[auton our score]]</f>
        <v>7</v>
      </c>
      <c r="AM148" s="20">
        <f t="shared" si="6"/>
        <v>0</v>
      </c>
      <c r="AN148" s="20">
        <f t="shared" si="7"/>
        <v>0</v>
      </c>
      <c r="AO148" s="20">
        <f t="shared" si="8"/>
        <v>1</v>
      </c>
      <c r="AP148" s="20">
        <f>Table1[[#This Row],[balls scored]]+Table1[[#This Row],[auton balls scored]]</f>
        <v>2</v>
      </c>
      <c r="AQ148" s="20">
        <f>Table1[[#This Row],[balls scored high]]+Table1[[#This Row],[Auton Scored High]]</f>
        <v>2</v>
      </c>
      <c r="AR148" s="20">
        <f>Table1[[#This Row],[balls scored low]]+Table1[[#This Row],[Auton Scored Low]]</f>
        <v>0</v>
      </c>
      <c r="AS148" s="50">
        <f>IF(Table1[[#This Row],[Control Panel Spun Time]]&gt;0,1,0)</f>
        <v>0</v>
      </c>
      <c r="AT148" s="20">
        <f>IF(Table1[[#This Row],[Control Panel Color Time]]&gt;0,1,0)</f>
        <v>0</v>
      </c>
    </row>
    <row r="149" spans="1:46" s="2" customFormat="1" x14ac:dyDescent="0.25">
      <c r="A149">
        <v>3182</v>
      </c>
      <c r="B149">
        <v>1</v>
      </c>
      <c r="C149">
        <v>2</v>
      </c>
      <c r="D149">
        <v>0</v>
      </c>
      <c r="E149">
        <v>0</v>
      </c>
      <c r="F149">
        <v>0</v>
      </c>
      <c r="G149">
        <v>0</v>
      </c>
      <c r="H149">
        <v>1</v>
      </c>
      <c r="I149" s="8">
        <f>+Table1[[#This Row],[Auton ball picked up in our trench]]+Table1[[#This Row],[Auton Balls Picked Up in Mid]]+Table1[[#This Row],[Auton Balls Picked Up In Their Trench]]</f>
        <v>0</v>
      </c>
      <c r="J149" s="8">
        <f>+Table1[[#This Row],[Auton Scored High]]+Table1[[#This Row],[Auton Scored Low]]</f>
        <v>2</v>
      </c>
      <c r="K14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7</v>
      </c>
      <c r="L149">
        <v>0</v>
      </c>
      <c r="M149">
        <v>0</v>
      </c>
      <c r="N149">
        <v>0</v>
      </c>
      <c r="O149">
        <v>0</v>
      </c>
      <c r="P149">
        <v>0</v>
      </c>
      <c r="Q149">
        <v>0</v>
      </c>
      <c r="R149">
        <v>0</v>
      </c>
      <c r="S149">
        <v>0</v>
      </c>
      <c r="T149">
        <v>0</v>
      </c>
      <c r="U149">
        <v>0</v>
      </c>
      <c r="V149" s="8">
        <f>Table1[[#This Row],[Balls Scored From Trench]]+Table1[[#This Row],[Balls Scored from Mid]]+Table1[[#This Row],[Balls Scored From Alliance zone]]</f>
        <v>0</v>
      </c>
      <c r="W149" s="8">
        <f>Table1[[#This Row],[balls scored high]]+Table1[[#This Row],[balls scored low]]</f>
        <v>0</v>
      </c>
      <c r="X149" s="8">
        <f>Table1[[#This Row],[Control Panel Spun Time]]+Table1[[#This Row],[Control Panel Color Time]]</f>
        <v>0</v>
      </c>
      <c r="Y149" s="8">
        <f>Table1[[#This Row],[Control Panels Spun]]+Table1[[#This Row],[Control Panel Color]]</f>
        <v>0</v>
      </c>
      <c r="Z14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149">
        <v>0</v>
      </c>
      <c r="AB149">
        <v>0</v>
      </c>
      <c r="AC149">
        <v>0</v>
      </c>
      <c r="AD149">
        <v>0</v>
      </c>
      <c r="AE149">
        <v>0</v>
      </c>
      <c r="AF149">
        <v>0</v>
      </c>
      <c r="AG149">
        <v>0</v>
      </c>
      <c r="AH149"/>
      <c r="AI149" t="s">
        <v>184</v>
      </c>
      <c r="AJ149" t="s">
        <v>195</v>
      </c>
      <c r="AK149" s="17">
        <f>(Table1[[#This Row],[Climbed]]*weighting!$B$18)+(Table1[[#This Row],[Adjustable Climber]]*weighting!$B$19)+(Table1[[#This Row],[Lift other Robot]]*weighting!$B$20)+(Table1[[#This Row],[Balanced]]*weighting!$B$21)</f>
        <v>0</v>
      </c>
      <c r="AL149" s="8">
        <f>+Table1[[#This Row],[Endgame our score]]+Table1[[#This Row],[teleop our score]]+Table1[[#This Row],[auton our score]]</f>
        <v>7</v>
      </c>
      <c r="AM149" s="20">
        <f t="shared" si="6"/>
        <v>1</v>
      </c>
      <c r="AN149" s="20">
        <f t="shared" si="7"/>
        <v>0</v>
      </c>
      <c r="AO149" s="20">
        <f t="shared" si="8"/>
        <v>0</v>
      </c>
      <c r="AP149" s="20">
        <f>Table1[[#This Row],[balls scored]]+Table1[[#This Row],[auton balls scored]]</f>
        <v>2</v>
      </c>
      <c r="AQ149" s="20">
        <f>Table1[[#This Row],[balls scored high]]+Table1[[#This Row],[Auton Scored High]]</f>
        <v>2</v>
      </c>
      <c r="AR149" s="20">
        <f>Table1[[#This Row],[balls scored low]]+Table1[[#This Row],[Auton Scored Low]]</f>
        <v>0</v>
      </c>
      <c r="AS149" s="50">
        <f>IF(Table1[[#This Row],[Control Panel Spun Time]]&gt;0,1,0)</f>
        <v>0</v>
      </c>
      <c r="AT149" s="20">
        <f>IF(Table1[[#This Row],[Control Panel Color Time]]&gt;0,1,0)</f>
        <v>0</v>
      </c>
    </row>
    <row r="150" spans="1:46" x14ac:dyDescent="0.25">
      <c r="A150">
        <v>3182</v>
      </c>
      <c r="B150">
        <v>2</v>
      </c>
      <c r="C150">
        <v>0</v>
      </c>
      <c r="D150">
        <v>0</v>
      </c>
      <c r="E150">
        <v>0</v>
      </c>
      <c r="F150">
        <v>0</v>
      </c>
      <c r="G150">
        <v>0</v>
      </c>
      <c r="H150">
        <v>1</v>
      </c>
      <c r="I150" s="8">
        <f>+Table1[[#This Row],[Auton ball picked up in our trench]]+Table1[[#This Row],[Auton Balls Picked Up in Mid]]+Table1[[#This Row],[Auton Balls Picked Up In Their Trench]]</f>
        <v>0</v>
      </c>
      <c r="J150" s="8">
        <f>+Table1[[#This Row],[Auton Scored High]]+Table1[[#This Row],[Auton Scored Low]]</f>
        <v>0</v>
      </c>
      <c r="K15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150">
        <v>0</v>
      </c>
      <c r="M150">
        <v>0</v>
      </c>
      <c r="N150">
        <v>0</v>
      </c>
      <c r="O150">
        <v>0</v>
      </c>
      <c r="P150">
        <v>0</v>
      </c>
      <c r="Q150">
        <v>0</v>
      </c>
      <c r="R150">
        <v>0</v>
      </c>
      <c r="S150">
        <v>0</v>
      </c>
      <c r="T150">
        <v>0</v>
      </c>
      <c r="U150">
        <v>0</v>
      </c>
      <c r="V150" s="8">
        <f>Table1[[#This Row],[Balls Scored From Trench]]+Table1[[#This Row],[Balls Scored from Mid]]+Table1[[#This Row],[Balls Scored From Alliance zone]]</f>
        <v>0</v>
      </c>
      <c r="W150" s="8">
        <f>Table1[[#This Row],[balls scored high]]+Table1[[#This Row],[balls scored low]]</f>
        <v>0</v>
      </c>
      <c r="X150" s="8">
        <f>Table1[[#This Row],[Control Panel Spun Time]]+Table1[[#This Row],[Control Panel Color Time]]</f>
        <v>0</v>
      </c>
      <c r="Y150" s="8">
        <f>Table1[[#This Row],[Control Panels Spun]]+Table1[[#This Row],[Control Panel Color]]</f>
        <v>0</v>
      </c>
      <c r="Z15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150">
        <v>0</v>
      </c>
      <c r="AB150">
        <v>0</v>
      </c>
      <c r="AC150">
        <v>0</v>
      </c>
      <c r="AD150">
        <v>0</v>
      </c>
      <c r="AE150">
        <v>0</v>
      </c>
      <c r="AF150">
        <v>0</v>
      </c>
      <c r="AG150">
        <v>0</v>
      </c>
      <c r="AI150" t="s">
        <v>184</v>
      </c>
      <c r="AJ150" t="s">
        <v>217</v>
      </c>
      <c r="AK150" s="17">
        <f>(Table1[[#This Row],[Climbed]]*weighting!$B$18)+(Table1[[#This Row],[Adjustable Climber]]*weighting!$B$19)+(Table1[[#This Row],[Lift other Robot]]*weighting!$B$20)+(Table1[[#This Row],[Balanced]]*weighting!$B$21)</f>
        <v>0</v>
      </c>
      <c r="AL150" s="8">
        <f>+Table1[[#This Row],[Endgame our score]]+Table1[[#This Row],[teleop our score]]+Table1[[#This Row],[auton our score]]</f>
        <v>1</v>
      </c>
      <c r="AM150" s="20">
        <f t="shared" si="6"/>
        <v>0</v>
      </c>
      <c r="AN150" s="20">
        <f t="shared" si="7"/>
        <v>1</v>
      </c>
      <c r="AO150" s="20">
        <f t="shared" si="8"/>
        <v>0</v>
      </c>
      <c r="AP150" s="20">
        <f>Table1[[#This Row],[balls scored]]+Table1[[#This Row],[auton balls scored]]</f>
        <v>0</v>
      </c>
      <c r="AQ150" s="20">
        <f>Table1[[#This Row],[balls scored high]]+Table1[[#This Row],[Auton Scored High]]</f>
        <v>0</v>
      </c>
      <c r="AR150" s="20">
        <f>Table1[[#This Row],[balls scored low]]+Table1[[#This Row],[Auton Scored Low]]</f>
        <v>0</v>
      </c>
      <c r="AS150" s="50">
        <f>IF(Table1[[#This Row],[Control Panel Spun Time]]&gt;0,1,0)</f>
        <v>0</v>
      </c>
      <c r="AT150" s="20">
        <f>IF(Table1[[#This Row],[Control Panel Color Time]]&gt;0,1,0)</f>
        <v>0</v>
      </c>
    </row>
    <row r="151" spans="1:46" s="2" customFormat="1" x14ac:dyDescent="0.25">
      <c r="A151">
        <v>3182</v>
      </c>
      <c r="B151">
        <v>3</v>
      </c>
      <c r="C151">
        <v>2</v>
      </c>
      <c r="D151">
        <v>0</v>
      </c>
      <c r="E151">
        <v>0</v>
      </c>
      <c r="F151">
        <v>0</v>
      </c>
      <c r="G151">
        <v>0</v>
      </c>
      <c r="H151">
        <v>0</v>
      </c>
      <c r="I151" s="8">
        <f>+Table1[[#This Row],[Auton ball picked up in our trench]]+Table1[[#This Row],[Auton Balls Picked Up in Mid]]+Table1[[#This Row],[Auton Balls Picked Up In Their Trench]]</f>
        <v>0</v>
      </c>
      <c r="J151" s="8">
        <f>+Table1[[#This Row],[Auton Scored High]]+Table1[[#This Row],[Auton Scored Low]]</f>
        <v>2</v>
      </c>
      <c r="K15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6</v>
      </c>
      <c r="L151">
        <v>0</v>
      </c>
      <c r="M151">
        <v>0</v>
      </c>
      <c r="N151">
        <v>1</v>
      </c>
      <c r="O151">
        <v>0</v>
      </c>
      <c r="P151">
        <v>0</v>
      </c>
      <c r="Q151">
        <v>0</v>
      </c>
      <c r="R151">
        <v>0</v>
      </c>
      <c r="S151">
        <v>0</v>
      </c>
      <c r="T151">
        <v>0</v>
      </c>
      <c r="U151">
        <v>0</v>
      </c>
      <c r="V151" s="8">
        <f>Table1[[#This Row],[Balls Scored From Trench]]+Table1[[#This Row],[Balls Scored from Mid]]+Table1[[#This Row],[Balls Scored From Alliance zone]]</f>
        <v>1</v>
      </c>
      <c r="W151" s="8">
        <f>Table1[[#This Row],[balls scored high]]+Table1[[#This Row],[balls scored low]]</f>
        <v>1</v>
      </c>
      <c r="X151" s="8">
        <f>Table1[[#This Row],[Control Panel Spun Time]]+Table1[[#This Row],[Control Panel Color Time]]</f>
        <v>0</v>
      </c>
      <c r="Y151" s="8">
        <f>Table1[[#This Row],[Control Panels Spun]]+Table1[[#This Row],[Control Panel Color]]</f>
        <v>0</v>
      </c>
      <c r="Z15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v>
      </c>
      <c r="AA151">
        <v>0</v>
      </c>
      <c r="AB151">
        <v>0</v>
      </c>
      <c r="AC151">
        <v>0</v>
      </c>
      <c r="AD151">
        <v>0</v>
      </c>
      <c r="AE151">
        <v>0</v>
      </c>
      <c r="AF151">
        <v>0</v>
      </c>
      <c r="AG151">
        <v>0</v>
      </c>
      <c r="AH151"/>
      <c r="AI151" t="s">
        <v>43</v>
      </c>
      <c r="AJ151"/>
      <c r="AK151" s="17">
        <f>(Table1[[#This Row],[Climbed]]*weighting!$B$18)+(Table1[[#This Row],[Adjustable Climber]]*weighting!$B$19)+(Table1[[#This Row],[Lift other Robot]]*weighting!$B$20)+(Table1[[#This Row],[Balanced]]*weighting!$B$21)</f>
        <v>0</v>
      </c>
      <c r="AL151" s="8">
        <f>+Table1[[#This Row],[Endgame our score]]+Table1[[#This Row],[teleop our score]]+Table1[[#This Row],[auton our score]]</f>
        <v>7</v>
      </c>
      <c r="AM151" s="20">
        <f t="shared" si="6"/>
        <v>0</v>
      </c>
      <c r="AN151" s="20">
        <f t="shared" si="7"/>
        <v>0</v>
      </c>
      <c r="AO151" s="20">
        <f t="shared" si="8"/>
        <v>1</v>
      </c>
      <c r="AP151" s="20">
        <f>Table1[[#This Row],[balls scored]]+Table1[[#This Row],[auton balls scored]]</f>
        <v>3</v>
      </c>
      <c r="AQ151" s="20">
        <f>Table1[[#This Row],[balls scored high]]+Table1[[#This Row],[Auton Scored High]]</f>
        <v>3</v>
      </c>
      <c r="AR151" s="20">
        <f>Table1[[#This Row],[balls scored low]]+Table1[[#This Row],[Auton Scored Low]]</f>
        <v>0</v>
      </c>
      <c r="AS151" s="50">
        <f>IF(Table1[[#This Row],[Control Panel Spun Time]]&gt;0,1,0)</f>
        <v>0</v>
      </c>
      <c r="AT151" s="20">
        <f>IF(Table1[[#This Row],[Control Panel Color Time]]&gt;0,1,0)</f>
        <v>0</v>
      </c>
    </row>
    <row r="152" spans="1:46" x14ac:dyDescent="0.25">
      <c r="A152">
        <v>3182</v>
      </c>
      <c r="B152">
        <v>2</v>
      </c>
      <c r="C152">
        <v>3</v>
      </c>
      <c r="D152">
        <v>0</v>
      </c>
      <c r="E152">
        <v>0</v>
      </c>
      <c r="F152">
        <v>0</v>
      </c>
      <c r="G152">
        <v>0</v>
      </c>
      <c r="H152">
        <v>1</v>
      </c>
      <c r="I152" s="8">
        <f>+Table1[[#This Row],[Auton ball picked up in our trench]]+Table1[[#This Row],[Auton Balls Picked Up in Mid]]+Table1[[#This Row],[Auton Balls Picked Up In Their Trench]]</f>
        <v>0</v>
      </c>
      <c r="J152" s="8">
        <f>+Table1[[#This Row],[Auton Scored High]]+Table1[[#This Row],[Auton Scored Low]]</f>
        <v>3</v>
      </c>
      <c r="K15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152">
        <v>0</v>
      </c>
      <c r="M152">
        <v>0</v>
      </c>
      <c r="N152">
        <v>1</v>
      </c>
      <c r="O152">
        <v>0</v>
      </c>
      <c r="P152">
        <v>0</v>
      </c>
      <c r="Q152">
        <v>0</v>
      </c>
      <c r="R152">
        <v>0</v>
      </c>
      <c r="S152">
        <v>0</v>
      </c>
      <c r="T152">
        <v>0</v>
      </c>
      <c r="U152">
        <v>0</v>
      </c>
      <c r="V152" s="8">
        <f>Table1[[#This Row],[Balls Scored From Trench]]+Table1[[#This Row],[Balls Scored from Mid]]+Table1[[#This Row],[Balls Scored From Alliance zone]]</f>
        <v>1</v>
      </c>
      <c r="W152" s="8">
        <f>Table1[[#This Row],[balls scored high]]+Table1[[#This Row],[balls scored low]]</f>
        <v>1</v>
      </c>
      <c r="X152" s="8">
        <f>Table1[[#This Row],[Control Panel Spun Time]]+Table1[[#This Row],[Control Panel Color Time]]</f>
        <v>0</v>
      </c>
      <c r="Y152" s="8">
        <f>Table1[[#This Row],[Control Panels Spun]]+Table1[[#This Row],[Control Panel Color]]</f>
        <v>0</v>
      </c>
      <c r="Z15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v>
      </c>
      <c r="AA152">
        <v>0</v>
      </c>
      <c r="AB152">
        <v>0</v>
      </c>
      <c r="AC152">
        <v>0</v>
      </c>
      <c r="AD152">
        <v>0</v>
      </c>
      <c r="AE152">
        <v>0</v>
      </c>
      <c r="AF152">
        <v>0</v>
      </c>
      <c r="AG152">
        <v>0</v>
      </c>
      <c r="AI152" t="s">
        <v>179</v>
      </c>
      <c r="AK152" s="17">
        <f>(Table1[[#This Row],[Climbed]]*weighting!$B$18)+(Table1[[#This Row],[Adjustable Climber]]*weighting!$B$19)+(Table1[[#This Row],[Lift other Robot]]*weighting!$B$20)+(Table1[[#This Row],[Balanced]]*weighting!$B$21)</f>
        <v>0</v>
      </c>
      <c r="AL152" s="8">
        <f>+Table1[[#This Row],[Endgame our score]]+Table1[[#This Row],[teleop our score]]+Table1[[#This Row],[auton our score]]</f>
        <v>11</v>
      </c>
      <c r="AM152" s="20">
        <f t="shared" si="6"/>
        <v>0</v>
      </c>
      <c r="AN152" s="20">
        <f t="shared" si="7"/>
        <v>1</v>
      </c>
      <c r="AO152" s="20">
        <f t="shared" si="8"/>
        <v>0</v>
      </c>
      <c r="AP152" s="20">
        <f>Table1[[#This Row],[balls scored]]+Table1[[#This Row],[auton balls scored]]</f>
        <v>4</v>
      </c>
      <c r="AQ152" s="20">
        <f>Table1[[#This Row],[balls scored high]]+Table1[[#This Row],[Auton Scored High]]</f>
        <v>4</v>
      </c>
      <c r="AR152" s="20">
        <f>Table1[[#This Row],[balls scored low]]+Table1[[#This Row],[Auton Scored Low]]</f>
        <v>0</v>
      </c>
      <c r="AS152" s="50">
        <f>IF(Table1[[#This Row],[Control Panel Spun Time]]&gt;0,1,0)</f>
        <v>0</v>
      </c>
      <c r="AT152" s="20">
        <f>IF(Table1[[#This Row],[Control Panel Color Time]]&gt;0,1,0)</f>
        <v>0</v>
      </c>
    </row>
    <row r="153" spans="1:46" s="2" customFormat="1" x14ac:dyDescent="0.25">
      <c r="A153">
        <v>3182</v>
      </c>
      <c r="B153">
        <v>3</v>
      </c>
      <c r="C153">
        <v>2</v>
      </c>
      <c r="D153">
        <v>0</v>
      </c>
      <c r="E153">
        <v>0</v>
      </c>
      <c r="F153">
        <v>0</v>
      </c>
      <c r="G153">
        <v>0</v>
      </c>
      <c r="H153">
        <v>1</v>
      </c>
      <c r="I153" s="8">
        <f>+Table1[[#This Row],[Auton ball picked up in our trench]]+Table1[[#This Row],[Auton Balls Picked Up in Mid]]+Table1[[#This Row],[Auton Balls Picked Up In Their Trench]]</f>
        <v>0</v>
      </c>
      <c r="J153" s="8">
        <f>+Table1[[#This Row],[Auton Scored High]]+Table1[[#This Row],[Auton Scored Low]]</f>
        <v>2</v>
      </c>
      <c r="K15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7</v>
      </c>
      <c r="L153">
        <v>0</v>
      </c>
      <c r="M153">
        <v>0</v>
      </c>
      <c r="N153">
        <v>2</v>
      </c>
      <c r="O153">
        <v>0</v>
      </c>
      <c r="P153">
        <v>0</v>
      </c>
      <c r="Q153">
        <v>0</v>
      </c>
      <c r="R153">
        <v>0</v>
      </c>
      <c r="S153">
        <v>0</v>
      </c>
      <c r="T153">
        <v>0</v>
      </c>
      <c r="U153">
        <v>0</v>
      </c>
      <c r="V153" s="8">
        <f>Table1[[#This Row],[Balls Scored From Trench]]+Table1[[#This Row],[Balls Scored from Mid]]+Table1[[#This Row],[Balls Scored From Alliance zone]]</f>
        <v>2</v>
      </c>
      <c r="W153" s="8">
        <f>Table1[[#This Row],[balls scored high]]+Table1[[#This Row],[balls scored low]]</f>
        <v>2</v>
      </c>
      <c r="X153" s="8">
        <f>Table1[[#This Row],[Control Panel Spun Time]]+Table1[[#This Row],[Control Panel Color Time]]</f>
        <v>0</v>
      </c>
      <c r="Y153" s="8">
        <f>Table1[[#This Row],[Control Panels Spun]]+Table1[[#This Row],[Control Panel Color]]</f>
        <v>0</v>
      </c>
      <c r="Z15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2</v>
      </c>
      <c r="AA153">
        <v>0</v>
      </c>
      <c r="AB153">
        <v>0</v>
      </c>
      <c r="AC153">
        <v>0</v>
      </c>
      <c r="AD153">
        <v>0</v>
      </c>
      <c r="AE153">
        <v>0</v>
      </c>
      <c r="AF153">
        <v>0</v>
      </c>
      <c r="AG153">
        <v>0</v>
      </c>
      <c r="AH153"/>
      <c r="AI153" t="s">
        <v>176</v>
      </c>
      <c r="AJ153" t="s">
        <v>324</v>
      </c>
      <c r="AK153" s="17">
        <f>(Table1[[#This Row],[Climbed]]*weighting!$B$18)+(Table1[[#This Row],[Adjustable Climber]]*weighting!$B$19)+(Table1[[#This Row],[Lift other Robot]]*weighting!$B$20)+(Table1[[#This Row],[Balanced]]*weighting!$B$21)</f>
        <v>0</v>
      </c>
      <c r="AL153" s="8">
        <f>+Table1[[#This Row],[Endgame our score]]+Table1[[#This Row],[teleop our score]]+Table1[[#This Row],[auton our score]]</f>
        <v>9</v>
      </c>
      <c r="AM153" s="20">
        <f t="shared" si="6"/>
        <v>0</v>
      </c>
      <c r="AN153" s="20">
        <f t="shared" si="7"/>
        <v>0</v>
      </c>
      <c r="AO153" s="20">
        <f t="shared" si="8"/>
        <v>1</v>
      </c>
      <c r="AP153" s="20">
        <f>Table1[[#This Row],[balls scored]]+Table1[[#This Row],[auton balls scored]]</f>
        <v>4</v>
      </c>
      <c r="AQ153" s="20">
        <f>Table1[[#This Row],[balls scored high]]+Table1[[#This Row],[Auton Scored High]]</f>
        <v>4</v>
      </c>
      <c r="AR153" s="20">
        <f>Table1[[#This Row],[balls scored low]]+Table1[[#This Row],[Auton Scored Low]]</f>
        <v>0</v>
      </c>
      <c r="AS153" s="50">
        <f>IF(Table1[[#This Row],[Control Panel Spun Time]]&gt;0,1,0)</f>
        <v>0</v>
      </c>
      <c r="AT153" s="20">
        <f>IF(Table1[[#This Row],[Control Panel Color Time]]&gt;0,1,0)</f>
        <v>0</v>
      </c>
    </row>
    <row r="154" spans="1:46" x14ac:dyDescent="0.25">
      <c r="A154">
        <v>3555</v>
      </c>
      <c r="B154">
        <v>2</v>
      </c>
      <c r="C154">
        <v>0</v>
      </c>
      <c r="D154">
        <v>0</v>
      </c>
      <c r="E154">
        <v>0</v>
      </c>
      <c r="F154">
        <v>0</v>
      </c>
      <c r="G154">
        <v>0</v>
      </c>
      <c r="H154">
        <v>1</v>
      </c>
      <c r="I154" s="8">
        <f>+Table1[[#This Row],[Auton ball picked up in our trench]]+Table1[[#This Row],[Auton Balls Picked Up in Mid]]+Table1[[#This Row],[Auton Balls Picked Up In Their Trench]]</f>
        <v>0</v>
      </c>
      <c r="J154" s="8">
        <f>+Table1[[#This Row],[Auton Scored High]]+Table1[[#This Row],[Auton Scored Low]]</f>
        <v>0</v>
      </c>
      <c r="K15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154">
        <v>0</v>
      </c>
      <c r="M154">
        <v>0</v>
      </c>
      <c r="N154">
        <v>0</v>
      </c>
      <c r="O154">
        <v>0</v>
      </c>
      <c r="P154">
        <v>0</v>
      </c>
      <c r="Q154">
        <v>0</v>
      </c>
      <c r="R154">
        <v>0</v>
      </c>
      <c r="S154">
        <v>0</v>
      </c>
      <c r="T154">
        <v>0</v>
      </c>
      <c r="U154">
        <v>0</v>
      </c>
      <c r="V154" s="8">
        <f>Table1[[#This Row],[Balls Scored From Trench]]+Table1[[#This Row],[Balls Scored from Mid]]+Table1[[#This Row],[Balls Scored From Alliance zone]]</f>
        <v>0</v>
      </c>
      <c r="W154" s="8">
        <f>Table1[[#This Row],[balls scored high]]+Table1[[#This Row],[balls scored low]]</f>
        <v>0</v>
      </c>
      <c r="X154" s="8">
        <f>Table1[[#This Row],[Control Panel Spun Time]]+Table1[[#This Row],[Control Panel Color Time]]</f>
        <v>0</v>
      </c>
      <c r="Y154" s="8">
        <f>Table1[[#This Row],[Control Panels Spun]]+Table1[[#This Row],[Control Panel Color]]</f>
        <v>0</v>
      </c>
      <c r="Z15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154">
        <v>0</v>
      </c>
      <c r="AB154">
        <v>0</v>
      </c>
      <c r="AC154">
        <v>0</v>
      </c>
      <c r="AD154">
        <v>0</v>
      </c>
      <c r="AE154">
        <v>0</v>
      </c>
      <c r="AF154">
        <v>1</v>
      </c>
      <c r="AG154">
        <v>0</v>
      </c>
      <c r="AI154" t="s">
        <v>184</v>
      </c>
      <c r="AJ154" t="s">
        <v>196</v>
      </c>
      <c r="AK154" s="17">
        <f>(Table1[[#This Row],[Climbed]]*weighting!$B$18)+(Table1[[#This Row],[Adjustable Climber]]*weighting!$B$19)+(Table1[[#This Row],[Lift other Robot]]*weighting!$B$20)+(Table1[[#This Row],[Balanced]]*weighting!$B$21)</f>
        <v>0</v>
      </c>
      <c r="AL154" s="8">
        <f>+Table1[[#This Row],[Endgame our score]]+Table1[[#This Row],[teleop our score]]+Table1[[#This Row],[auton our score]]</f>
        <v>1</v>
      </c>
      <c r="AM154" s="20">
        <f t="shared" si="6"/>
        <v>0</v>
      </c>
      <c r="AN154" s="20">
        <f t="shared" si="7"/>
        <v>1</v>
      </c>
      <c r="AO154" s="20">
        <f t="shared" si="8"/>
        <v>0</v>
      </c>
      <c r="AP154" s="20">
        <f>Table1[[#This Row],[balls scored]]+Table1[[#This Row],[auton balls scored]]</f>
        <v>0</v>
      </c>
      <c r="AQ154" s="20">
        <f>Table1[[#This Row],[balls scored high]]+Table1[[#This Row],[Auton Scored High]]</f>
        <v>0</v>
      </c>
      <c r="AR154" s="20">
        <f>Table1[[#This Row],[balls scored low]]+Table1[[#This Row],[Auton Scored Low]]</f>
        <v>0</v>
      </c>
      <c r="AS154" s="50">
        <f>IF(Table1[[#This Row],[Control Panel Spun Time]]&gt;0,1,0)</f>
        <v>0</v>
      </c>
      <c r="AT154" s="20">
        <f>IF(Table1[[#This Row],[Control Panel Color Time]]&gt;0,1,0)</f>
        <v>0</v>
      </c>
    </row>
    <row r="155" spans="1:46" s="2" customFormat="1" x14ac:dyDescent="0.25">
      <c r="A155">
        <v>3555</v>
      </c>
      <c r="B155">
        <v>2</v>
      </c>
      <c r="C155">
        <v>0</v>
      </c>
      <c r="D155">
        <v>0</v>
      </c>
      <c r="E155">
        <v>0</v>
      </c>
      <c r="F155">
        <v>0</v>
      </c>
      <c r="G155">
        <v>0</v>
      </c>
      <c r="H155">
        <v>1</v>
      </c>
      <c r="I155" s="8">
        <f>+Table1[[#This Row],[Auton ball picked up in our trench]]+Table1[[#This Row],[Auton Balls Picked Up in Mid]]+Table1[[#This Row],[Auton Balls Picked Up In Their Trench]]</f>
        <v>0</v>
      </c>
      <c r="J155" s="8">
        <f>+Table1[[#This Row],[Auton Scored High]]+Table1[[#This Row],[Auton Scored Low]]</f>
        <v>0</v>
      </c>
      <c r="K15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155">
        <v>0</v>
      </c>
      <c r="M155">
        <v>0</v>
      </c>
      <c r="N155">
        <v>0</v>
      </c>
      <c r="O155">
        <v>0</v>
      </c>
      <c r="P155">
        <v>0</v>
      </c>
      <c r="Q155">
        <v>1</v>
      </c>
      <c r="R155">
        <v>0</v>
      </c>
      <c r="S155">
        <v>0</v>
      </c>
      <c r="T155">
        <v>0</v>
      </c>
      <c r="U155">
        <v>2.5</v>
      </c>
      <c r="V155" s="8">
        <f>Table1[[#This Row],[Balls Scored From Trench]]+Table1[[#This Row],[Balls Scored from Mid]]+Table1[[#This Row],[Balls Scored From Alliance zone]]</f>
        <v>0</v>
      </c>
      <c r="W155" s="8">
        <f>Table1[[#This Row],[balls scored high]]+Table1[[#This Row],[balls scored low]]</f>
        <v>0</v>
      </c>
      <c r="X155" s="8">
        <f>Table1[[#This Row],[Control Panel Spun Time]]+Table1[[#This Row],[Control Panel Color Time]]</f>
        <v>0</v>
      </c>
      <c r="Y155" s="8">
        <f>Table1[[#This Row],[Control Panels Spun]]+Table1[[#This Row],[Control Panel Color]]</f>
        <v>1</v>
      </c>
      <c r="Z15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7</v>
      </c>
      <c r="AA155">
        <v>0</v>
      </c>
      <c r="AB155">
        <v>0</v>
      </c>
      <c r="AC155">
        <v>0</v>
      </c>
      <c r="AD155">
        <v>0</v>
      </c>
      <c r="AE155">
        <v>1</v>
      </c>
      <c r="AF155">
        <v>0</v>
      </c>
      <c r="AG155">
        <v>0</v>
      </c>
      <c r="AH155"/>
      <c r="AI155" t="s">
        <v>179</v>
      </c>
      <c r="AJ155" t="s">
        <v>218</v>
      </c>
      <c r="AK155" s="17">
        <f>(Table1[[#This Row],[Climbed]]*weighting!$B$18)+(Table1[[#This Row],[Adjustable Climber]]*weighting!$B$19)+(Table1[[#This Row],[Lift other Robot]]*weighting!$B$20)+(Table1[[#This Row],[Balanced]]*weighting!$B$21)</f>
        <v>0</v>
      </c>
      <c r="AL155" s="8">
        <f>+Table1[[#This Row],[Endgame our score]]+Table1[[#This Row],[teleop our score]]+Table1[[#This Row],[auton our score]]</f>
        <v>8</v>
      </c>
      <c r="AM155" s="20">
        <f t="shared" si="6"/>
        <v>0</v>
      </c>
      <c r="AN155" s="20">
        <f t="shared" si="7"/>
        <v>1</v>
      </c>
      <c r="AO155" s="20">
        <f t="shared" si="8"/>
        <v>0</v>
      </c>
      <c r="AP155" s="20">
        <f>Table1[[#This Row],[balls scored]]+Table1[[#This Row],[auton balls scored]]</f>
        <v>0</v>
      </c>
      <c r="AQ155" s="20">
        <f>Table1[[#This Row],[balls scored high]]+Table1[[#This Row],[Auton Scored High]]</f>
        <v>0</v>
      </c>
      <c r="AR155" s="20">
        <f>Table1[[#This Row],[balls scored low]]+Table1[[#This Row],[Auton Scored Low]]</f>
        <v>0</v>
      </c>
      <c r="AS155" s="50">
        <f>IF(Table1[[#This Row],[Control Panel Spun Time]]&gt;0,1,0)</f>
        <v>0</v>
      </c>
      <c r="AT155" s="20">
        <f>IF(Table1[[#This Row],[Control Panel Color Time]]&gt;0,1,0)</f>
        <v>0</v>
      </c>
    </row>
    <row r="156" spans="1:46" x14ac:dyDescent="0.25">
      <c r="A156">
        <v>3555</v>
      </c>
      <c r="B156">
        <v>3</v>
      </c>
      <c r="C156">
        <v>3</v>
      </c>
      <c r="D156">
        <v>0</v>
      </c>
      <c r="E156">
        <v>0</v>
      </c>
      <c r="F156">
        <v>0</v>
      </c>
      <c r="G156">
        <v>0</v>
      </c>
      <c r="H156">
        <v>1</v>
      </c>
      <c r="I156" s="8">
        <f>+Table1[[#This Row],[Auton ball picked up in our trench]]+Table1[[#This Row],[Auton Balls Picked Up in Mid]]+Table1[[#This Row],[Auton Balls Picked Up In Their Trench]]</f>
        <v>0</v>
      </c>
      <c r="J156" s="8">
        <f>+Table1[[#This Row],[Auton Scored High]]+Table1[[#This Row],[Auton Scored Low]]</f>
        <v>3</v>
      </c>
      <c r="K15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156">
        <v>0</v>
      </c>
      <c r="M156">
        <v>0</v>
      </c>
      <c r="N156">
        <v>2</v>
      </c>
      <c r="O156">
        <v>0</v>
      </c>
      <c r="P156">
        <v>0</v>
      </c>
      <c r="Q156">
        <v>0</v>
      </c>
      <c r="R156">
        <v>0</v>
      </c>
      <c r="S156">
        <v>0</v>
      </c>
      <c r="T156">
        <v>0</v>
      </c>
      <c r="U156">
        <v>0</v>
      </c>
      <c r="V156" s="8">
        <f>Table1[[#This Row],[Balls Scored From Trench]]+Table1[[#This Row],[Balls Scored from Mid]]+Table1[[#This Row],[Balls Scored From Alliance zone]]</f>
        <v>2</v>
      </c>
      <c r="W156" s="8">
        <f>Table1[[#This Row],[balls scored high]]+Table1[[#This Row],[balls scored low]]</f>
        <v>2</v>
      </c>
      <c r="X156" s="8">
        <f>Table1[[#This Row],[Control Panel Spun Time]]+Table1[[#This Row],[Control Panel Color Time]]</f>
        <v>0</v>
      </c>
      <c r="Y156" s="8">
        <f>Table1[[#This Row],[Control Panels Spun]]+Table1[[#This Row],[Control Panel Color]]</f>
        <v>0</v>
      </c>
      <c r="Z15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2</v>
      </c>
      <c r="AA156">
        <v>0</v>
      </c>
      <c r="AB156">
        <v>0</v>
      </c>
      <c r="AC156">
        <v>0</v>
      </c>
      <c r="AD156">
        <v>0</v>
      </c>
      <c r="AE156">
        <v>0</v>
      </c>
      <c r="AF156">
        <v>0</v>
      </c>
      <c r="AG156">
        <v>0</v>
      </c>
      <c r="AI156" t="s">
        <v>179</v>
      </c>
      <c r="AK156" s="17">
        <f>(Table1[[#This Row],[Climbed]]*weighting!$B$18)+(Table1[[#This Row],[Adjustable Climber]]*weighting!$B$19)+(Table1[[#This Row],[Lift other Robot]]*weighting!$B$20)+(Table1[[#This Row],[Balanced]]*weighting!$B$21)</f>
        <v>0</v>
      </c>
      <c r="AL156" s="8">
        <f>+Table1[[#This Row],[Endgame our score]]+Table1[[#This Row],[teleop our score]]+Table1[[#This Row],[auton our score]]</f>
        <v>12</v>
      </c>
      <c r="AM156" s="20">
        <f t="shared" si="6"/>
        <v>0</v>
      </c>
      <c r="AN156" s="20">
        <f t="shared" si="7"/>
        <v>0</v>
      </c>
      <c r="AO156" s="20">
        <f t="shared" si="8"/>
        <v>1</v>
      </c>
      <c r="AP156" s="20">
        <f>Table1[[#This Row],[balls scored]]+Table1[[#This Row],[auton balls scored]]</f>
        <v>5</v>
      </c>
      <c r="AQ156" s="20">
        <f>Table1[[#This Row],[balls scored high]]+Table1[[#This Row],[Auton Scored High]]</f>
        <v>5</v>
      </c>
      <c r="AR156" s="20">
        <f>Table1[[#This Row],[balls scored low]]+Table1[[#This Row],[Auton Scored Low]]</f>
        <v>0</v>
      </c>
      <c r="AS156" s="50">
        <f>IF(Table1[[#This Row],[Control Panel Spun Time]]&gt;0,1,0)</f>
        <v>0</v>
      </c>
      <c r="AT156" s="20">
        <f>IF(Table1[[#This Row],[Control Panel Color Time]]&gt;0,1,0)</f>
        <v>0</v>
      </c>
    </row>
    <row r="157" spans="1:46" s="2" customFormat="1" x14ac:dyDescent="0.25">
      <c r="A157">
        <v>3555</v>
      </c>
      <c r="B157">
        <v>2</v>
      </c>
      <c r="C157">
        <v>0</v>
      </c>
      <c r="D157">
        <v>0</v>
      </c>
      <c r="E157">
        <v>0</v>
      </c>
      <c r="F157">
        <v>0</v>
      </c>
      <c r="G157">
        <v>0</v>
      </c>
      <c r="H157">
        <v>1</v>
      </c>
      <c r="I157" s="8">
        <f>+Table1[[#This Row],[Auton ball picked up in our trench]]+Table1[[#This Row],[Auton Balls Picked Up in Mid]]+Table1[[#This Row],[Auton Balls Picked Up In Their Trench]]</f>
        <v>0</v>
      </c>
      <c r="J157" s="8">
        <f>+Table1[[#This Row],[Auton Scored High]]+Table1[[#This Row],[Auton Scored Low]]</f>
        <v>0</v>
      </c>
      <c r="K15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157">
        <v>0</v>
      </c>
      <c r="M157">
        <v>1</v>
      </c>
      <c r="N157">
        <v>3</v>
      </c>
      <c r="O157">
        <v>0</v>
      </c>
      <c r="P157">
        <v>0</v>
      </c>
      <c r="Q157">
        <v>0</v>
      </c>
      <c r="R157">
        <v>0</v>
      </c>
      <c r="S157">
        <v>0</v>
      </c>
      <c r="T157">
        <v>0</v>
      </c>
      <c r="U157">
        <v>0</v>
      </c>
      <c r="V157" s="8">
        <f>Table1[[#This Row],[Balls Scored From Trench]]+Table1[[#This Row],[Balls Scored from Mid]]+Table1[[#This Row],[Balls Scored From Alliance zone]]</f>
        <v>4</v>
      </c>
      <c r="W157" s="8">
        <f>Table1[[#This Row],[balls scored high]]+Table1[[#This Row],[balls scored low]]</f>
        <v>4</v>
      </c>
      <c r="X157" s="8">
        <f>Table1[[#This Row],[Control Panel Spun Time]]+Table1[[#This Row],[Control Panel Color Time]]</f>
        <v>0</v>
      </c>
      <c r="Y157" s="8">
        <f>Table1[[#This Row],[Control Panels Spun]]+Table1[[#This Row],[Control Panel Color]]</f>
        <v>0</v>
      </c>
      <c r="Z15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5</v>
      </c>
      <c r="AA157">
        <v>0</v>
      </c>
      <c r="AB157">
        <v>0</v>
      </c>
      <c r="AC157">
        <v>0</v>
      </c>
      <c r="AD157">
        <v>0</v>
      </c>
      <c r="AE157">
        <v>0</v>
      </c>
      <c r="AF157">
        <v>0</v>
      </c>
      <c r="AG157">
        <v>0</v>
      </c>
      <c r="AH157"/>
      <c r="AI157" t="s">
        <v>176</v>
      </c>
      <c r="AJ157"/>
      <c r="AK157" s="17">
        <f>(Table1[[#This Row],[Climbed]]*weighting!$B$18)+(Table1[[#This Row],[Adjustable Climber]]*weighting!$B$19)+(Table1[[#This Row],[Lift other Robot]]*weighting!$B$20)+(Table1[[#This Row],[Balanced]]*weighting!$B$21)</f>
        <v>0</v>
      </c>
      <c r="AL157" s="8">
        <f>+Table1[[#This Row],[Endgame our score]]+Table1[[#This Row],[teleop our score]]+Table1[[#This Row],[auton our score]]</f>
        <v>6</v>
      </c>
      <c r="AM157" s="20">
        <f t="shared" si="6"/>
        <v>0</v>
      </c>
      <c r="AN157" s="20">
        <f t="shared" si="7"/>
        <v>1</v>
      </c>
      <c r="AO157" s="20">
        <f t="shared" si="8"/>
        <v>0</v>
      </c>
      <c r="AP157" s="20">
        <f>Table1[[#This Row],[balls scored]]+Table1[[#This Row],[auton balls scored]]</f>
        <v>4</v>
      </c>
      <c r="AQ157" s="20">
        <f>Table1[[#This Row],[balls scored high]]+Table1[[#This Row],[Auton Scored High]]</f>
        <v>4</v>
      </c>
      <c r="AR157" s="20">
        <f>Table1[[#This Row],[balls scored low]]+Table1[[#This Row],[Auton Scored Low]]</f>
        <v>0</v>
      </c>
      <c r="AS157" s="50">
        <f>IF(Table1[[#This Row],[Control Panel Spun Time]]&gt;0,1,0)</f>
        <v>0</v>
      </c>
      <c r="AT157" s="20">
        <f>IF(Table1[[#This Row],[Control Panel Color Time]]&gt;0,1,0)</f>
        <v>0</v>
      </c>
    </row>
    <row r="158" spans="1:46" x14ac:dyDescent="0.25">
      <c r="A158">
        <v>3555</v>
      </c>
      <c r="B158">
        <v>2</v>
      </c>
      <c r="C158">
        <v>2</v>
      </c>
      <c r="D158">
        <v>0</v>
      </c>
      <c r="E158">
        <v>0</v>
      </c>
      <c r="F158">
        <v>0</v>
      </c>
      <c r="G158">
        <v>0</v>
      </c>
      <c r="H158">
        <v>1</v>
      </c>
      <c r="I158" s="8">
        <f>+Table1[[#This Row],[Auton ball picked up in our trench]]+Table1[[#This Row],[Auton Balls Picked Up in Mid]]+Table1[[#This Row],[Auton Balls Picked Up In Their Trench]]</f>
        <v>0</v>
      </c>
      <c r="J158" s="8">
        <f>+Table1[[#This Row],[Auton Scored High]]+Table1[[#This Row],[Auton Scored Low]]</f>
        <v>2</v>
      </c>
      <c r="K15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7</v>
      </c>
      <c r="L158">
        <v>0</v>
      </c>
      <c r="M158">
        <v>0</v>
      </c>
      <c r="N158">
        <v>2</v>
      </c>
      <c r="O158">
        <v>0</v>
      </c>
      <c r="P158">
        <v>0</v>
      </c>
      <c r="Q158">
        <v>0</v>
      </c>
      <c r="R158">
        <v>0</v>
      </c>
      <c r="S158">
        <v>0</v>
      </c>
      <c r="T158">
        <v>0</v>
      </c>
      <c r="U158">
        <v>0</v>
      </c>
      <c r="V158" s="8">
        <f>Table1[[#This Row],[Balls Scored From Trench]]+Table1[[#This Row],[Balls Scored from Mid]]+Table1[[#This Row],[Balls Scored From Alliance zone]]</f>
        <v>2</v>
      </c>
      <c r="W158" s="8">
        <f>Table1[[#This Row],[balls scored high]]+Table1[[#This Row],[balls scored low]]</f>
        <v>2</v>
      </c>
      <c r="X158" s="8">
        <f>Table1[[#This Row],[Control Panel Spun Time]]+Table1[[#This Row],[Control Panel Color Time]]</f>
        <v>0</v>
      </c>
      <c r="Y158" s="8">
        <f>Table1[[#This Row],[Control Panels Spun]]+Table1[[#This Row],[Control Panel Color]]</f>
        <v>0</v>
      </c>
      <c r="Z15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2</v>
      </c>
      <c r="AA158">
        <v>0</v>
      </c>
      <c r="AB158">
        <v>0</v>
      </c>
      <c r="AC158">
        <v>0</v>
      </c>
      <c r="AD158">
        <v>0</v>
      </c>
      <c r="AE158">
        <v>0</v>
      </c>
      <c r="AF158">
        <v>0</v>
      </c>
      <c r="AG158">
        <v>0</v>
      </c>
      <c r="AI158" t="s">
        <v>176</v>
      </c>
      <c r="AK158" s="17">
        <f>(Table1[[#This Row],[Climbed]]*weighting!$B$18)+(Table1[[#This Row],[Adjustable Climber]]*weighting!$B$19)+(Table1[[#This Row],[Lift other Robot]]*weighting!$B$20)+(Table1[[#This Row],[Balanced]]*weighting!$B$21)</f>
        <v>0</v>
      </c>
      <c r="AL158" s="8">
        <f>+Table1[[#This Row],[Endgame our score]]+Table1[[#This Row],[teleop our score]]+Table1[[#This Row],[auton our score]]</f>
        <v>9</v>
      </c>
      <c r="AM158" s="20">
        <f t="shared" si="6"/>
        <v>0</v>
      </c>
      <c r="AN158" s="20">
        <f t="shared" si="7"/>
        <v>1</v>
      </c>
      <c r="AO158" s="20">
        <f t="shared" si="8"/>
        <v>0</v>
      </c>
      <c r="AP158" s="20">
        <f>Table1[[#This Row],[balls scored]]+Table1[[#This Row],[auton balls scored]]</f>
        <v>4</v>
      </c>
      <c r="AQ158" s="20">
        <f>Table1[[#This Row],[balls scored high]]+Table1[[#This Row],[Auton Scored High]]</f>
        <v>4</v>
      </c>
      <c r="AR158" s="20">
        <f>Table1[[#This Row],[balls scored low]]+Table1[[#This Row],[Auton Scored Low]]</f>
        <v>0</v>
      </c>
      <c r="AS158" s="50">
        <f>IF(Table1[[#This Row],[Control Panel Spun Time]]&gt;0,1,0)</f>
        <v>0</v>
      </c>
      <c r="AT158" s="20">
        <f>IF(Table1[[#This Row],[Control Panel Color Time]]&gt;0,1,0)</f>
        <v>0</v>
      </c>
    </row>
    <row r="159" spans="1:46" s="2" customFormat="1" x14ac:dyDescent="0.25">
      <c r="A159">
        <v>3555</v>
      </c>
      <c r="B159">
        <v>1</v>
      </c>
      <c r="C159">
        <v>2</v>
      </c>
      <c r="D159">
        <v>0</v>
      </c>
      <c r="E159">
        <v>0</v>
      </c>
      <c r="F159">
        <v>0</v>
      </c>
      <c r="G159">
        <v>0</v>
      </c>
      <c r="H159">
        <v>1</v>
      </c>
      <c r="I159" s="8">
        <f>+Table1[[#This Row],[Auton ball picked up in our trench]]+Table1[[#This Row],[Auton Balls Picked Up in Mid]]+Table1[[#This Row],[Auton Balls Picked Up In Their Trench]]</f>
        <v>0</v>
      </c>
      <c r="J159" s="8">
        <f>+Table1[[#This Row],[Auton Scored High]]+Table1[[#This Row],[Auton Scored Low]]</f>
        <v>2</v>
      </c>
      <c r="K15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7</v>
      </c>
      <c r="L159">
        <v>0</v>
      </c>
      <c r="M159">
        <v>0</v>
      </c>
      <c r="N159">
        <v>0</v>
      </c>
      <c r="O159">
        <v>0</v>
      </c>
      <c r="P159">
        <v>0</v>
      </c>
      <c r="Q159">
        <v>0</v>
      </c>
      <c r="R159">
        <v>0</v>
      </c>
      <c r="S159">
        <v>0</v>
      </c>
      <c r="T159">
        <v>0</v>
      </c>
      <c r="U159">
        <v>0</v>
      </c>
      <c r="V159" s="8">
        <f>Table1[[#This Row],[Balls Scored From Trench]]+Table1[[#This Row],[Balls Scored from Mid]]+Table1[[#This Row],[Balls Scored From Alliance zone]]</f>
        <v>0</v>
      </c>
      <c r="W159" s="8">
        <f>Table1[[#This Row],[balls scored high]]+Table1[[#This Row],[balls scored low]]</f>
        <v>0</v>
      </c>
      <c r="X159" s="8">
        <f>Table1[[#This Row],[Control Panel Spun Time]]+Table1[[#This Row],[Control Panel Color Time]]</f>
        <v>0</v>
      </c>
      <c r="Y159" s="8">
        <f>Table1[[#This Row],[Control Panels Spun]]+Table1[[#This Row],[Control Panel Color]]</f>
        <v>0</v>
      </c>
      <c r="Z15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159">
        <v>0</v>
      </c>
      <c r="AB159">
        <v>0</v>
      </c>
      <c r="AC159">
        <v>0</v>
      </c>
      <c r="AD159">
        <v>0</v>
      </c>
      <c r="AE159">
        <v>0</v>
      </c>
      <c r="AF159">
        <v>0</v>
      </c>
      <c r="AG159">
        <v>0</v>
      </c>
      <c r="AH159"/>
      <c r="AI159" t="s">
        <v>174</v>
      </c>
      <c r="AJ159"/>
      <c r="AK159" s="17">
        <f>(Table1[[#This Row],[Climbed]]*weighting!$B$18)+(Table1[[#This Row],[Adjustable Climber]]*weighting!$B$19)+(Table1[[#This Row],[Lift other Robot]]*weighting!$B$20)+(Table1[[#This Row],[Balanced]]*weighting!$B$21)</f>
        <v>0</v>
      </c>
      <c r="AL159" s="8">
        <f>+Table1[[#This Row],[Endgame our score]]+Table1[[#This Row],[teleop our score]]+Table1[[#This Row],[auton our score]]</f>
        <v>7</v>
      </c>
      <c r="AM159" s="20">
        <f t="shared" si="6"/>
        <v>1</v>
      </c>
      <c r="AN159" s="20">
        <f t="shared" si="7"/>
        <v>0</v>
      </c>
      <c r="AO159" s="20">
        <f t="shared" si="8"/>
        <v>0</v>
      </c>
      <c r="AP159" s="20">
        <f>Table1[[#This Row],[balls scored]]+Table1[[#This Row],[auton balls scored]]</f>
        <v>2</v>
      </c>
      <c r="AQ159" s="20">
        <f>Table1[[#This Row],[balls scored high]]+Table1[[#This Row],[Auton Scored High]]</f>
        <v>2</v>
      </c>
      <c r="AR159" s="20">
        <f>Table1[[#This Row],[balls scored low]]+Table1[[#This Row],[Auton Scored Low]]</f>
        <v>0</v>
      </c>
      <c r="AS159" s="50">
        <f>IF(Table1[[#This Row],[Control Panel Spun Time]]&gt;0,1,0)</f>
        <v>0</v>
      </c>
      <c r="AT159" s="20">
        <f>IF(Table1[[#This Row],[Control Panel Color Time]]&gt;0,1,0)</f>
        <v>0</v>
      </c>
    </row>
    <row r="160" spans="1:46" x14ac:dyDescent="0.25">
      <c r="A160">
        <v>3555</v>
      </c>
      <c r="B160">
        <v>3</v>
      </c>
      <c r="C160">
        <v>0</v>
      </c>
      <c r="D160">
        <v>0</v>
      </c>
      <c r="E160">
        <v>0</v>
      </c>
      <c r="F160">
        <v>0</v>
      </c>
      <c r="G160">
        <v>0</v>
      </c>
      <c r="H160">
        <v>1</v>
      </c>
      <c r="I160" s="8">
        <f>+Table1[[#This Row],[Auton ball picked up in our trench]]+Table1[[#This Row],[Auton Balls Picked Up in Mid]]+Table1[[#This Row],[Auton Balls Picked Up In Their Trench]]</f>
        <v>0</v>
      </c>
      <c r="J160" s="8">
        <f>+Table1[[#This Row],[Auton Scored High]]+Table1[[#This Row],[Auton Scored Low]]</f>
        <v>0</v>
      </c>
      <c r="K16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160">
        <v>0</v>
      </c>
      <c r="M160">
        <v>0</v>
      </c>
      <c r="N160">
        <v>0</v>
      </c>
      <c r="O160">
        <v>0</v>
      </c>
      <c r="P160">
        <v>0</v>
      </c>
      <c r="Q160">
        <v>0</v>
      </c>
      <c r="R160">
        <v>0</v>
      </c>
      <c r="S160">
        <v>0</v>
      </c>
      <c r="T160">
        <v>0</v>
      </c>
      <c r="U160">
        <v>2.5</v>
      </c>
      <c r="V160" s="8">
        <f>Table1[[#This Row],[Balls Scored From Trench]]+Table1[[#This Row],[Balls Scored from Mid]]+Table1[[#This Row],[Balls Scored From Alliance zone]]</f>
        <v>0</v>
      </c>
      <c r="W160" s="8">
        <f>Table1[[#This Row],[balls scored high]]+Table1[[#This Row],[balls scored low]]</f>
        <v>0</v>
      </c>
      <c r="X160" s="8">
        <f>Table1[[#This Row],[Control Panel Spun Time]]+Table1[[#This Row],[Control Panel Color Time]]</f>
        <v>0</v>
      </c>
      <c r="Y160" s="8">
        <f>Table1[[#This Row],[Control Panels Spun]]+Table1[[#This Row],[Control Panel Color]]</f>
        <v>0</v>
      </c>
      <c r="Z16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5</v>
      </c>
      <c r="AA160">
        <v>0</v>
      </c>
      <c r="AB160">
        <v>0</v>
      </c>
      <c r="AC160">
        <v>0</v>
      </c>
      <c r="AD160">
        <v>0</v>
      </c>
      <c r="AE160">
        <v>0</v>
      </c>
      <c r="AF160">
        <v>0</v>
      </c>
      <c r="AG160">
        <v>0</v>
      </c>
      <c r="AI160" t="s">
        <v>174</v>
      </c>
      <c r="AJ160" t="s">
        <v>325</v>
      </c>
      <c r="AK160" s="17">
        <f>(Table1[[#This Row],[Climbed]]*weighting!$B$18)+(Table1[[#This Row],[Adjustable Climber]]*weighting!$B$19)+(Table1[[#This Row],[Lift other Robot]]*weighting!$B$20)+(Table1[[#This Row],[Balanced]]*weighting!$B$21)</f>
        <v>0</v>
      </c>
      <c r="AL160" s="8">
        <f>+Table1[[#This Row],[Endgame our score]]+Table1[[#This Row],[teleop our score]]+Table1[[#This Row],[auton our score]]</f>
        <v>6</v>
      </c>
      <c r="AM160" s="20">
        <f t="shared" si="6"/>
        <v>0</v>
      </c>
      <c r="AN160" s="20">
        <f t="shared" si="7"/>
        <v>0</v>
      </c>
      <c r="AO160" s="20">
        <f t="shared" si="8"/>
        <v>1</v>
      </c>
      <c r="AP160" s="20">
        <f>Table1[[#This Row],[balls scored]]+Table1[[#This Row],[auton balls scored]]</f>
        <v>0</v>
      </c>
      <c r="AQ160" s="20">
        <f>Table1[[#This Row],[balls scored high]]+Table1[[#This Row],[Auton Scored High]]</f>
        <v>0</v>
      </c>
      <c r="AR160" s="20">
        <f>Table1[[#This Row],[balls scored low]]+Table1[[#This Row],[Auton Scored Low]]</f>
        <v>0</v>
      </c>
      <c r="AS160" s="50">
        <f>IF(Table1[[#This Row],[Control Panel Spun Time]]&gt;0,1,0)</f>
        <v>0</v>
      </c>
      <c r="AT160" s="20">
        <f>IF(Table1[[#This Row],[Control Panel Color Time]]&gt;0,1,0)</f>
        <v>0</v>
      </c>
    </row>
    <row r="161" spans="1:46" s="2" customFormat="1" x14ac:dyDescent="0.25">
      <c r="A161">
        <v>3623</v>
      </c>
      <c r="B161">
        <v>2</v>
      </c>
      <c r="C161">
        <v>0</v>
      </c>
      <c r="D161">
        <v>0</v>
      </c>
      <c r="E161">
        <v>0</v>
      </c>
      <c r="F161">
        <v>0</v>
      </c>
      <c r="G161">
        <v>0</v>
      </c>
      <c r="H161">
        <v>0</v>
      </c>
      <c r="I161" s="8">
        <f>+Table1[[#This Row],[Auton ball picked up in our trench]]+Table1[[#This Row],[Auton Balls Picked Up in Mid]]+Table1[[#This Row],[Auton Balls Picked Up In Their Trench]]</f>
        <v>0</v>
      </c>
      <c r="J161" s="8">
        <f>+Table1[[#This Row],[Auton Scored High]]+Table1[[#This Row],[Auton Scored Low]]</f>
        <v>0</v>
      </c>
      <c r="K16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161">
        <v>0</v>
      </c>
      <c r="M161">
        <v>0</v>
      </c>
      <c r="N161">
        <v>0</v>
      </c>
      <c r="O161">
        <v>0</v>
      </c>
      <c r="P161">
        <v>0</v>
      </c>
      <c r="Q161">
        <v>0</v>
      </c>
      <c r="R161">
        <v>0</v>
      </c>
      <c r="S161">
        <v>0</v>
      </c>
      <c r="T161">
        <v>0</v>
      </c>
      <c r="U161">
        <v>0</v>
      </c>
      <c r="V161" s="8">
        <f>Table1[[#This Row],[Balls Scored From Trench]]+Table1[[#This Row],[Balls Scored from Mid]]+Table1[[#This Row],[Balls Scored From Alliance zone]]</f>
        <v>0</v>
      </c>
      <c r="W161" s="8">
        <f>Table1[[#This Row],[balls scored high]]+Table1[[#This Row],[balls scored low]]</f>
        <v>0</v>
      </c>
      <c r="X161" s="8">
        <f>Table1[[#This Row],[Control Panel Spun Time]]+Table1[[#This Row],[Control Panel Color Time]]</f>
        <v>0</v>
      </c>
      <c r="Y161" s="8">
        <f>Table1[[#This Row],[Control Panels Spun]]+Table1[[#This Row],[Control Panel Color]]</f>
        <v>0</v>
      </c>
      <c r="Z16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161">
        <v>0</v>
      </c>
      <c r="AB161">
        <v>0</v>
      </c>
      <c r="AC161">
        <v>0</v>
      </c>
      <c r="AD161">
        <v>0</v>
      </c>
      <c r="AE161">
        <v>0</v>
      </c>
      <c r="AF161">
        <v>0</v>
      </c>
      <c r="AG161">
        <v>0</v>
      </c>
      <c r="AH161"/>
      <c r="AI161" t="s">
        <v>174</v>
      </c>
      <c r="AJ161" t="s">
        <v>197</v>
      </c>
      <c r="AK161" s="17">
        <f>(Table1[[#This Row],[Climbed]]*weighting!$B$18)+(Table1[[#This Row],[Adjustable Climber]]*weighting!$B$19)+(Table1[[#This Row],[Lift other Robot]]*weighting!$B$20)+(Table1[[#This Row],[Balanced]]*weighting!$B$21)</f>
        <v>0</v>
      </c>
      <c r="AL161" s="8">
        <f>+Table1[[#This Row],[Endgame our score]]+Table1[[#This Row],[teleop our score]]+Table1[[#This Row],[auton our score]]</f>
        <v>0</v>
      </c>
      <c r="AM161" s="20">
        <f t="shared" si="6"/>
        <v>0</v>
      </c>
      <c r="AN161" s="20">
        <f t="shared" si="7"/>
        <v>1</v>
      </c>
      <c r="AO161" s="20">
        <f t="shared" si="8"/>
        <v>0</v>
      </c>
      <c r="AP161" s="20">
        <f>Table1[[#This Row],[balls scored]]+Table1[[#This Row],[auton balls scored]]</f>
        <v>0</v>
      </c>
      <c r="AQ161" s="20">
        <f>Table1[[#This Row],[balls scored high]]+Table1[[#This Row],[Auton Scored High]]</f>
        <v>0</v>
      </c>
      <c r="AR161" s="20">
        <f>Table1[[#This Row],[balls scored low]]+Table1[[#This Row],[Auton Scored Low]]</f>
        <v>0</v>
      </c>
      <c r="AS161" s="50">
        <f>IF(Table1[[#This Row],[Control Panel Spun Time]]&gt;0,1,0)</f>
        <v>0</v>
      </c>
      <c r="AT161" s="20">
        <f>IF(Table1[[#This Row],[Control Panel Color Time]]&gt;0,1,0)</f>
        <v>0</v>
      </c>
    </row>
    <row r="162" spans="1:46" x14ac:dyDescent="0.25">
      <c r="A162">
        <v>3623</v>
      </c>
      <c r="B162">
        <v>1</v>
      </c>
      <c r="C162">
        <v>0</v>
      </c>
      <c r="D162">
        <v>0</v>
      </c>
      <c r="E162">
        <v>0</v>
      </c>
      <c r="F162">
        <v>0</v>
      </c>
      <c r="G162">
        <v>0</v>
      </c>
      <c r="H162">
        <v>0</v>
      </c>
      <c r="I162" s="8">
        <f>+Table1[[#This Row],[Auton ball picked up in our trench]]+Table1[[#This Row],[Auton Balls Picked Up in Mid]]+Table1[[#This Row],[Auton Balls Picked Up In Their Trench]]</f>
        <v>0</v>
      </c>
      <c r="J162" s="8">
        <f>+Table1[[#This Row],[Auton Scored High]]+Table1[[#This Row],[Auton Scored Low]]</f>
        <v>0</v>
      </c>
      <c r="K16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162">
        <v>0</v>
      </c>
      <c r="M162">
        <v>0</v>
      </c>
      <c r="N162">
        <v>0</v>
      </c>
      <c r="O162">
        <v>0</v>
      </c>
      <c r="P162">
        <v>0</v>
      </c>
      <c r="Q162">
        <v>0</v>
      </c>
      <c r="R162">
        <v>0</v>
      </c>
      <c r="S162">
        <v>0</v>
      </c>
      <c r="T162">
        <v>0</v>
      </c>
      <c r="U162">
        <v>1</v>
      </c>
      <c r="V162" s="8">
        <f>Table1[[#This Row],[Balls Scored From Trench]]+Table1[[#This Row],[Balls Scored from Mid]]+Table1[[#This Row],[Balls Scored From Alliance zone]]</f>
        <v>0</v>
      </c>
      <c r="W162" s="8">
        <f>Table1[[#This Row],[balls scored high]]+Table1[[#This Row],[balls scored low]]</f>
        <v>0</v>
      </c>
      <c r="X162" s="8">
        <f>Table1[[#This Row],[Control Panel Spun Time]]+Table1[[#This Row],[Control Panel Color Time]]</f>
        <v>0</v>
      </c>
      <c r="Y162" s="8">
        <f>Table1[[#This Row],[Control Panels Spun]]+Table1[[#This Row],[Control Panel Color]]</f>
        <v>0</v>
      </c>
      <c r="Z16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2</v>
      </c>
      <c r="AA162">
        <v>0</v>
      </c>
      <c r="AB162">
        <v>0</v>
      </c>
      <c r="AC162">
        <v>0</v>
      </c>
      <c r="AD162">
        <v>0</v>
      </c>
      <c r="AE162">
        <v>0</v>
      </c>
      <c r="AF162">
        <v>0</v>
      </c>
      <c r="AG162">
        <v>0</v>
      </c>
      <c r="AI162" t="s">
        <v>162</v>
      </c>
      <c r="AK162" s="17">
        <f>(Table1[[#This Row],[Climbed]]*weighting!$B$18)+(Table1[[#This Row],[Adjustable Climber]]*weighting!$B$19)+(Table1[[#This Row],[Lift other Robot]]*weighting!$B$20)+(Table1[[#This Row],[Balanced]]*weighting!$B$21)</f>
        <v>0</v>
      </c>
      <c r="AL162" s="8">
        <f>+Table1[[#This Row],[Endgame our score]]+Table1[[#This Row],[teleop our score]]+Table1[[#This Row],[auton our score]]</f>
        <v>2</v>
      </c>
      <c r="AM162" s="20">
        <f t="shared" si="6"/>
        <v>1</v>
      </c>
      <c r="AN162" s="20">
        <f t="shared" si="7"/>
        <v>0</v>
      </c>
      <c r="AO162" s="20">
        <f t="shared" si="8"/>
        <v>0</v>
      </c>
      <c r="AP162" s="20">
        <f>Table1[[#This Row],[balls scored]]+Table1[[#This Row],[auton balls scored]]</f>
        <v>0</v>
      </c>
      <c r="AQ162" s="20">
        <f>Table1[[#This Row],[balls scored high]]+Table1[[#This Row],[Auton Scored High]]</f>
        <v>0</v>
      </c>
      <c r="AR162" s="20">
        <f>Table1[[#This Row],[balls scored low]]+Table1[[#This Row],[Auton Scored Low]]</f>
        <v>0</v>
      </c>
      <c r="AS162" s="50">
        <f>IF(Table1[[#This Row],[Control Panel Spun Time]]&gt;0,1,0)</f>
        <v>0</v>
      </c>
      <c r="AT162" s="20">
        <f>IF(Table1[[#This Row],[Control Panel Color Time]]&gt;0,1,0)</f>
        <v>0</v>
      </c>
    </row>
    <row r="163" spans="1:46" s="2" customFormat="1" x14ac:dyDescent="0.25">
      <c r="A163">
        <v>3623</v>
      </c>
      <c r="B163">
        <v>1</v>
      </c>
      <c r="C163">
        <v>0</v>
      </c>
      <c r="D163">
        <v>0</v>
      </c>
      <c r="E163">
        <v>0</v>
      </c>
      <c r="F163">
        <v>0</v>
      </c>
      <c r="G163">
        <v>0</v>
      </c>
      <c r="H163">
        <v>0</v>
      </c>
      <c r="I163" s="8">
        <f>+Table1[[#This Row],[Auton ball picked up in our trench]]+Table1[[#This Row],[Auton Balls Picked Up in Mid]]+Table1[[#This Row],[Auton Balls Picked Up In Their Trench]]</f>
        <v>0</v>
      </c>
      <c r="J163" s="8">
        <f>+Table1[[#This Row],[Auton Scored High]]+Table1[[#This Row],[Auton Scored Low]]</f>
        <v>0</v>
      </c>
      <c r="K16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163">
        <v>0</v>
      </c>
      <c r="M163">
        <v>1</v>
      </c>
      <c r="N163">
        <v>0</v>
      </c>
      <c r="O163">
        <v>0</v>
      </c>
      <c r="P163">
        <v>0</v>
      </c>
      <c r="Q163">
        <v>0</v>
      </c>
      <c r="R163">
        <v>0</v>
      </c>
      <c r="S163">
        <v>0</v>
      </c>
      <c r="T163">
        <v>0</v>
      </c>
      <c r="U163">
        <v>0</v>
      </c>
      <c r="V163" s="8">
        <f>Table1[[#This Row],[Balls Scored From Trench]]+Table1[[#This Row],[Balls Scored from Mid]]+Table1[[#This Row],[Balls Scored From Alliance zone]]</f>
        <v>1</v>
      </c>
      <c r="W163" s="8">
        <f>Table1[[#This Row],[balls scored high]]+Table1[[#This Row],[balls scored low]]</f>
        <v>1</v>
      </c>
      <c r="X163" s="8">
        <f>Table1[[#This Row],[Control Panel Spun Time]]+Table1[[#This Row],[Control Panel Color Time]]</f>
        <v>0</v>
      </c>
      <c r="Y163" s="8">
        <f>Table1[[#This Row],[Control Panels Spun]]+Table1[[#This Row],[Control Panel Color]]</f>
        <v>0</v>
      </c>
      <c r="Z16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2</v>
      </c>
      <c r="AA163">
        <v>0</v>
      </c>
      <c r="AB163">
        <v>0</v>
      </c>
      <c r="AC163">
        <v>0</v>
      </c>
      <c r="AD163">
        <v>0</v>
      </c>
      <c r="AE163">
        <v>0</v>
      </c>
      <c r="AF163">
        <v>0</v>
      </c>
      <c r="AG163">
        <v>0</v>
      </c>
      <c r="AH163"/>
      <c r="AI163" t="s">
        <v>43</v>
      </c>
      <c r="AJ163" t="s">
        <v>259</v>
      </c>
      <c r="AK163" s="17">
        <f>(Table1[[#This Row],[Climbed]]*weighting!$B$18)+(Table1[[#This Row],[Adjustable Climber]]*weighting!$B$19)+(Table1[[#This Row],[Lift other Robot]]*weighting!$B$20)+(Table1[[#This Row],[Balanced]]*weighting!$B$21)</f>
        <v>0</v>
      </c>
      <c r="AL163" s="8">
        <f>+Table1[[#This Row],[Endgame our score]]+Table1[[#This Row],[teleop our score]]+Table1[[#This Row],[auton our score]]</f>
        <v>2</v>
      </c>
      <c r="AM163" s="20">
        <f t="shared" si="6"/>
        <v>1</v>
      </c>
      <c r="AN163" s="20">
        <f t="shared" si="7"/>
        <v>0</v>
      </c>
      <c r="AO163" s="20">
        <f t="shared" si="8"/>
        <v>0</v>
      </c>
      <c r="AP163" s="20">
        <f>Table1[[#This Row],[balls scored]]+Table1[[#This Row],[auton balls scored]]</f>
        <v>1</v>
      </c>
      <c r="AQ163" s="20">
        <f>Table1[[#This Row],[balls scored high]]+Table1[[#This Row],[Auton Scored High]]</f>
        <v>1</v>
      </c>
      <c r="AR163" s="20">
        <f>Table1[[#This Row],[balls scored low]]+Table1[[#This Row],[Auton Scored Low]]</f>
        <v>0</v>
      </c>
      <c r="AS163" s="50">
        <f>IF(Table1[[#This Row],[Control Panel Spun Time]]&gt;0,1,0)</f>
        <v>0</v>
      </c>
      <c r="AT163" s="20">
        <f>IF(Table1[[#This Row],[Control Panel Color Time]]&gt;0,1,0)</f>
        <v>0</v>
      </c>
    </row>
    <row r="164" spans="1:46" x14ac:dyDescent="0.25">
      <c r="A164">
        <v>3623</v>
      </c>
      <c r="B164">
        <v>1</v>
      </c>
      <c r="C164">
        <v>0</v>
      </c>
      <c r="D164">
        <v>0</v>
      </c>
      <c r="E164">
        <v>0</v>
      </c>
      <c r="F164">
        <v>0</v>
      </c>
      <c r="G164">
        <v>0</v>
      </c>
      <c r="H164">
        <v>0</v>
      </c>
      <c r="I164" s="8">
        <f>+Table1[[#This Row],[Auton ball picked up in our trench]]+Table1[[#This Row],[Auton Balls Picked Up in Mid]]+Table1[[#This Row],[Auton Balls Picked Up In Their Trench]]</f>
        <v>0</v>
      </c>
      <c r="J164" s="8">
        <f>+Table1[[#This Row],[Auton Scored High]]+Table1[[#This Row],[Auton Scored Low]]</f>
        <v>0</v>
      </c>
      <c r="K16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164">
        <v>0</v>
      </c>
      <c r="M164">
        <v>0</v>
      </c>
      <c r="N164">
        <v>1</v>
      </c>
      <c r="O164">
        <v>0</v>
      </c>
      <c r="P164">
        <v>0</v>
      </c>
      <c r="Q164">
        <v>0</v>
      </c>
      <c r="R164">
        <v>0</v>
      </c>
      <c r="S164">
        <v>0</v>
      </c>
      <c r="T164">
        <v>0</v>
      </c>
      <c r="U164">
        <v>0</v>
      </c>
      <c r="V164" s="8">
        <f>Table1[[#This Row],[Balls Scored From Trench]]+Table1[[#This Row],[Balls Scored from Mid]]+Table1[[#This Row],[Balls Scored From Alliance zone]]</f>
        <v>1</v>
      </c>
      <c r="W164" s="8">
        <f>Table1[[#This Row],[balls scored high]]+Table1[[#This Row],[balls scored low]]</f>
        <v>1</v>
      </c>
      <c r="X164" s="8">
        <f>Table1[[#This Row],[Control Panel Spun Time]]+Table1[[#This Row],[Control Panel Color Time]]</f>
        <v>0</v>
      </c>
      <c r="Y164" s="8">
        <f>Table1[[#This Row],[Control Panels Spun]]+Table1[[#This Row],[Control Panel Color]]</f>
        <v>0</v>
      </c>
      <c r="Z16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v>
      </c>
      <c r="AA164">
        <v>0</v>
      </c>
      <c r="AB164">
        <v>0</v>
      </c>
      <c r="AC164">
        <v>0</v>
      </c>
      <c r="AD164">
        <v>0</v>
      </c>
      <c r="AE164">
        <v>0</v>
      </c>
      <c r="AF164">
        <v>0</v>
      </c>
      <c r="AG164">
        <v>0</v>
      </c>
      <c r="AI164" t="s">
        <v>229</v>
      </c>
      <c r="AJ164" t="s">
        <v>291</v>
      </c>
      <c r="AK164" s="17">
        <f>(Table1[[#This Row],[Climbed]]*weighting!$B$18)+(Table1[[#This Row],[Adjustable Climber]]*weighting!$B$19)+(Table1[[#This Row],[Lift other Robot]]*weighting!$B$20)+(Table1[[#This Row],[Balanced]]*weighting!$B$21)</f>
        <v>0</v>
      </c>
      <c r="AL164" s="8">
        <f>+Table1[[#This Row],[Endgame our score]]+Table1[[#This Row],[teleop our score]]+Table1[[#This Row],[auton our score]]</f>
        <v>1</v>
      </c>
      <c r="AM164" s="20">
        <f t="shared" si="6"/>
        <v>1</v>
      </c>
      <c r="AN164" s="20">
        <f t="shared" si="7"/>
        <v>0</v>
      </c>
      <c r="AO164" s="20">
        <f t="shared" si="8"/>
        <v>0</v>
      </c>
      <c r="AP164" s="20">
        <f>Table1[[#This Row],[balls scored]]+Table1[[#This Row],[auton balls scored]]</f>
        <v>1</v>
      </c>
      <c r="AQ164" s="20">
        <f>Table1[[#This Row],[balls scored high]]+Table1[[#This Row],[Auton Scored High]]</f>
        <v>1</v>
      </c>
      <c r="AR164" s="20">
        <f>Table1[[#This Row],[balls scored low]]+Table1[[#This Row],[Auton Scored Low]]</f>
        <v>0</v>
      </c>
      <c r="AS164" s="50">
        <f>IF(Table1[[#This Row],[Control Panel Spun Time]]&gt;0,1,0)</f>
        <v>0</v>
      </c>
      <c r="AT164" s="20">
        <f>IF(Table1[[#This Row],[Control Panel Color Time]]&gt;0,1,0)</f>
        <v>0</v>
      </c>
    </row>
    <row r="165" spans="1:46" s="2" customFormat="1" x14ac:dyDescent="0.25">
      <c r="A165">
        <v>3623</v>
      </c>
      <c r="B165">
        <v>1</v>
      </c>
      <c r="C165">
        <v>0</v>
      </c>
      <c r="D165">
        <v>0</v>
      </c>
      <c r="E165">
        <v>0</v>
      </c>
      <c r="F165">
        <v>0</v>
      </c>
      <c r="G165">
        <v>0</v>
      </c>
      <c r="H165">
        <v>0</v>
      </c>
      <c r="I165" s="8">
        <f>+Table1[[#This Row],[Auton ball picked up in our trench]]+Table1[[#This Row],[Auton Balls Picked Up in Mid]]+Table1[[#This Row],[Auton Balls Picked Up In Their Trench]]</f>
        <v>0</v>
      </c>
      <c r="J165" s="8">
        <f>+Table1[[#This Row],[Auton Scored High]]+Table1[[#This Row],[Auton Scored Low]]</f>
        <v>0</v>
      </c>
      <c r="K16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165">
        <v>0</v>
      </c>
      <c r="M165">
        <v>0</v>
      </c>
      <c r="N165">
        <v>0</v>
      </c>
      <c r="O165">
        <v>0</v>
      </c>
      <c r="P165">
        <v>0</v>
      </c>
      <c r="Q165">
        <v>0</v>
      </c>
      <c r="R165">
        <v>0</v>
      </c>
      <c r="S165">
        <v>0</v>
      </c>
      <c r="T165">
        <v>0</v>
      </c>
      <c r="U165">
        <v>0</v>
      </c>
      <c r="V165" s="8">
        <f>Table1[[#This Row],[Balls Scored From Trench]]+Table1[[#This Row],[Balls Scored from Mid]]+Table1[[#This Row],[Balls Scored From Alliance zone]]</f>
        <v>0</v>
      </c>
      <c r="W165" s="8">
        <f>Table1[[#This Row],[balls scored high]]+Table1[[#This Row],[balls scored low]]</f>
        <v>0</v>
      </c>
      <c r="X165" s="8">
        <f>Table1[[#This Row],[Control Panel Spun Time]]+Table1[[#This Row],[Control Panel Color Time]]</f>
        <v>0</v>
      </c>
      <c r="Y165" s="8">
        <f>Table1[[#This Row],[Control Panels Spun]]+Table1[[#This Row],[Control Panel Color]]</f>
        <v>0</v>
      </c>
      <c r="Z16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165">
        <v>0</v>
      </c>
      <c r="AB165">
        <v>0</v>
      </c>
      <c r="AC165">
        <v>0</v>
      </c>
      <c r="AD165">
        <v>0</v>
      </c>
      <c r="AE165">
        <v>0</v>
      </c>
      <c r="AF165">
        <v>0</v>
      </c>
      <c r="AG165">
        <v>0</v>
      </c>
      <c r="AH165"/>
      <c r="AI165" t="s">
        <v>174</v>
      </c>
      <c r="AJ165"/>
      <c r="AK165" s="17">
        <f>(Table1[[#This Row],[Climbed]]*weighting!$B$18)+(Table1[[#This Row],[Adjustable Climber]]*weighting!$B$19)+(Table1[[#This Row],[Lift other Robot]]*weighting!$B$20)+(Table1[[#This Row],[Balanced]]*weighting!$B$21)</f>
        <v>0</v>
      </c>
      <c r="AL165" s="8">
        <f>+Table1[[#This Row],[Endgame our score]]+Table1[[#This Row],[teleop our score]]+Table1[[#This Row],[auton our score]]</f>
        <v>0</v>
      </c>
      <c r="AM165" s="20">
        <f t="shared" si="6"/>
        <v>1</v>
      </c>
      <c r="AN165" s="20">
        <f t="shared" si="7"/>
        <v>0</v>
      </c>
      <c r="AO165" s="20">
        <f t="shared" si="8"/>
        <v>0</v>
      </c>
      <c r="AP165" s="20">
        <f>Table1[[#This Row],[balls scored]]+Table1[[#This Row],[auton balls scored]]</f>
        <v>0</v>
      </c>
      <c r="AQ165" s="20">
        <f>Table1[[#This Row],[balls scored high]]+Table1[[#This Row],[Auton Scored High]]</f>
        <v>0</v>
      </c>
      <c r="AR165" s="20">
        <f>Table1[[#This Row],[balls scored low]]+Table1[[#This Row],[Auton Scored Low]]</f>
        <v>0</v>
      </c>
      <c r="AS165" s="50">
        <f>IF(Table1[[#This Row],[Control Panel Spun Time]]&gt;0,1,0)</f>
        <v>0</v>
      </c>
      <c r="AT165" s="20">
        <f>IF(Table1[[#This Row],[Control Panel Color Time]]&gt;0,1,0)</f>
        <v>0</v>
      </c>
    </row>
    <row r="166" spans="1:46" x14ac:dyDescent="0.25">
      <c r="A166">
        <v>3719</v>
      </c>
      <c r="B166">
        <v>1</v>
      </c>
      <c r="C166">
        <v>0</v>
      </c>
      <c r="D166">
        <v>0</v>
      </c>
      <c r="E166">
        <v>0</v>
      </c>
      <c r="F166">
        <v>0</v>
      </c>
      <c r="G166">
        <v>0</v>
      </c>
      <c r="H166">
        <v>0</v>
      </c>
      <c r="I166" s="8">
        <f>+Table1[[#This Row],[Auton ball picked up in our trench]]+Table1[[#This Row],[Auton Balls Picked Up in Mid]]+Table1[[#This Row],[Auton Balls Picked Up In Their Trench]]</f>
        <v>0</v>
      </c>
      <c r="J166" s="8">
        <f>+Table1[[#This Row],[Auton Scored High]]+Table1[[#This Row],[Auton Scored Low]]</f>
        <v>0</v>
      </c>
      <c r="K16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166">
        <v>0</v>
      </c>
      <c r="M166">
        <v>0</v>
      </c>
      <c r="N166">
        <v>0</v>
      </c>
      <c r="O166">
        <v>0</v>
      </c>
      <c r="P166">
        <v>0</v>
      </c>
      <c r="Q166">
        <v>0</v>
      </c>
      <c r="R166">
        <v>0</v>
      </c>
      <c r="S166">
        <v>0</v>
      </c>
      <c r="T166">
        <v>0</v>
      </c>
      <c r="U166">
        <v>0</v>
      </c>
      <c r="V166" s="8">
        <f>Table1[[#This Row],[Balls Scored From Trench]]+Table1[[#This Row],[Balls Scored from Mid]]+Table1[[#This Row],[Balls Scored From Alliance zone]]</f>
        <v>0</v>
      </c>
      <c r="W166" s="8">
        <f>Table1[[#This Row],[balls scored high]]+Table1[[#This Row],[balls scored low]]</f>
        <v>0</v>
      </c>
      <c r="X166" s="8">
        <f>Table1[[#This Row],[Control Panel Spun Time]]+Table1[[#This Row],[Control Panel Color Time]]</f>
        <v>0</v>
      </c>
      <c r="Y166" s="8">
        <f>Table1[[#This Row],[Control Panels Spun]]+Table1[[#This Row],[Control Panel Color]]</f>
        <v>0</v>
      </c>
      <c r="Z16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166">
        <v>0</v>
      </c>
      <c r="AB166">
        <v>0</v>
      </c>
      <c r="AC166">
        <v>0</v>
      </c>
      <c r="AD166">
        <v>0</v>
      </c>
      <c r="AE166">
        <v>0</v>
      </c>
      <c r="AF166">
        <v>1</v>
      </c>
      <c r="AG166">
        <v>0</v>
      </c>
      <c r="AI166" t="s">
        <v>173</v>
      </c>
      <c r="AK166" s="17">
        <f>(Table1[[#This Row],[Climbed]]*weighting!$B$18)+(Table1[[#This Row],[Adjustable Climber]]*weighting!$B$19)+(Table1[[#This Row],[Lift other Robot]]*weighting!$B$20)+(Table1[[#This Row],[Balanced]]*weighting!$B$21)</f>
        <v>0</v>
      </c>
      <c r="AL166" s="8">
        <f>+Table1[[#This Row],[Endgame our score]]+Table1[[#This Row],[teleop our score]]+Table1[[#This Row],[auton our score]]</f>
        <v>0</v>
      </c>
      <c r="AM166" s="20">
        <f t="shared" si="6"/>
        <v>1</v>
      </c>
      <c r="AN166" s="20">
        <f t="shared" si="7"/>
        <v>0</v>
      </c>
      <c r="AO166" s="20">
        <f t="shared" si="8"/>
        <v>0</v>
      </c>
      <c r="AP166" s="20">
        <f>Table1[[#This Row],[balls scored]]+Table1[[#This Row],[auton balls scored]]</f>
        <v>0</v>
      </c>
      <c r="AQ166" s="20">
        <f>Table1[[#This Row],[balls scored high]]+Table1[[#This Row],[Auton Scored High]]</f>
        <v>0</v>
      </c>
      <c r="AR166" s="20">
        <f>Table1[[#This Row],[balls scored low]]+Table1[[#This Row],[Auton Scored Low]]</f>
        <v>0</v>
      </c>
      <c r="AS166" s="50">
        <f>IF(Table1[[#This Row],[Control Panel Spun Time]]&gt;0,1,0)</f>
        <v>0</v>
      </c>
      <c r="AT166" s="20">
        <f>IF(Table1[[#This Row],[Control Panel Color Time]]&gt;0,1,0)</f>
        <v>0</v>
      </c>
    </row>
    <row r="167" spans="1:46" s="2" customFormat="1" x14ac:dyDescent="0.25">
      <c r="A167">
        <v>3719</v>
      </c>
      <c r="B167">
        <v>1</v>
      </c>
      <c r="C167">
        <v>0</v>
      </c>
      <c r="D167">
        <v>0</v>
      </c>
      <c r="E167">
        <v>0</v>
      </c>
      <c r="F167">
        <v>0</v>
      </c>
      <c r="G167">
        <v>0</v>
      </c>
      <c r="H167">
        <v>0</v>
      </c>
      <c r="I167" s="8">
        <f>+Table1[[#This Row],[Auton ball picked up in our trench]]+Table1[[#This Row],[Auton Balls Picked Up in Mid]]+Table1[[#This Row],[Auton Balls Picked Up In Their Trench]]</f>
        <v>0</v>
      </c>
      <c r="J167" s="8">
        <f>+Table1[[#This Row],[Auton Scored High]]+Table1[[#This Row],[Auton Scored Low]]</f>
        <v>0</v>
      </c>
      <c r="K16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167">
        <v>0</v>
      </c>
      <c r="M167">
        <v>0</v>
      </c>
      <c r="N167">
        <v>2</v>
      </c>
      <c r="O167">
        <v>0</v>
      </c>
      <c r="P167">
        <v>0</v>
      </c>
      <c r="Q167">
        <v>0</v>
      </c>
      <c r="R167">
        <v>0</v>
      </c>
      <c r="S167">
        <v>0</v>
      </c>
      <c r="T167">
        <v>0</v>
      </c>
      <c r="U167">
        <v>0</v>
      </c>
      <c r="V167" s="8">
        <f>Table1[[#This Row],[Balls Scored From Trench]]+Table1[[#This Row],[Balls Scored from Mid]]+Table1[[#This Row],[Balls Scored From Alliance zone]]</f>
        <v>2</v>
      </c>
      <c r="W167" s="8">
        <f>Table1[[#This Row],[balls scored high]]+Table1[[#This Row],[balls scored low]]</f>
        <v>2</v>
      </c>
      <c r="X167" s="8">
        <f>Table1[[#This Row],[Control Panel Spun Time]]+Table1[[#This Row],[Control Panel Color Time]]</f>
        <v>0</v>
      </c>
      <c r="Y167" s="8">
        <f>Table1[[#This Row],[Control Panels Spun]]+Table1[[#This Row],[Control Panel Color]]</f>
        <v>0</v>
      </c>
      <c r="Z16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2</v>
      </c>
      <c r="AA167">
        <v>0</v>
      </c>
      <c r="AB167">
        <v>0</v>
      </c>
      <c r="AC167">
        <v>0</v>
      </c>
      <c r="AD167">
        <v>0</v>
      </c>
      <c r="AE167">
        <v>1</v>
      </c>
      <c r="AF167">
        <v>0</v>
      </c>
      <c r="AG167">
        <v>0</v>
      </c>
      <c r="AH167"/>
      <c r="AI167" t="s">
        <v>179</v>
      </c>
      <c r="AJ167" t="s">
        <v>219</v>
      </c>
      <c r="AK167" s="17">
        <f>(Table1[[#This Row],[Climbed]]*weighting!$B$18)+(Table1[[#This Row],[Adjustable Climber]]*weighting!$B$19)+(Table1[[#This Row],[Lift other Robot]]*weighting!$B$20)+(Table1[[#This Row],[Balanced]]*weighting!$B$21)</f>
        <v>0</v>
      </c>
      <c r="AL167" s="8">
        <f>+Table1[[#This Row],[Endgame our score]]+Table1[[#This Row],[teleop our score]]+Table1[[#This Row],[auton our score]]</f>
        <v>2</v>
      </c>
      <c r="AM167" s="20">
        <f t="shared" si="6"/>
        <v>1</v>
      </c>
      <c r="AN167" s="20">
        <f t="shared" si="7"/>
        <v>0</v>
      </c>
      <c r="AO167" s="20">
        <f t="shared" si="8"/>
        <v>0</v>
      </c>
      <c r="AP167" s="20">
        <f>Table1[[#This Row],[balls scored]]+Table1[[#This Row],[auton balls scored]]</f>
        <v>2</v>
      </c>
      <c r="AQ167" s="20">
        <f>Table1[[#This Row],[balls scored high]]+Table1[[#This Row],[Auton Scored High]]</f>
        <v>2</v>
      </c>
      <c r="AR167" s="20">
        <f>Table1[[#This Row],[balls scored low]]+Table1[[#This Row],[Auton Scored Low]]</f>
        <v>0</v>
      </c>
      <c r="AS167" s="50">
        <f>IF(Table1[[#This Row],[Control Panel Spun Time]]&gt;0,1,0)</f>
        <v>0</v>
      </c>
      <c r="AT167" s="20">
        <f>IF(Table1[[#This Row],[Control Panel Color Time]]&gt;0,1,0)</f>
        <v>0</v>
      </c>
    </row>
    <row r="168" spans="1:46" x14ac:dyDescent="0.25">
      <c r="A168">
        <v>3719</v>
      </c>
      <c r="B168">
        <v>1</v>
      </c>
      <c r="C168">
        <v>0</v>
      </c>
      <c r="D168">
        <v>0</v>
      </c>
      <c r="E168">
        <v>0</v>
      </c>
      <c r="F168">
        <v>0</v>
      </c>
      <c r="G168">
        <v>0</v>
      </c>
      <c r="H168">
        <v>1</v>
      </c>
      <c r="I168" s="8">
        <f>+Table1[[#This Row],[Auton ball picked up in our trench]]+Table1[[#This Row],[Auton Balls Picked Up in Mid]]+Table1[[#This Row],[Auton Balls Picked Up In Their Trench]]</f>
        <v>0</v>
      </c>
      <c r="J168" s="8">
        <f>+Table1[[#This Row],[Auton Scored High]]+Table1[[#This Row],[Auton Scored Low]]</f>
        <v>0</v>
      </c>
      <c r="K16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168">
        <v>0</v>
      </c>
      <c r="M168">
        <v>0</v>
      </c>
      <c r="N168">
        <v>0</v>
      </c>
      <c r="O168">
        <v>0</v>
      </c>
      <c r="P168">
        <v>0</v>
      </c>
      <c r="Q168">
        <v>0</v>
      </c>
      <c r="R168">
        <v>0</v>
      </c>
      <c r="S168">
        <v>0</v>
      </c>
      <c r="T168">
        <v>0</v>
      </c>
      <c r="U168">
        <v>0</v>
      </c>
      <c r="V168" s="8">
        <f>Table1[[#This Row],[Balls Scored From Trench]]+Table1[[#This Row],[Balls Scored from Mid]]+Table1[[#This Row],[Balls Scored From Alliance zone]]</f>
        <v>0</v>
      </c>
      <c r="W168" s="8">
        <f>Table1[[#This Row],[balls scored high]]+Table1[[#This Row],[balls scored low]]</f>
        <v>0</v>
      </c>
      <c r="X168" s="8">
        <f>Table1[[#This Row],[Control Panel Spun Time]]+Table1[[#This Row],[Control Panel Color Time]]</f>
        <v>0</v>
      </c>
      <c r="Y168" s="8">
        <f>Table1[[#This Row],[Control Panels Spun]]+Table1[[#This Row],[Control Panel Color]]</f>
        <v>0</v>
      </c>
      <c r="Z16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168">
        <v>0</v>
      </c>
      <c r="AB168">
        <v>0</v>
      </c>
      <c r="AC168">
        <v>0</v>
      </c>
      <c r="AD168">
        <v>0</v>
      </c>
      <c r="AE168">
        <v>0</v>
      </c>
      <c r="AF168">
        <v>1</v>
      </c>
      <c r="AG168">
        <v>0</v>
      </c>
      <c r="AI168" t="s">
        <v>179</v>
      </c>
      <c r="AJ168" t="s">
        <v>234</v>
      </c>
      <c r="AK168" s="17">
        <f>(Table1[[#This Row],[Climbed]]*weighting!$B$18)+(Table1[[#This Row],[Adjustable Climber]]*weighting!$B$19)+(Table1[[#This Row],[Lift other Robot]]*weighting!$B$20)+(Table1[[#This Row],[Balanced]]*weighting!$B$21)</f>
        <v>0</v>
      </c>
      <c r="AL168" s="8">
        <f>+Table1[[#This Row],[Endgame our score]]+Table1[[#This Row],[teleop our score]]+Table1[[#This Row],[auton our score]]</f>
        <v>1</v>
      </c>
      <c r="AM168" s="20">
        <f t="shared" si="6"/>
        <v>1</v>
      </c>
      <c r="AN168" s="20">
        <f t="shared" si="7"/>
        <v>0</v>
      </c>
      <c r="AO168" s="20">
        <f t="shared" si="8"/>
        <v>0</v>
      </c>
      <c r="AP168" s="20">
        <f>Table1[[#This Row],[balls scored]]+Table1[[#This Row],[auton balls scored]]</f>
        <v>0</v>
      </c>
      <c r="AQ168" s="20">
        <f>Table1[[#This Row],[balls scored high]]+Table1[[#This Row],[Auton Scored High]]</f>
        <v>0</v>
      </c>
      <c r="AR168" s="20">
        <f>Table1[[#This Row],[balls scored low]]+Table1[[#This Row],[Auton Scored Low]]</f>
        <v>0</v>
      </c>
      <c r="AS168" s="50">
        <f>IF(Table1[[#This Row],[Control Panel Spun Time]]&gt;0,1,0)</f>
        <v>0</v>
      </c>
      <c r="AT168" s="20">
        <f>IF(Table1[[#This Row],[Control Panel Color Time]]&gt;0,1,0)</f>
        <v>0</v>
      </c>
    </row>
    <row r="169" spans="1:46" s="2" customFormat="1" x14ac:dyDescent="0.25">
      <c r="A169">
        <v>3719</v>
      </c>
      <c r="B169">
        <v>2</v>
      </c>
      <c r="C169">
        <v>0</v>
      </c>
      <c r="D169">
        <v>0</v>
      </c>
      <c r="E169">
        <v>0</v>
      </c>
      <c r="F169">
        <v>0</v>
      </c>
      <c r="G169">
        <v>0</v>
      </c>
      <c r="H169">
        <v>1</v>
      </c>
      <c r="I169" s="8">
        <f>+Table1[[#This Row],[Auton ball picked up in our trench]]+Table1[[#This Row],[Auton Balls Picked Up in Mid]]+Table1[[#This Row],[Auton Balls Picked Up In Their Trench]]</f>
        <v>0</v>
      </c>
      <c r="J169" s="8">
        <f>+Table1[[#This Row],[Auton Scored High]]+Table1[[#This Row],[Auton Scored Low]]</f>
        <v>0</v>
      </c>
      <c r="K16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169">
        <v>0</v>
      </c>
      <c r="M169">
        <v>3</v>
      </c>
      <c r="N169">
        <v>0</v>
      </c>
      <c r="O169">
        <v>0</v>
      </c>
      <c r="P169">
        <v>0</v>
      </c>
      <c r="Q169">
        <v>0</v>
      </c>
      <c r="R169">
        <v>0</v>
      </c>
      <c r="S169">
        <v>0</v>
      </c>
      <c r="T169">
        <v>0</v>
      </c>
      <c r="U169">
        <v>0</v>
      </c>
      <c r="V169" s="8">
        <f>Table1[[#This Row],[Balls Scored From Trench]]+Table1[[#This Row],[Balls Scored from Mid]]+Table1[[#This Row],[Balls Scored From Alliance zone]]</f>
        <v>3</v>
      </c>
      <c r="W169" s="8">
        <f>Table1[[#This Row],[balls scored high]]+Table1[[#This Row],[balls scored low]]</f>
        <v>3</v>
      </c>
      <c r="X169" s="8">
        <f>Table1[[#This Row],[Control Panel Spun Time]]+Table1[[#This Row],[Control Panel Color Time]]</f>
        <v>0</v>
      </c>
      <c r="Y169" s="8">
        <f>Table1[[#This Row],[Control Panels Spun]]+Table1[[#This Row],[Control Panel Color]]</f>
        <v>0</v>
      </c>
      <c r="Z16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6</v>
      </c>
      <c r="AA169">
        <v>0</v>
      </c>
      <c r="AB169">
        <v>0</v>
      </c>
      <c r="AC169">
        <v>0</v>
      </c>
      <c r="AD169">
        <v>0</v>
      </c>
      <c r="AE169">
        <v>0</v>
      </c>
      <c r="AF169">
        <v>0</v>
      </c>
      <c r="AG169">
        <v>0</v>
      </c>
      <c r="AH169"/>
      <c r="AI169" t="s">
        <v>179</v>
      </c>
      <c r="AJ169"/>
      <c r="AK169" s="17">
        <f>(Table1[[#This Row],[Climbed]]*weighting!$B$18)+(Table1[[#This Row],[Adjustable Climber]]*weighting!$B$19)+(Table1[[#This Row],[Lift other Robot]]*weighting!$B$20)+(Table1[[#This Row],[Balanced]]*weighting!$B$21)</f>
        <v>0</v>
      </c>
      <c r="AL169" s="8">
        <f>+Table1[[#This Row],[Endgame our score]]+Table1[[#This Row],[teleop our score]]+Table1[[#This Row],[auton our score]]</f>
        <v>7</v>
      </c>
      <c r="AM169" s="20">
        <f t="shared" si="6"/>
        <v>0</v>
      </c>
      <c r="AN169" s="20">
        <f t="shared" si="7"/>
        <v>1</v>
      </c>
      <c r="AO169" s="20">
        <f t="shared" si="8"/>
        <v>0</v>
      </c>
      <c r="AP169" s="20">
        <f>Table1[[#This Row],[balls scored]]+Table1[[#This Row],[auton balls scored]]</f>
        <v>3</v>
      </c>
      <c r="AQ169" s="20">
        <f>Table1[[#This Row],[balls scored high]]+Table1[[#This Row],[Auton Scored High]]</f>
        <v>3</v>
      </c>
      <c r="AR169" s="20">
        <f>Table1[[#This Row],[balls scored low]]+Table1[[#This Row],[Auton Scored Low]]</f>
        <v>0</v>
      </c>
      <c r="AS169" s="50">
        <f>IF(Table1[[#This Row],[Control Panel Spun Time]]&gt;0,1,0)</f>
        <v>0</v>
      </c>
      <c r="AT169" s="20">
        <f>IF(Table1[[#This Row],[Control Panel Color Time]]&gt;0,1,0)</f>
        <v>0</v>
      </c>
    </row>
    <row r="170" spans="1:46" x14ac:dyDescent="0.25">
      <c r="A170">
        <v>3719</v>
      </c>
      <c r="B170">
        <v>1</v>
      </c>
      <c r="C170">
        <v>0</v>
      </c>
      <c r="D170">
        <v>0</v>
      </c>
      <c r="E170">
        <v>0</v>
      </c>
      <c r="F170">
        <v>0</v>
      </c>
      <c r="G170">
        <v>0</v>
      </c>
      <c r="H170">
        <v>0</v>
      </c>
      <c r="I170" s="8">
        <f>+Table1[[#This Row],[Auton ball picked up in our trench]]+Table1[[#This Row],[Auton Balls Picked Up in Mid]]+Table1[[#This Row],[Auton Balls Picked Up In Their Trench]]</f>
        <v>0</v>
      </c>
      <c r="J170" s="8">
        <f>+Table1[[#This Row],[Auton Scored High]]+Table1[[#This Row],[Auton Scored Low]]</f>
        <v>0</v>
      </c>
      <c r="K17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170">
        <v>0</v>
      </c>
      <c r="M170">
        <v>0</v>
      </c>
      <c r="N170">
        <v>0</v>
      </c>
      <c r="O170">
        <v>0</v>
      </c>
      <c r="P170">
        <v>0</v>
      </c>
      <c r="Q170">
        <v>0</v>
      </c>
      <c r="R170">
        <v>0</v>
      </c>
      <c r="S170">
        <v>0</v>
      </c>
      <c r="T170">
        <v>0</v>
      </c>
      <c r="U170">
        <v>0</v>
      </c>
      <c r="V170" s="8">
        <f>Table1[[#This Row],[Balls Scored From Trench]]+Table1[[#This Row],[Balls Scored from Mid]]+Table1[[#This Row],[Balls Scored From Alliance zone]]</f>
        <v>0</v>
      </c>
      <c r="W170" s="8">
        <f>Table1[[#This Row],[balls scored high]]+Table1[[#This Row],[balls scored low]]</f>
        <v>0</v>
      </c>
      <c r="X170" s="8">
        <f>Table1[[#This Row],[Control Panel Spun Time]]+Table1[[#This Row],[Control Panel Color Time]]</f>
        <v>0</v>
      </c>
      <c r="Y170" s="8">
        <f>Table1[[#This Row],[Control Panels Spun]]+Table1[[#This Row],[Control Panel Color]]</f>
        <v>0</v>
      </c>
      <c r="Z17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170">
        <v>0</v>
      </c>
      <c r="AB170">
        <v>0</v>
      </c>
      <c r="AC170">
        <v>0</v>
      </c>
      <c r="AD170">
        <v>0</v>
      </c>
      <c r="AE170">
        <v>0</v>
      </c>
      <c r="AF170">
        <v>1</v>
      </c>
      <c r="AG170">
        <v>0</v>
      </c>
      <c r="AI170" t="s">
        <v>43</v>
      </c>
      <c r="AJ170" t="s">
        <v>260</v>
      </c>
      <c r="AK170" s="17">
        <f>(Table1[[#This Row],[Climbed]]*weighting!$B$18)+(Table1[[#This Row],[Adjustable Climber]]*weighting!$B$19)+(Table1[[#This Row],[Lift other Robot]]*weighting!$B$20)+(Table1[[#This Row],[Balanced]]*weighting!$B$21)</f>
        <v>0</v>
      </c>
      <c r="AL170" s="8">
        <f>+Table1[[#This Row],[Endgame our score]]+Table1[[#This Row],[teleop our score]]+Table1[[#This Row],[auton our score]]</f>
        <v>0</v>
      </c>
      <c r="AM170" s="20">
        <f t="shared" si="6"/>
        <v>1</v>
      </c>
      <c r="AN170" s="20">
        <f t="shared" si="7"/>
        <v>0</v>
      </c>
      <c r="AO170" s="20">
        <f t="shared" si="8"/>
        <v>0</v>
      </c>
      <c r="AP170" s="20">
        <f>Table1[[#This Row],[balls scored]]+Table1[[#This Row],[auton balls scored]]</f>
        <v>0</v>
      </c>
      <c r="AQ170" s="20">
        <f>Table1[[#This Row],[balls scored high]]+Table1[[#This Row],[Auton Scored High]]</f>
        <v>0</v>
      </c>
      <c r="AR170" s="20">
        <f>Table1[[#This Row],[balls scored low]]+Table1[[#This Row],[Auton Scored Low]]</f>
        <v>0</v>
      </c>
      <c r="AS170" s="50">
        <f>IF(Table1[[#This Row],[Control Panel Spun Time]]&gt;0,1,0)</f>
        <v>0</v>
      </c>
      <c r="AT170" s="20">
        <f>IF(Table1[[#This Row],[Control Panel Color Time]]&gt;0,1,0)</f>
        <v>0</v>
      </c>
    </row>
    <row r="171" spans="1:46" s="2" customFormat="1" x14ac:dyDescent="0.25">
      <c r="A171">
        <v>3719</v>
      </c>
      <c r="B171">
        <v>2</v>
      </c>
      <c r="C171">
        <v>0</v>
      </c>
      <c r="D171">
        <v>0</v>
      </c>
      <c r="E171">
        <v>0</v>
      </c>
      <c r="F171">
        <v>0</v>
      </c>
      <c r="G171">
        <v>0</v>
      </c>
      <c r="H171">
        <v>1</v>
      </c>
      <c r="I171" s="8">
        <f>+Table1[[#This Row],[Auton ball picked up in our trench]]+Table1[[#This Row],[Auton Balls Picked Up in Mid]]+Table1[[#This Row],[Auton Balls Picked Up In Their Trench]]</f>
        <v>0</v>
      </c>
      <c r="J171" s="8">
        <f>+Table1[[#This Row],[Auton Scored High]]+Table1[[#This Row],[Auton Scored Low]]</f>
        <v>0</v>
      </c>
      <c r="K17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171">
        <v>0</v>
      </c>
      <c r="M171">
        <v>3</v>
      </c>
      <c r="N171">
        <v>2</v>
      </c>
      <c r="O171">
        <v>0</v>
      </c>
      <c r="P171">
        <v>0</v>
      </c>
      <c r="Q171">
        <v>0</v>
      </c>
      <c r="R171">
        <v>0</v>
      </c>
      <c r="S171">
        <v>0</v>
      </c>
      <c r="T171">
        <v>0</v>
      </c>
      <c r="U171">
        <v>0</v>
      </c>
      <c r="V171" s="8">
        <f>Table1[[#This Row],[Balls Scored From Trench]]+Table1[[#This Row],[Balls Scored from Mid]]+Table1[[#This Row],[Balls Scored From Alliance zone]]</f>
        <v>5</v>
      </c>
      <c r="W171" s="8">
        <f>Table1[[#This Row],[balls scored high]]+Table1[[#This Row],[balls scored low]]</f>
        <v>5</v>
      </c>
      <c r="X171" s="8">
        <f>Table1[[#This Row],[Control Panel Spun Time]]+Table1[[#This Row],[Control Panel Color Time]]</f>
        <v>0</v>
      </c>
      <c r="Y171" s="8">
        <f>Table1[[#This Row],[Control Panels Spun]]+Table1[[#This Row],[Control Panel Color]]</f>
        <v>0</v>
      </c>
      <c r="Z17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8</v>
      </c>
      <c r="AA171">
        <v>0</v>
      </c>
      <c r="AB171">
        <v>0</v>
      </c>
      <c r="AC171">
        <v>0</v>
      </c>
      <c r="AD171">
        <v>0</v>
      </c>
      <c r="AE171">
        <v>0</v>
      </c>
      <c r="AF171">
        <v>0</v>
      </c>
      <c r="AG171">
        <v>0</v>
      </c>
      <c r="AH171"/>
      <c r="AI171" t="s">
        <v>176</v>
      </c>
      <c r="AJ171" t="s">
        <v>292</v>
      </c>
      <c r="AK171" s="17">
        <f>(Table1[[#This Row],[Climbed]]*weighting!$B$18)+(Table1[[#This Row],[Adjustable Climber]]*weighting!$B$19)+(Table1[[#This Row],[Lift other Robot]]*weighting!$B$20)+(Table1[[#This Row],[Balanced]]*weighting!$B$21)</f>
        <v>0</v>
      </c>
      <c r="AL171" s="8">
        <f>+Table1[[#This Row],[Endgame our score]]+Table1[[#This Row],[teleop our score]]+Table1[[#This Row],[auton our score]]</f>
        <v>9</v>
      </c>
      <c r="AM171" s="20">
        <f t="shared" si="6"/>
        <v>0</v>
      </c>
      <c r="AN171" s="20">
        <f t="shared" si="7"/>
        <v>1</v>
      </c>
      <c r="AO171" s="20">
        <f t="shared" si="8"/>
        <v>0</v>
      </c>
      <c r="AP171" s="20">
        <f>Table1[[#This Row],[balls scored]]+Table1[[#This Row],[auton balls scored]]</f>
        <v>5</v>
      </c>
      <c r="AQ171" s="20">
        <f>Table1[[#This Row],[balls scored high]]+Table1[[#This Row],[Auton Scored High]]</f>
        <v>5</v>
      </c>
      <c r="AR171" s="20">
        <f>Table1[[#This Row],[balls scored low]]+Table1[[#This Row],[Auton Scored Low]]</f>
        <v>0</v>
      </c>
      <c r="AS171" s="50">
        <f>IF(Table1[[#This Row],[Control Panel Spun Time]]&gt;0,1,0)</f>
        <v>0</v>
      </c>
      <c r="AT171" s="20">
        <f>IF(Table1[[#This Row],[Control Panel Color Time]]&gt;0,1,0)</f>
        <v>0</v>
      </c>
    </row>
    <row r="172" spans="1:46" x14ac:dyDescent="0.25">
      <c r="A172">
        <v>3719</v>
      </c>
      <c r="B172">
        <v>1</v>
      </c>
      <c r="C172">
        <v>0</v>
      </c>
      <c r="D172">
        <v>0</v>
      </c>
      <c r="E172">
        <v>0</v>
      </c>
      <c r="F172">
        <v>0</v>
      </c>
      <c r="G172">
        <v>0</v>
      </c>
      <c r="H172">
        <v>1</v>
      </c>
      <c r="I172" s="8">
        <f>+Table1[[#This Row],[Auton ball picked up in our trench]]+Table1[[#This Row],[Auton Balls Picked Up in Mid]]+Table1[[#This Row],[Auton Balls Picked Up In Their Trench]]</f>
        <v>0</v>
      </c>
      <c r="J172" s="8">
        <f>+Table1[[#This Row],[Auton Scored High]]+Table1[[#This Row],[Auton Scored Low]]</f>
        <v>0</v>
      </c>
      <c r="K17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172">
        <v>0</v>
      </c>
      <c r="M172">
        <v>0</v>
      </c>
      <c r="N172">
        <v>8</v>
      </c>
      <c r="O172">
        <v>0</v>
      </c>
      <c r="P172">
        <v>0</v>
      </c>
      <c r="Q172">
        <v>0</v>
      </c>
      <c r="R172">
        <v>0</v>
      </c>
      <c r="S172">
        <v>0</v>
      </c>
      <c r="T172">
        <v>0</v>
      </c>
      <c r="U172">
        <v>0</v>
      </c>
      <c r="V172" s="8">
        <f>Table1[[#This Row],[Balls Scored From Trench]]+Table1[[#This Row],[Balls Scored from Mid]]+Table1[[#This Row],[Balls Scored From Alliance zone]]</f>
        <v>8</v>
      </c>
      <c r="W172" s="8">
        <f>Table1[[#This Row],[balls scored high]]+Table1[[#This Row],[balls scored low]]</f>
        <v>8</v>
      </c>
      <c r="X172" s="8">
        <f>Table1[[#This Row],[Control Panel Spun Time]]+Table1[[#This Row],[Control Panel Color Time]]</f>
        <v>0</v>
      </c>
      <c r="Y172" s="8">
        <f>Table1[[#This Row],[Control Panels Spun]]+Table1[[#This Row],[Control Panel Color]]</f>
        <v>0</v>
      </c>
      <c r="Z17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8</v>
      </c>
      <c r="AA172">
        <v>0</v>
      </c>
      <c r="AB172">
        <v>0</v>
      </c>
      <c r="AC172">
        <v>0</v>
      </c>
      <c r="AD172">
        <v>0</v>
      </c>
      <c r="AE172">
        <v>0</v>
      </c>
      <c r="AF172">
        <v>0</v>
      </c>
      <c r="AG172">
        <v>0</v>
      </c>
      <c r="AI172" t="s">
        <v>184</v>
      </c>
      <c r="AJ172" t="s">
        <v>326</v>
      </c>
      <c r="AK172" s="17">
        <f>(Table1[[#This Row],[Climbed]]*weighting!$B$18)+(Table1[[#This Row],[Adjustable Climber]]*weighting!$B$19)+(Table1[[#This Row],[Lift other Robot]]*weighting!$B$20)+(Table1[[#This Row],[Balanced]]*weighting!$B$21)</f>
        <v>0</v>
      </c>
      <c r="AL172" s="8">
        <f>+Table1[[#This Row],[Endgame our score]]+Table1[[#This Row],[teleop our score]]+Table1[[#This Row],[auton our score]]</f>
        <v>9</v>
      </c>
      <c r="AM172" s="20">
        <f t="shared" si="6"/>
        <v>1</v>
      </c>
      <c r="AN172" s="20">
        <f t="shared" si="7"/>
        <v>0</v>
      </c>
      <c r="AO172" s="20">
        <f t="shared" si="8"/>
        <v>0</v>
      </c>
      <c r="AP172" s="20">
        <f>Table1[[#This Row],[balls scored]]+Table1[[#This Row],[auton balls scored]]</f>
        <v>8</v>
      </c>
      <c r="AQ172" s="20">
        <f>Table1[[#This Row],[balls scored high]]+Table1[[#This Row],[Auton Scored High]]</f>
        <v>8</v>
      </c>
      <c r="AR172" s="20">
        <f>Table1[[#This Row],[balls scored low]]+Table1[[#This Row],[Auton Scored Low]]</f>
        <v>0</v>
      </c>
      <c r="AS172" s="50">
        <f>IF(Table1[[#This Row],[Control Panel Spun Time]]&gt;0,1,0)</f>
        <v>0</v>
      </c>
      <c r="AT172" s="20">
        <f>IF(Table1[[#This Row],[Control Panel Color Time]]&gt;0,1,0)</f>
        <v>0</v>
      </c>
    </row>
    <row r="173" spans="1:46" s="2" customFormat="1" x14ac:dyDescent="0.25">
      <c r="A173">
        <v>4987</v>
      </c>
      <c r="B173">
        <v>1</v>
      </c>
      <c r="C173">
        <v>0</v>
      </c>
      <c r="D173">
        <v>0</v>
      </c>
      <c r="E173">
        <v>0</v>
      </c>
      <c r="F173">
        <v>0</v>
      </c>
      <c r="G173">
        <v>0</v>
      </c>
      <c r="H173">
        <v>0</v>
      </c>
      <c r="I173" s="8">
        <f>+Table1[[#This Row],[Auton ball picked up in our trench]]+Table1[[#This Row],[Auton Balls Picked Up in Mid]]+Table1[[#This Row],[Auton Balls Picked Up In Their Trench]]</f>
        <v>0</v>
      </c>
      <c r="J173" s="8">
        <f>+Table1[[#This Row],[Auton Scored High]]+Table1[[#This Row],[Auton Scored Low]]</f>
        <v>0</v>
      </c>
      <c r="K17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173">
        <v>0</v>
      </c>
      <c r="M173">
        <v>0</v>
      </c>
      <c r="N173">
        <v>0</v>
      </c>
      <c r="O173">
        <v>0</v>
      </c>
      <c r="P173">
        <v>0</v>
      </c>
      <c r="Q173">
        <v>0</v>
      </c>
      <c r="R173">
        <v>0</v>
      </c>
      <c r="S173">
        <v>0</v>
      </c>
      <c r="T173">
        <v>0</v>
      </c>
      <c r="U173">
        <v>0</v>
      </c>
      <c r="V173" s="8">
        <f>Table1[[#This Row],[Balls Scored From Trench]]+Table1[[#This Row],[Balls Scored from Mid]]+Table1[[#This Row],[Balls Scored From Alliance zone]]</f>
        <v>0</v>
      </c>
      <c r="W173" s="8">
        <f>Table1[[#This Row],[balls scored high]]+Table1[[#This Row],[balls scored low]]</f>
        <v>0</v>
      </c>
      <c r="X173" s="8">
        <f>Table1[[#This Row],[Control Panel Spun Time]]+Table1[[#This Row],[Control Panel Color Time]]</f>
        <v>0</v>
      </c>
      <c r="Y173" s="8">
        <f>Table1[[#This Row],[Control Panels Spun]]+Table1[[#This Row],[Control Panel Color]]</f>
        <v>0</v>
      </c>
      <c r="Z17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173">
        <v>0</v>
      </c>
      <c r="AB173">
        <v>0</v>
      </c>
      <c r="AC173">
        <v>0</v>
      </c>
      <c r="AD173">
        <v>0</v>
      </c>
      <c r="AE173">
        <v>0</v>
      </c>
      <c r="AF173">
        <v>1</v>
      </c>
      <c r="AG173">
        <v>0</v>
      </c>
      <c r="AH173"/>
      <c r="AI173" t="s">
        <v>176</v>
      </c>
      <c r="AJ173" t="s">
        <v>198</v>
      </c>
      <c r="AK173" s="17">
        <f>(Table1[[#This Row],[Climbed]]*weighting!$B$18)+(Table1[[#This Row],[Adjustable Climber]]*weighting!$B$19)+(Table1[[#This Row],[Lift other Robot]]*weighting!$B$20)+(Table1[[#This Row],[Balanced]]*weighting!$B$21)</f>
        <v>0</v>
      </c>
      <c r="AL173" s="8">
        <f>+Table1[[#This Row],[Endgame our score]]+Table1[[#This Row],[teleop our score]]+Table1[[#This Row],[auton our score]]</f>
        <v>0</v>
      </c>
      <c r="AM173" s="20">
        <f t="shared" si="6"/>
        <v>1</v>
      </c>
      <c r="AN173" s="20">
        <f t="shared" si="7"/>
        <v>0</v>
      </c>
      <c r="AO173" s="20">
        <f t="shared" si="8"/>
        <v>0</v>
      </c>
      <c r="AP173" s="20">
        <f>Table1[[#This Row],[balls scored]]+Table1[[#This Row],[auton balls scored]]</f>
        <v>0</v>
      </c>
      <c r="AQ173" s="20">
        <f>Table1[[#This Row],[balls scored high]]+Table1[[#This Row],[Auton Scored High]]</f>
        <v>0</v>
      </c>
      <c r="AR173" s="20">
        <f>Table1[[#This Row],[balls scored low]]+Table1[[#This Row],[Auton Scored Low]]</f>
        <v>0</v>
      </c>
      <c r="AS173" s="50">
        <f>IF(Table1[[#This Row],[Control Panel Spun Time]]&gt;0,1,0)</f>
        <v>0</v>
      </c>
      <c r="AT173" s="20">
        <f>IF(Table1[[#This Row],[Control Panel Color Time]]&gt;0,1,0)</f>
        <v>0</v>
      </c>
    </row>
    <row r="174" spans="1:46" x14ac:dyDescent="0.25">
      <c r="A174">
        <v>4987</v>
      </c>
      <c r="B174">
        <v>1</v>
      </c>
      <c r="C174">
        <v>3</v>
      </c>
      <c r="D174">
        <v>0</v>
      </c>
      <c r="E174">
        <v>0</v>
      </c>
      <c r="F174">
        <v>0</v>
      </c>
      <c r="G174">
        <v>0</v>
      </c>
      <c r="H174">
        <v>1</v>
      </c>
      <c r="I174" s="8">
        <f>+Table1[[#This Row],[Auton ball picked up in our trench]]+Table1[[#This Row],[Auton Balls Picked Up in Mid]]+Table1[[#This Row],[Auton Balls Picked Up In Their Trench]]</f>
        <v>0</v>
      </c>
      <c r="J174" s="8">
        <f>+Table1[[#This Row],[Auton Scored High]]+Table1[[#This Row],[Auton Scored Low]]</f>
        <v>3</v>
      </c>
      <c r="K17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174">
        <v>0</v>
      </c>
      <c r="M174">
        <v>2</v>
      </c>
      <c r="N174">
        <v>0</v>
      </c>
      <c r="O174">
        <v>0</v>
      </c>
      <c r="P174">
        <v>0</v>
      </c>
      <c r="Q174">
        <v>0</v>
      </c>
      <c r="R174">
        <v>0</v>
      </c>
      <c r="S174">
        <v>0</v>
      </c>
      <c r="T174">
        <v>0</v>
      </c>
      <c r="U174">
        <v>0</v>
      </c>
      <c r="V174" s="8">
        <f>Table1[[#This Row],[Balls Scored From Trench]]+Table1[[#This Row],[Balls Scored from Mid]]+Table1[[#This Row],[Balls Scored From Alliance zone]]</f>
        <v>2</v>
      </c>
      <c r="W174" s="8">
        <f>Table1[[#This Row],[balls scored high]]+Table1[[#This Row],[balls scored low]]</f>
        <v>2</v>
      </c>
      <c r="X174" s="8">
        <f>Table1[[#This Row],[Control Panel Spun Time]]+Table1[[#This Row],[Control Panel Color Time]]</f>
        <v>0</v>
      </c>
      <c r="Y174" s="8">
        <f>Table1[[#This Row],[Control Panels Spun]]+Table1[[#This Row],[Control Panel Color]]</f>
        <v>0</v>
      </c>
      <c r="Z17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4</v>
      </c>
      <c r="AA174">
        <v>0</v>
      </c>
      <c r="AB174">
        <v>0</v>
      </c>
      <c r="AC174">
        <v>0</v>
      </c>
      <c r="AD174">
        <v>0</v>
      </c>
      <c r="AE174">
        <v>0</v>
      </c>
      <c r="AF174">
        <v>0</v>
      </c>
      <c r="AG174">
        <v>0</v>
      </c>
      <c r="AI174" t="s">
        <v>176</v>
      </c>
      <c r="AK174" s="17">
        <f>(Table1[[#This Row],[Climbed]]*weighting!$B$18)+(Table1[[#This Row],[Adjustable Climber]]*weighting!$B$19)+(Table1[[#This Row],[Lift other Robot]]*weighting!$B$20)+(Table1[[#This Row],[Balanced]]*weighting!$B$21)</f>
        <v>0</v>
      </c>
      <c r="AL174" s="8">
        <f>+Table1[[#This Row],[Endgame our score]]+Table1[[#This Row],[teleop our score]]+Table1[[#This Row],[auton our score]]</f>
        <v>14</v>
      </c>
      <c r="AM174" s="20">
        <f t="shared" si="6"/>
        <v>1</v>
      </c>
      <c r="AN174" s="20">
        <f t="shared" si="7"/>
        <v>0</v>
      </c>
      <c r="AO174" s="20">
        <f t="shared" si="8"/>
        <v>0</v>
      </c>
      <c r="AP174" s="20">
        <f>Table1[[#This Row],[balls scored]]+Table1[[#This Row],[auton balls scored]]</f>
        <v>5</v>
      </c>
      <c r="AQ174" s="20">
        <f>Table1[[#This Row],[balls scored high]]+Table1[[#This Row],[Auton Scored High]]</f>
        <v>5</v>
      </c>
      <c r="AR174" s="20">
        <f>Table1[[#This Row],[balls scored low]]+Table1[[#This Row],[Auton Scored Low]]</f>
        <v>0</v>
      </c>
      <c r="AS174" s="50">
        <f>IF(Table1[[#This Row],[Control Panel Spun Time]]&gt;0,1,0)</f>
        <v>0</v>
      </c>
      <c r="AT174" s="20">
        <f>IF(Table1[[#This Row],[Control Panel Color Time]]&gt;0,1,0)</f>
        <v>0</v>
      </c>
    </row>
    <row r="175" spans="1:46" s="2" customFormat="1" x14ac:dyDescent="0.25">
      <c r="A175">
        <v>4987</v>
      </c>
      <c r="B175">
        <v>1</v>
      </c>
      <c r="C175">
        <v>1</v>
      </c>
      <c r="D175">
        <v>0</v>
      </c>
      <c r="E175">
        <v>0</v>
      </c>
      <c r="F175">
        <v>0</v>
      </c>
      <c r="G175">
        <v>0</v>
      </c>
      <c r="H175">
        <v>1</v>
      </c>
      <c r="I175" s="8">
        <f>+Table1[[#This Row],[Auton ball picked up in our trench]]+Table1[[#This Row],[Auton Balls Picked Up in Mid]]+Table1[[#This Row],[Auton Balls Picked Up In Their Trench]]</f>
        <v>0</v>
      </c>
      <c r="J175" s="8">
        <f>+Table1[[#This Row],[Auton Scored High]]+Table1[[#This Row],[Auton Scored Low]]</f>
        <v>1</v>
      </c>
      <c r="K17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4</v>
      </c>
      <c r="L175">
        <v>0</v>
      </c>
      <c r="M175">
        <v>0</v>
      </c>
      <c r="N175">
        <v>0</v>
      </c>
      <c r="O175">
        <v>0</v>
      </c>
      <c r="P175">
        <v>0</v>
      </c>
      <c r="Q175">
        <v>0</v>
      </c>
      <c r="R175">
        <v>0</v>
      </c>
      <c r="S175">
        <v>0</v>
      </c>
      <c r="T175">
        <v>0</v>
      </c>
      <c r="U175">
        <v>0</v>
      </c>
      <c r="V175" s="8">
        <f>Table1[[#This Row],[Balls Scored From Trench]]+Table1[[#This Row],[Balls Scored from Mid]]+Table1[[#This Row],[Balls Scored From Alliance zone]]</f>
        <v>0</v>
      </c>
      <c r="W175" s="8">
        <f>Table1[[#This Row],[balls scored high]]+Table1[[#This Row],[balls scored low]]</f>
        <v>0</v>
      </c>
      <c r="X175" s="8">
        <f>Table1[[#This Row],[Control Panel Spun Time]]+Table1[[#This Row],[Control Panel Color Time]]</f>
        <v>0</v>
      </c>
      <c r="Y175" s="8">
        <f>Table1[[#This Row],[Control Panels Spun]]+Table1[[#This Row],[Control Panel Color]]</f>
        <v>0</v>
      </c>
      <c r="Z17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175">
        <v>0</v>
      </c>
      <c r="AB175">
        <v>0</v>
      </c>
      <c r="AC175">
        <v>0</v>
      </c>
      <c r="AD175">
        <v>0</v>
      </c>
      <c r="AE175">
        <v>0</v>
      </c>
      <c r="AF175">
        <v>0</v>
      </c>
      <c r="AG175">
        <v>0</v>
      </c>
      <c r="AH175"/>
      <c r="AI175" t="s">
        <v>174</v>
      </c>
      <c r="AJ175" t="s">
        <v>261</v>
      </c>
      <c r="AK175" s="17">
        <f>(Table1[[#This Row],[Climbed]]*weighting!$B$18)+(Table1[[#This Row],[Adjustable Climber]]*weighting!$B$19)+(Table1[[#This Row],[Lift other Robot]]*weighting!$B$20)+(Table1[[#This Row],[Balanced]]*weighting!$B$21)</f>
        <v>0</v>
      </c>
      <c r="AL175" s="8">
        <f>+Table1[[#This Row],[Endgame our score]]+Table1[[#This Row],[teleop our score]]+Table1[[#This Row],[auton our score]]</f>
        <v>4</v>
      </c>
      <c r="AM175" s="20">
        <f t="shared" si="6"/>
        <v>1</v>
      </c>
      <c r="AN175" s="20">
        <f t="shared" si="7"/>
        <v>0</v>
      </c>
      <c r="AO175" s="20">
        <f t="shared" si="8"/>
        <v>0</v>
      </c>
      <c r="AP175" s="20">
        <f>Table1[[#This Row],[balls scored]]+Table1[[#This Row],[auton balls scored]]</f>
        <v>1</v>
      </c>
      <c r="AQ175" s="20">
        <f>Table1[[#This Row],[balls scored high]]+Table1[[#This Row],[Auton Scored High]]</f>
        <v>1</v>
      </c>
      <c r="AR175" s="20">
        <f>Table1[[#This Row],[balls scored low]]+Table1[[#This Row],[Auton Scored Low]]</f>
        <v>0</v>
      </c>
      <c r="AS175" s="50">
        <f>IF(Table1[[#This Row],[Control Panel Spun Time]]&gt;0,1,0)</f>
        <v>0</v>
      </c>
      <c r="AT175" s="20">
        <f>IF(Table1[[#This Row],[Control Panel Color Time]]&gt;0,1,0)</f>
        <v>0</v>
      </c>
    </row>
    <row r="176" spans="1:46" x14ac:dyDescent="0.25">
      <c r="A176">
        <v>4987</v>
      </c>
      <c r="B176">
        <v>2</v>
      </c>
      <c r="C176">
        <v>0</v>
      </c>
      <c r="D176">
        <v>0</v>
      </c>
      <c r="E176">
        <v>0</v>
      </c>
      <c r="F176">
        <v>0</v>
      </c>
      <c r="G176">
        <v>0</v>
      </c>
      <c r="H176">
        <v>0</v>
      </c>
      <c r="I176" s="8">
        <f>+Table1[[#This Row],[Auton ball picked up in our trench]]+Table1[[#This Row],[Auton Balls Picked Up in Mid]]+Table1[[#This Row],[Auton Balls Picked Up In Their Trench]]</f>
        <v>0</v>
      </c>
      <c r="J176" s="8">
        <f>+Table1[[#This Row],[Auton Scored High]]+Table1[[#This Row],[Auton Scored Low]]</f>
        <v>0</v>
      </c>
      <c r="K17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176">
        <v>0</v>
      </c>
      <c r="M176">
        <v>0</v>
      </c>
      <c r="N176">
        <v>0</v>
      </c>
      <c r="O176">
        <v>0</v>
      </c>
      <c r="P176">
        <v>0</v>
      </c>
      <c r="Q176">
        <v>0</v>
      </c>
      <c r="R176">
        <v>0</v>
      </c>
      <c r="S176">
        <v>0</v>
      </c>
      <c r="T176">
        <v>0</v>
      </c>
      <c r="U176">
        <v>0</v>
      </c>
      <c r="V176" s="8">
        <f>Table1[[#This Row],[Balls Scored From Trench]]+Table1[[#This Row],[Balls Scored from Mid]]+Table1[[#This Row],[Balls Scored From Alliance zone]]</f>
        <v>0</v>
      </c>
      <c r="W176" s="8">
        <f>Table1[[#This Row],[balls scored high]]+Table1[[#This Row],[balls scored low]]</f>
        <v>0</v>
      </c>
      <c r="X176" s="8">
        <f>Table1[[#This Row],[Control Panel Spun Time]]+Table1[[#This Row],[Control Panel Color Time]]</f>
        <v>0</v>
      </c>
      <c r="Y176" s="8">
        <f>Table1[[#This Row],[Control Panels Spun]]+Table1[[#This Row],[Control Panel Color]]</f>
        <v>0</v>
      </c>
      <c r="Z17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176">
        <v>0</v>
      </c>
      <c r="AB176">
        <v>0</v>
      </c>
      <c r="AC176">
        <v>0</v>
      </c>
      <c r="AD176">
        <v>0</v>
      </c>
      <c r="AE176">
        <v>0</v>
      </c>
      <c r="AF176">
        <v>0</v>
      </c>
      <c r="AG176">
        <v>0</v>
      </c>
      <c r="AI176" t="s">
        <v>179</v>
      </c>
      <c r="AJ176" t="s">
        <v>262</v>
      </c>
      <c r="AK176" s="17">
        <f>(Table1[[#This Row],[Climbed]]*weighting!$B$18)+(Table1[[#This Row],[Adjustable Climber]]*weighting!$B$19)+(Table1[[#This Row],[Lift other Robot]]*weighting!$B$20)+(Table1[[#This Row],[Balanced]]*weighting!$B$21)</f>
        <v>0</v>
      </c>
      <c r="AL176" s="8">
        <f>+Table1[[#This Row],[Endgame our score]]+Table1[[#This Row],[teleop our score]]+Table1[[#This Row],[auton our score]]</f>
        <v>0</v>
      </c>
      <c r="AM176" s="20">
        <f t="shared" si="6"/>
        <v>0</v>
      </c>
      <c r="AN176" s="20">
        <f t="shared" si="7"/>
        <v>1</v>
      </c>
      <c r="AO176" s="20">
        <f t="shared" si="8"/>
        <v>0</v>
      </c>
      <c r="AP176" s="20">
        <f>Table1[[#This Row],[balls scored]]+Table1[[#This Row],[auton balls scored]]</f>
        <v>0</v>
      </c>
      <c r="AQ176" s="20">
        <f>Table1[[#This Row],[balls scored high]]+Table1[[#This Row],[Auton Scored High]]</f>
        <v>0</v>
      </c>
      <c r="AR176" s="20">
        <f>Table1[[#This Row],[balls scored low]]+Table1[[#This Row],[Auton Scored Low]]</f>
        <v>0</v>
      </c>
      <c r="AS176" s="50">
        <f>IF(Table1[[#This Row],[Control Panel Spun Time]]&gt;0,1,0)</f>
        <v>0</v>
      </c>
      <c r="AT176" s="20">
        <f>IF(Table1[[#This Row],[Control Panel Color Time]]&gt;0,1,0)</f>
        <v>0</v>
      </c>
    </row>
    <row r="177" spans="1:46" s="2" customFormat="1" x14ac:dyDescent="0.25">
      <c r="A177">
        <v>4987</v>
      </c>
      <c r="B177">
        <v>1</v>
      </c>
      <c r="C177">
        <v>1</v>
      </c>
      <c r="D177">
        <v>0</v>
      </c>
      <c r="E177">
        <v>0</v>
      </c>
      <c r="F177">
        <v>0</v>
      </c>
      <c r="G177">
        <v>0</v>
      </c>
      <c r="H177">
        <v>1</v>
      </c>
      <c r="I177" s="8">
        <f>+Table1[[#This Row],[Auton ball picked up in our trench]]+Table1[[#This Row],[Auton Balls Picked Up in Mid]]+Table1[[#This Row],[Auton Balls Picked Up In Their Trench]]</f>
        <v>0</v>
      </c>
      <c r="J177" s="8">
        <f>+Table1[[#This Row],[Auton Scored High]]+Table1[[#This Row],[Auton Scored Low]]</f>
        <v>1</v>
      </c>
      <c r="K17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4</v>
      </c>
      <c r="L177">
        <v>0</v>
      </c>
      <c r="M177">
        <v>1</v>
      </c>
      <c r="N177">
        <v>0</v>
      </c>
      <c r="O177">
        <v>0</v>
      </c>
      <c r="P177">
        <v>0</v>
      </c>
      <c r="Q177">
        <v>0</v>
      </c>
      <c r="R177">
        <v>0</v>
      </c>
      <c r="S177">
        <v>0</v>
      </c>
      <c r="T177">
        <v>0</v>
      </c>
      <c r="U177">
        <v>0</v>
      </c>
      <c r="V177" s="8">
        <f>Table1[[#This Row],[Balls Scored From Trench]]+Table1[[#This Row],[Balls Scored from Mid]]+Table1[[#This Row],[Balls Scored From Alliance zone]]</f>
        <v>1</v>
      </c>
      <c r="W177" s="8">
        <f>Table1[[#This Row],[balls scored high]]+Table1[[#This Row],[balls scored low]]</f>
        <v>1</v>
      </c>
      <c r="X177" s="8">
        <f>Table1[[#This Row],[Control Panel Spun Time]]+Table1[[#This Row],[Control Panel Color Time]]</f>
        <v>0</v>
      </c>
      <c r="Y177" s="8">
        <f>Table1[[#This Row],[Control Panels Spun]]+Table1[[#This Row],[Control Panel Color]]</f>
        <v>0</v>
      </c>
      <c r="Z17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2</v>
      </c>
      <c r="AA177">
        <v>0</v>
      </c>
      <c r="AB177">
        <v>0</v>
      </c>
      <c r="AC177">
        <v>0</v>
      </c>
      <c r="AD177">
        <v>0</v>
      </c>
      <c r="AE177">
        <v>0</v>
      </c>
      <c r="AF177">
        <v>0</v>
      </c>
      <c r="AG177">
        <v>0</v>
      </c>
      <c r="AH177"/>
      <c r="AI177" t="s">
        <v>174</v>
      </c>
      <c r="AJ177" t="s">
        <v>293</v>
      </c>
      <c r="AK177" s="17">
        <f>(Table1[[#This Row],[Climbed]]*weighting!$B$18)+(Table1[[#This Row],[Adjustable Climber]]*weighting!$B$19)+(Table1[[#This Row],[Lift other Robot]]*weighting!$B$20)+(Table1[[#This Row],[Balanced]]*weighting!$B$21)</f>
        <v>0</v>
      </c>
      <c r="AL177" s="8">
        <f>+Table1[[#This Row],[Endgame our score]]+Table1[[#This Row],[teleop our score]]+Table1[[#This Row],[auton our score]]</f>
        <v>6</v>
      </c>
      <c r="AM177" s="20">
        <f t="shared" si="6"/>
        <v>1</v>
      </c>
      <c r="AN177" s="20">
        <f t="shared" si="7"/>
        <v>0</v>
      </c>
      <c r="AO177" s="20">
        <f t="shared" si="8"/>
        <v>0</v>
      </c>
      <c r="AP177" s="20">
        <f>Table1[[#This Row],[balls scored]]+Table1[[#This Row],[auton balls scored]]</f>
        <v>2</v>
      </c>
      <c r="AQ177" s="20">
        <f>Table1[[#This Row],[balls scored high]]+Table1[[#This Row],[Auton Scored High]]</f>
        <v>2</v>
      </c>
      <c r="AR177" s="20">
        <f>Table1[[#This Row],[balls scored low]]+Table1[[#This Row],[Auton Scored Low]]</f>
        <v>0</v>
      </c>
      <c r="AS177" s="50">
        <f>IF(Table1[[#This Row],[Control Panel Spun Time]]&gt;0,1,0)</f>
        <v>0</v>
      </c>
      <c r="AT177" s="20">
        <f>IF(Table1[[#This Row],[Control Panel Color Time]]&gt;0,1,0)</f>
        <v>0</v>
      </c>
    </row>
    <row r="178" spans="1:46" x14ac:dyDescent="0.25">
      <c r="A178">
        <v>4987</v>
      </c>
      <c r="B178">
        <v>1</v>
      </c>
      <c r="C178">
        <v>3</v>
      </c>
      <c r="D178">
        <v>0</v>
      </c>
      <c r="E178">
        <v>0</v>
      </c>
      <c r="F178">
        <v>0</v>
      </c>
      <c r="G178">
        <v>0</v>
      </c>
      <c r="H178">
        <v>1</v>
      </c>
      <c r="I178" s="8">
        <f>+Table1[[#This Row],[Auton ball picked up in our trench]]+Table1[[#This Row],[Auton Balls Picked Up in Mid]]+Table1[[#This Row],[Auton Balls Picked Up In Their Trench]]</f>
        <v>0</v>
      </c>
      <c r="J178" s="8">
        <f>+Table1[[#This Row],[Auton Scored High]]+Table1[[#This Row],[Auton Scored Low]]</f>
        <v>3</v>
      </c>
      <c r="K17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178">
        <v>0</v>
      </c>
      <c r="M178">
        <v>0</v>
      </c>
      <c r="N178">
        <v>0</v>
      </c>
      <c r="O178">
        <v>0</v>
      </c>
      <c r="P178">
        <v>0</v>
      </c>
      <c r="Q178">
        <v>0</v>
      </c>
      <c r="R178">
        <v>0</v>
      </c>
      <c r="S178">
        <v>0</v>
      </c>
      <c r="T178">
        <v>0</v>
      </c>
      <c r="U178">
        <v>0</v>
      </c>
      <c r="V178" s="8">
        <f>Table1[[#This Row],[Balls Scored From Trench]]+Table1[[#This Row],[Balls Scored from Mid]]+Table1[[#This Row],[Balls Scored From Alliance zone]]</f>
        <v>0</v>
      </c>
      <c r="W178" s="8">
        <f>Table1[[#This Row],[balls scored high]]+Table1[[#This Row],[balls scored low]]</f>
        <v>0</v>
      </c>
      <c r="X178" s="8">
        <f>Table1[[#This Row],[Control Panel Spun Time]]+Table1[[#This Row],[Control Panel Color Time]]</f>
        <v>0</v>
      </c>
      <c r="Y178" s="8">
        <f>Table1[[#This Row],[Control Panels Spun]]+Table1[[#This Row],[Control Panel Color]]</f>
        <v>0</v>
      </c>
      <c r="Z17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178">
        <v>0</v>
      </c>
      <c r="AB178">
        <v>0</v>
      </c>
      <c r="AC178">
        <v>0</v>
      </c>
      <c r="AD178">
        <v>0</v>
      </c>
      <c r="AE178">
        <v>0</v>
      </c>
      <c r="AF178">
        <v>0</v>
      </c>
      <c r="AG178">
        <v>0</v>
      </c>
      <c r="AI178" t="s">
        <v>184</v>
      </c>
      <c r="AJ178" t="s">
        <v>327</v>
      </c>
      <c r="AK178" s="17">
        <f>(Table1[[#This Row],[Climbed]]*weighting!$B$18)+(Table1[[#This Row],[Adjustable Climber]]*weighting!$B$19)+(Table1[[#This Row],[Lift other Robot]]*weighting!$B$20)+(Table1[[#This Row],[Balanced]]*weighting!$B$21)</f>
        <v>0</v>
      </c>
      <c r="AL178" s="8">
        <f>+Table1[[#This Row],[Endgame our score]]+Table1[[#This Row],[teleop our score]]+Table1[[#This Row],[auton our score]]</f>
        <v>10</v>
      </c>
      <c r="AM178" s="20">
        <f t="shared" si="6"/>
        <v>1</v>
      </c>
      <c r="AN178" s="20">
        <f t="shared" si="7"/>
        <v>0</v>
      </c>
      <c r="AO178" s="20">
        <f t="shared" si="8"/>
        <v>0</v>
      </c>
      <c r="AP178" s="20">
        <f>Table1[[#This Row],[balls scored]]+Table1[[#This Row],[auton balls scored]]</f>
        <v>3</v>
      </c>
      <c r="AQ178" s="20">
        <f>Table1[[#This Row],[balls scored high]]+Table1[[#This Row],[Auton Scored High]]</f>
        <v>3</v>
      </c>
      <c r="AR178" s="20">
        <f>Table1[[#This Row],[balls scored low]]+Table1[[#This Row],[Auton Scored Low]]</f>
        <v>0</v>
      </c>
      <c r="AS178" s="50">
        <f>IF(Table1[[#This Row],[Control Panel Spun Time]]&gt;0,1,0)</f>
        <v>0</v>
      </c>
      <c r="AT178" s="20">
        <f>IF(Table1[[#This Row],[Control Panel Color Time]]&gt;0,1,0)</f>
        <v>0</v>
      </c>
    </row>
    <row r="179" spans="1:46" s="2" customFormat="1" x14ac:dyDescent="0.25">
      <c r="A179">
        <v>5112</v>
      </c>
      <c r="B179">
        <v>2</v>
      </c>
      <c r="C179">
        <v>0</v>
      </c>
      <c r="D179">
        <v>0</v>
      </c>
      <c r="E179">
        <v>0</v>
      </c>
      <c r="F179">
        <v>0</v>
      </c>
      <c r="G179">
        <v>0</v>
      </c>
      <c r="H179">
        <v>1</v>
      </c>
      <c r="I179" s="8">
        <f>+Table1[[#This Row],[Auton ball picked up in our trench]]+Table1[[#This Row],[Auton Balls Picked Up in Mid]]+Table1[[#This Row],[Auton Balls Picked Up In Their Trench]]</f>
        <v>0</v>
      </c>
      <c r="J179" s="8">
        <f>+Table1[[#This Row],[Auton Scored High]]+Table1[[#This Row],[Auton Scored Low]]</f>
        <v>0</v>
      </c>
      <c r="K17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179">
        <v>0</v>
      </c>
      <c r="M179">
        <v>0</v>
      </c>
      <c r="N179">
        <v>0</v>
      </c>
      <c r="O179">
        <v>0</v>
      </c>
      <c r="P179">
        <v>0</v>
      </c>
      <c r="Q179">
        <v>0</v>
      </c>
      <c r="R179">
        <v>0</v>
      </c>
      <c r="S179">
        <v>0</v>
      </c>
      <c r="T179">
        <v>0</v>
      </c>
      <c r="U179">
        <v>0</v>
      </c>
      <c r="V179" s="8">
        <f>Table1[[#This Row],[Balls Scored From Trench]]+Table1[[#This Row],[Balls Scored from Mid]]+Table1[[#This Row],[Balls Scored From Alliance zone]]</f>
        <v>0</v>
      </c>
      <c r="W179" s="8">
        <f>Table1[[#This Row],[balls scored high]]+Table1[[#This Row],[balls scored low]]</f>
        <v>0</v>
      </c>
      <c r="X179" s="8">
        <f>Table1[[#This Row],[Control Panel Spun Time]]+Table1[[#This Row],[Control Panel Color Time]]</f>
        <v>0</v>
      </c>
      <c r="Y179" s="8">
        <f>Table1[[#This Row],[Control Panels Spun]]+Table1[[#This Row],[Control Panel Color]]</f>
        <v>0</v>
      </c>
      <c r="Z17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179">
        <v>0</v>
      </c>
      <c r="AB179">
        <v>0</v>
      </c>
      <c r="AC179">
        <v>0</v>
      </c>
      <c r="AD179">
        <v>0</v>
      </c>
      <c r="AE179">
        <v>0</v>
      </c>
      <c r="AF179">
        <v>0</v>
      </c>
      <c r="AG179">
        <v>0</v>
      </c>
      <c r="AH179"/>
      <c r="AI179" t="s">
        <v>43</v>
      </c>
      <c r="AJ179" t="s">
        <v>199</v>
      </c>
      <c r="AK179" s="17">
        <f>(Table1[[#This Row],[Climbed]]*weighting!$B$18)+(Table1[[#This Row],[Adjustable Climber]]*weighting!$B$19)+(Table1[[#This Row],[Lift other Robot]]*weighting!$B$20)+(Table1[[#This Row],[Balanced]]*weighting!$B$21)</f>
        <v>0</v>
      </c>
      <c r="AL179" s="8">
        <f>+Table1[[#This Row],[Endgame our score]]+Table1[[#This Row],[teleop our score]]+Table1[[#This Row],[auton our score]]</f>
        <v>1</v>
      </c>
      <c r="AM179" s="20">
        <f t="shared" si="6"/>
        <v>0</v>
      </c>
      <c r="AN179" s="20">
        <f t="shared" si="7"/>
        <v>1</v>
      </c>
      <c r="AO179" s="20">
        <f t="shared" si="8"/>
        <v>0</v>
      </c>
      <c r="AP179" s="20">
        <f>Table1[[#This Row],[balls scored]]+Table1[[#This Row],[auton balls scored]]</f>
        <v>0</v>
      </c>
      <c r="AQ179" s="20">
        <f>Table1[[#This Row],[balls scored high]]+Table1[[#This Row],[Auton Scored High]]</f>
        <v>0</v>
      </c>
      <c r="AR179" s="20">
        <f>Table1[[#This Row],[balls scored low]]+Table1[[#This Row],[Auton Scored Low]]</f>
        <v>0</v>
      </c>
      <c r="AS179" s="50">
        <f>IF(Table1[[#This Row],[Control Panel Spun Time]]&gt;0,1,0)</f>
        <v>0</v>
      </c>
      <c r="AT179" s="20">
        <f>IF(Table1[[#This Row],[Control Panel Color Time]]&gt;0,1,0)</f>
        <v>0</v>
      </c>
    </row>
    <row r="180" spans="1:46" x14ac:dyDescent="0.25">
      <c r="A180">
        <v>5112</v>
      </c>
      <c r="B180">
        <v>2</v>
      </c>
      <c r="C180">
        <v>3</v>
      </c>
      <c r="D180">
        <v>0</v>
      </c>
      <c r="E180">
        <v>0</v>
      </c>
      <c r="F180">
        <v>0</v>
      </c>
      <c r="G180">
        <v>0</v>
      </c>
      <c r="H180">
        <v>1</v>
      </c>
      <c r="I180" s="8">
        <f>+Table1[[#This Row],[Auton ball picked up in our trench]]+Table1[[#This Row],[Auton Balls Picked Up in Mid]]+Table1[[#This Row],[Auton Balls Picked Up In Their Trench]]</f>
        <v>0</v>
      </c>
      <c r="J180" s="8">
        <f>+Table1[[#This Row],[Auton Scored High]]+Table1[[#This Row],[Auton Scored Low]]</f>
        <v>3</v>
      </c>
      <c r="K18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180">
        <v>0</v>
      </c>
      <c r="M180">
        <v>0</v>
      </c>
      <c r="N180">
        <v>0</v>
      </c>
      <c r="O180">
        <v>0</v>
      </c>
      <c r="P180">
        <v>0</v>
      </c>
      <c r="Q180">
        <v>0</v>
      </c>
      <c r="R180">
        <v>0</v>
      </c>
      <c r="S180">
        <v>0</v>
      </c>
      <c r="T180">
        <v>0</v>
      </c>
      <c r="U180">
        <v>0</v>
      </c>
      <c r="V180" s="8">
        <f>Table1[[#This Row],[Balls Scored From Trench]]+Table1[[#This Row],[Balls Scored from Mid]]+Table1[[#This Row],[Balls Scored From Alliance zone]]</f>
        <v>0</v>
      </c>
      <c r="W180" s="8">
        <f>Table1[[#This Row],[balls scored high]]+Table1[[#This Row],[balls scored low]]</f>
        <v>0</v>
      </c>
      <c r="X180" s="8">
        <f>Table1[[#This Row],[Control Panel Spun Time]]+Table1[[#This Row],[Control Panel Color Time]]</f>
        <v>0</v>
      </c>
      <c r="Y180" s="8">
        <f>Table1[[#This Row],[Control Panels Spun]]+Table1[[#This Row],[Control Panel Color]]</f>
        <v>0</v>
      </c>
      <c r="Z18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180">
        <v>0</v>
      </c>
      <c r="AB180">
        <v>0</v>
      </c>
      <c r="AC180">
        <v>0</v>
      </c>
      <c r="AD180">
        <v>0</v>
      </c>
      <c r="AE180">
        <v>0</v>
      </c>
      <c r="AF180">
        <v>0</v>
      </c>
      <c r="AG180">
        <v>0</v>
      </c>
      <c r="AI180" t="s">
        <v>174</v>
      </c>
      <c r="AK180" s="17">
        <f>(Table1[[#This Row],[Climbed]]*weighting!$B$18)+(Table1[[#This Row],[Adjustable Climber]]*weighting!$B$19)+(Table1[[#This Row],[Lift other Robot]]*weighting!$B$20)+(Table1[[#This Row],[Balanced]]*weighting!$B$21)</f>
        <v>0</v>
      </c>
      <c r="AL180" s="8">
        <f>+Table1[[#This Row],[Endgame our score]]+Table1[[#This Row],[teleop our score]]+Table1[[#This Row],[auton our score]]</f>
        <v>10</v>
      </c>
      <c r="AM180" s="20">
        <f t="shared" si="6"/>
        <v>0</v>
      </c>
      <c r="AN180" s="20">
        <f t="shared" si="7"/>
        <v>1</v>
      </c>
      <c r="AO180" s="20">
        <f t="shared" si="8"/>
        <v>0</v>
      </c>
      <c r="AP180" s="20">
        <f>Table1[[#This Row],[balls scored]]+Table1[[#This Row],[auton balls scored]]</f>
        <v>3</v>
      </c>
      <c r="AQ180" s="20">
        <f>Table1[[#This Row],[balls scored high]]+Table1[[#This Row],[Auton Scored High]]</f>
        <v>3</v>
      </c>
      <c r="AR180" s="20">
        <f>Table1[[#This Row],[balls scored low]]+Table1[[#This Row],[Auton Scored Low]]</f>
        <v>0</v>
      </c>
      <c r="AS180" s="50">
        <f>IF(Table1[[#This Row],[Control Panel Spun Time]]&gt;0,1,0)</f>
        <v>0</v>
      </c>
      <c r="AT180" s="20">
        <f>IF(Table1[[#This Row],[Control Panel Color Time]]&gt;0,1,0)</f>
        <v>0</v>
      </c>
    </row>
    <row r="181" spans="1:46" s="2" customFormat="1" x14ac:dyDescent="0.25">
      <c r="A181">
        <v>5112</v>
      </c>
      <c r="B181">
        <v>2</v>
      </c>
      <c r="C181">
        <v>3</v>
      </c>
      <c r="D181">
        <v>0</v>
      </c>
      <c r="E181">
        <v>0</v>
      </c>
      <c r="F181">
        <v>0</v>
      </c>
      <c r="G181">
        <v>0</v>
      </c>
      <c r="H181">
        <v>1</v>
      </c>
      <c r="I181" s="8">
        <f>+Table1[[#This Row],[Auton ball picked up in our trench]]+Table1[[#This Row],[Auton Balls Picked Up in Mid]]+Table1[[#This Row],[Auton Balls Picked Up In Their Trench]]</f>
        <v>0</v>
      </c>
      <c r="J181" s="8">
        <f>+Table1[[#This Row],[Auton Scored High]]+Table1[[#This Row],[Auton Scored Low]]</f>
        <v>3</v>
      </c>
      <c r="K18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181">
        <v>0</v>
      </c>
      <c r="M181">
        <v>0</v>
      </c>
      <c r="N181">
        <v>0</v>
      </c>
      <c r="O181">
        <v>0</v>
      </c>
      <c r="P181">
        <v>0</v>
      </c>
      <c r="Q181">
        <v>0</v>
      </c>
      <c r="R181">
        <v>0</v>
      </c>
      <c r="S181">
        <v>0</v>
      </c>
      <c r="T181">
        <v>0</v>
      </c>
      <c r="U181">
        <v>0</v>
      </c>
      <c r="V181" s="8">
        <f>Table1[[#This Row],[Balls Scored From Trench]]+Table1[[#This Row],[Balls Scored from Mid]]+Table1[[#This Row],[Balls Scored From Alliance zone]]</f>
        <v>0</v>
      </c>
      <c r="W181" s="8">
        <f>Table1[[#This Row],[balls scored high]]+Table1[[#This Row],[balls scored low]]</f>
        <v>0</v>
      </c>
      <c r="X181" s="8">
        <f>Table1[[#This Row],[Control Panel Spun Time]]+Table1[[#This Row],[Control Panel Color Time]]</f>
        <v>0</v>
      </c>
      <c r="Y181" s="8">
        <f>Table1[[#This Row],[Control Panels Spun]]+Table1[[#This Row],[Control Panel Color]]</f>
        <v>0</v>
      </c>
      <c r="Z18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181">
        <v>0</v>
      </c>
      <c r="AB181">
        <v>0</v>
      </c>
      <c r="AC181">
        <v>0</v>
      </c>
      <c r="AD181">
        <v>0</v>
      </c>
      <c r="AE181">
        <v>0</v>
      </c>
      <c r="AF181">
        <v>0</v>
      </c>
      <c r="AG181">
        <v>0</v>
      </c>
      <c r="AH181"/>
      <c r="AI181" t="s">
        <v>176</v>
      </c>
      <c r="AJ181"/>
      <c r="AK181" s="17">
        <f>(Table1[[#This Row],[Climbed]]*weighting!$B$18)+(Table1[[#This Row],[Adjustable Climber]]*weighting!$B$19)+(Table1[[#This Row],[Lift other Robot]]*weighting!$B$20)+(Table1[[#This Row],[Balanced]]*weighting!$B$21)</f>
        <v>0</v>
      </c>
      <c r="AL181" s="8">
        <f>+Table1[[#This Row],[Endgame our score]]+Table1[[#This Row],[teleop our score]]+Table1[[#This Row],[auton our score]]</f>
        <v>10</v>
      </c>
      <c r="AM181" s="20">
        <f t="shared" si="6"/>
        <v>0</v>
      </c>
      <c r="AN181" s="20">
        <f t="shared" si="7"/>
        <v>1</v>
      </c>
      <c r="AO181" s="20">
        <f t="shared" si="8"/>
        <v>0</v>
      </c>
      <c r="AP181" s="20">
        <f>Table1[[#This Row],[balls scored]]+Table1[[#This Row],[auton balls scored]]</f>
        <v>3</v>
      </c>
      <c r="AQ181" s="20">
        <f>Table1[[#This Row],[balls scored high]]+Table1[[#This Row],[Auton Scored High]]</f>
        <v>3</v>
      </c>
      <c r="AR181" s="20">
        <f>Table1[[#This Row],[balls scored low]]+Table1[[#This Row],[Auton Scored Low]]</f>
        <v>0</v>
      </c>
      <c r="AS181" s="50">
        <f>IF(Table1[[#This Row],[Control Panel Spun Time]]&gt;0,1,0)</f>
        <v>0</v>
      </c>
      <c r="AT181" s="20">
        <f>IF(Table1[[#This Row],[Control Panel Color Time]]&gt;0,1,0)</f>
        <v>0</v>
      </c>
    </row>
    <row r="182" spans="1:46" x14ac:dyDescent="0.25">
      <c r="A182">
        <v>5112</v>
      </c>
      <c r="B182">
        <v>3</v>
      </c>
      <c r="C182">
        <v>3</v>
      </c>
      <c r="D182">
        <v>0</v>
      </c>
      <c r="E182">
        <v>0</v>
      </c>
      <c r="F182">
        <v>0</v>
      </c>
      <c r="G182">
        <v>0</v>
      </c>
      <c r="H182">
        <v>1</v>
      </c>
      <c r="I182" s="8">
        <f>+Table1[[#This Row],[Auton ball picked up in our trench]]+Table1[[#This Row],[Auton Balls Picked Up in Mid]]+Table1[[#This Row],[Auton Balls Picked Up In Their Trench]]</f>
        <v>0</v>
      </c>
      <c r="J182" s="8">
        <f>+Table1[[#This Row],[Auton Scored High]]+Table1[[#This Row],[Auton Scored Low]]</f>
        <v>3</v>
      </c>
      <c r="K18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182">
        <v>3</v>
      </c>
      <c r="M182">
        <v>0</v>
      </c>
      <c r="N182">
        <v>0</v>
      </c>
      <c r="O182">
        <v>0</v>
      </c>
      <c r="P182">
        <v>0</v>
      </c>
      <c r="Q182">
        <v>0</v>
      </c>
      <c r="R182">
        <v>0</v>
      </c>
      <c r="S182">
        <v>0</v>
      </c>
      <c r="T182">
        <v>0</v>
      </c>
      <c r="U182">
        <v>0</v>
      </c>
      <c r="V182" s="8">
        <f>Table1[[#This Row],[Balls Scored From Trench]]+Table1[[#This Row],[Balls Scored from Mid]]+Table1[[#This Row],[Balls Scored From Alliance zone]]</f>
        <v>3</v>
      </c>
      <c r="W182" s="8">
        <f>Table1[[#This Row],[balls scored high]]+Table1[[#This Row],[balls scored low]]</f>
        <v>3</v>
      </c>
      <c r="X182" s="8">
        <f>Table1[[#This Row],[Control Panel Spun Time]]+Table1[[#This Row],[Control Panel Color Time]]</f>
        <v>0</v>
      </c>
      <c r="Y182" s="8">
        <f>Table1[[#This Row],[Control Panels Spun]]+Table1[[#This Row],[Control Panel Color]]</f>
        <v>0</v>
      </c>
      <c r="Z18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9</v>
      </c>
      <c r="AA182">
        <v>0</v>
      </c>
      <c r="AB182">
        <v>0</v>
      </c>
      <c r="AC182">
        <v>0</v>
      </c>
      <c r="AD182">
        <v>0</v>
      </c>
      <c r="AE182">
        <v>0</v>
      </c>
      <c r="AF182">
        <v>0</v>
      </c>
      <c r="AG182">
        <v>0</v>
      </c>
      <c r="AI182" t="s">
        <v>43</v>
      </c>
      <c r="AK182" s="17">
        <f>(Table1[[#This Row],[Climbed]]*weighting!$B$18)+(Table1[[#This Row],[Adjustable Climber]]*weighting!$B$19)+(Table1[[#This Row],[Lift other Robot]]*weighting!$B$20)+(Table1[[#This Row],[Balanced]]*weighting!$B$21)</f>
        <v>0</v>
      </c>
      <c r="AL182" s="8">
        <f>+Table1[[#This Row],[Endgame our score]]+Table1[[#This Row],[teleop our score]]+Table1[[#This Row],[auton our score]]</f>
        <v>19</v>
      </c>
      <c r="AM182" s="20">
        <f t="shared" si="6"/>
        <v>0</v>
      </c>
      <c r="AN182" s="20">
        <f t="shared" si="7"/>
        <v>0</v>
      </c>
      <c r="AO182" s="20">
        <f t="shared" si="8"/>
        <v>1</v>
      </c>
      <c r="AP182" s="20">
        <f>Table1[[#This Row],[balls scored]]+Table1[[#This Row],[auton balls scored]]</f>
        <v>6</v>
      </c>
      <c r="AQ182" s="20">
        <f>Table1[[#This Row],[balls scored high]]+Table1[[#This Row],[Auton Scored High]]</f>
        <v>6</v>
      </c>
      <c r="AR182" s="20">
        <f>Table1[[#This Row],[balls scored low]]+Table1[[#This Row],[Auton Scored Low]]</f>
        <v>0</v>
      </c>
      <c r="AS182" s="50">
        <f>IF(Table1[[#This Row],[Control Panel Spun Time]]&gt;0,1,0)</f>
        <v>0</v>
      </c>
      <c r="AT182" s="20">
        <f>IF(Table1[[#This Row],[Control Panel Color Time]]&gt;0,1,0)</f>
        <v>0</v>
      </c>
    </row>
    <row r="183" spans="1:46" s="2" customFormat="1" x14ac:dyDescent="0.25">
      <c r="A183">
        <v>5112</v>
      </c>
      <c r="B183">
        <v>3</v>
      </c>
      <c r="C183">
        <v>2</v>
      </c>
      <c r="D183">
        <v>0</v>
      </c>
      <c r="E183">
        <v>0</v>
      </c>
      <c r="F183">
        <v>0</v>
      </c>
      <c r="G183">
        <v>0</v>
      </c>
      <c r="H183">
        <v>1</v>
      </c>
      <c r="I183" s="8">
        <f>+Table1[[#This Row],[Auton ball picked up in our trench]]+Table1[[#This Row],[Auton Balls Picked Up in Mid]]+Table1[[#This Row],[Auton Balls Picked Up In Their Trench]]</f>
        <v>0</v>
      </c>
      <c r="J183" s="8">
        <f>+Table1[[#This Row],[Auton Scored High]]+Table1[[#This Row],[Auton Scored Low]]</f>
        <v>2</v>
      </c>
      <c r="K18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7</v>
      </c>
      <c r="L183">
        <v>0</v>
      </c>
      <c r="M183">
        <v>4</v>
      </c>
      <c r="N183">
        <v>0</v>
      </c>
      <c r="O183">
        <v>0</v>
      </c>
      <c r="P183">
        <v>0</v>
      </c>
      <c r="Q183">
        <v>0</v>
      </c>
      <c r="R183">
        <v>0</v>
      </c>
      <c r="S183">
        <v>0</v>
      </c>
      <c r="T183">
        <v>0</v>
      </c>
      <c r="U183">
        <v>0</v>
      </c>
      <c r="V183" s="8">
        <f>Table1[[#This Row],[Balls Scored From Trench]]+Table1[[#This Row],[Balls Scored from Mid]]+Table1[[#This Row],[Balls Scored From Alliance zone]]</f>
        <v>4</v>
      </c>
      <c r="W183" s="8">
        <f>Table1[[#This Row],[balls scored high]]+Table1[[#This Row],[balls scored low]]</f>
        <v>4</v>
      </c>
      <c r="X183" s="8">
        <f>Table1[[#This Row],[Control Panel Spun Time]]+Table1[[#This Row],[Control Panel Color Time]]</f>
        <v>0</v>
      </c>
      <c r="Y183" s="8">
        <f>Table1[[#This Row],[Control Panels Spun]]+Table1[[#This Row],[Control Panel Color]]</f>
        <v>0</v>
      </c>
      <c r="Z18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8</v>
      </c>
      <c r="AA183">
        <v>0</v>
      </c>
      <c r="AB183">
        <v>0</v>
      </c>
      <c r="AC183">
        <v>0</v>
      </c>
      <c r="AD183">
        <v>0</v>
      </c>
      <c r="AE183">
        <v>0</v>
      </c>
      <c r="AF183">
        <v>0</v>
      </c>
      <c r="AG183">
        <v>0</v>
      </c>
      <c r="AH183"/>
      <c r="AI183" t="s">
        <v>116</v>
      </c>
      <c r="AJ183"/>
      <c r="AK183" s="17">
        <f>(Table1[[#This Row],[Climbed]]*weighting!$B$18)+(Table1[[#This Row],[Adjustable Climber]]*weighting!$B$19)+(Table1[[#This Row],[Lift other Robot]]*weighting!$B$20)+(Table1[[#This Row],[Balanced]]*weighting!$B$21)</f>
        <v>0</v>
      </c>
      <c r="AL183" s="8">
        <f>+Table1[[#This Row],[Endgame our score]]+Table1[[#This Row],[teleop our score]]+Table1[[#This Row],[auton our score]]</f>
        <v>15</v>
      </c>
      <c r="AM183" s="20">
        <f t="shared" si="6"/>
        <v>0</v>
      </c>
      <c r="AN183" s="20">
        <f t="shared" si="7"/>
        <v>0</v>
      </c>
      <c r="AO183" s="20">
        <f t="shared" si="8"/>
        <v>1</v>
      </c>
      <c r="AP183" s="20">
        <f>Table1[[#This Row],[balls scored]]+Table1[[#This Row],[auton balls scored]]</f>
        <v>6</v>
      </c>
      <c r="AQ183" s="20">
        <f>Table1[[#This Row],[balls scored high]]+Table1[[#This Row],[Auton Scored High]]</f>
        <v>6</v>
      </c>
      <c r="AR183" s="20">
        <f>Table1[[#This Row],[balls scored low]]+Table1[[#This Row],[Auton Scored Low]]</f>
        <v>0</v>
      </c>
      <c r="AS183" s="50">
        <f>IF(Table1[[#This Row],[Control Panel Spun Time]]&gt;0,1,0)</f>
        <v>0</v>
      </c>
      <c r="AT183" s="20">
        <f>IF(Table1[[#This Row],[Control Panel Color Time]]&gt;0,1,0)</f>
        <v>0</v>
      </c>
    </row>
    <row r="184" spans="1:46" x14ac:dyDescent="0.25">
      <c r="A184">
        <v>5112</v>
      </c>
      <c r="B184">
        <v>2</v>
      </c>
      <c r="C184">
        <v>3</v>
      </c>
      <c r="D184">
        <v>0</v>
      </c>
      <c r="E184">
        <v>0</v>
      </c>
      <c r="F184">
        <v>0</v>
      </c>
      <c r="G184">
        <v>0</v>
      </c>
      <c r="H184">
        <v>1</v>
      </c>
      <c r="I184" s="8">
        <f>+Table1[[#This Row],[Auton ball picked up in our trench]]+Table1[[#This Row],[Auton Balls Picked Up in Mid]]+Table1[[#This Row],[Auton Balls Picked Up In Their Trench]]</f>
        <v>0</v>
      </c>
      <c r="J184" s="8">
        <f>+Table1[[#This Row],[Auton Scored High]]+Table1[[#This Row],[Auton Scored Low]]</f>
        <v>3</v>
      </c>
      <c r="K18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184">
        <v>3</v>
      </c>
      <c r="M184">
        <v>3</v>
      </c>
      <c r="N184">
        <v>0</v>
      </c>
      <c r="O184">
        <v>0</v>
      </c>
      <c r="P184">
        <v>0</v>
      </c>
      <c r="Q184">
        <v>0</v>
      </c>
      <c r="R184">
        <v>0</v>
      </c>
      <c r="S184">
        <v>0</v>
      </c>
      <c r="T184">
        <v>0</v>
      </c>
      <c r="U184">
        <v>0</v>
      </c>
      <c r="V184" s="8">
        <f>Table1[[#This Row],[Balls Scored From Trench]]+Table1[[#This Row],[Balls Scored from Mid]]+Table1[[#This Row],[Balls Scored From Alliance zone]]</f>
        <v>6</v>
      </c>
      <c r="W184" s="8">
        <f>Table1[[#This Row],[balls scored high]]+Table1[[#This Row],[balls scored low]]</f>
        <v>6</v>
      </c>
      <c r="X184" s="8">
        <f>Table1[[#This Row],[Control Panel Spun Time]]+Table1[[#This Row],[Control Panel Color Time]]</f>
        <v>0</v>
      </c>
      <c r="Y184" s="8">
        <f>Table1[[#This Row],[Control Panels Spun]]+Table1[[#This Row],[Control Panel Color]]</f>
        <v>0</v>
      </c>
      <c r="Z18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15</v>
      </c>
      <c r="AA184">
        <v>0</v>
      </c>
      <c r="AB184">
        <v>0</v>
      </c>
      <c r="AC184">
        <v>0</v>
      </c>
      <c r="AD184">
        <v>0</v>
      </c>
      <c r="AE184">
        <v>0</v>
      </c>
      <c r="AF184">
        <v>0</v>
      </c>
      <c r="AG184">
        <v>0</v>
      </c>
      <c r="AI184" t="s">
        <v>179</v>
      </c>
      <c r="AJ184" t="s">
        <v>328</v>
      </c>
      <c r="AK184" s="17">
        <f>(Table1[[#This Row],[Climbed]]*weighting!$B$18)+(Table1[[#This Row],[Adjustable Climber]]*weighting!$B$19)+(Table1[[#This Row],[Lift other Robot]]*weighting!$B$20)+(Table1[[#This Row],[Balanced]]*weighting!$B$21)</f>
        <v>0</v>
      </c>
      <c r="AL184" s="8">
        <f>+Table1[[#This Row],[Endgame our score]]+Table1[[#This Row],[teleop our score]]+Table1[[#This Row],[auton our score]]</f>
        <v>25</v>
      </c>
      <c r="AM184" s="20">
        <f t="shared" si="6"/>
        <v>0</v>
      </c>
      <c r="AN184" s="20">
        <f t="shared" si="7"/>
        <v>1</v>
      </c>
      <c r="AO184" s="20">
        <f t="shared" si="8"/>
        <v>0</v>
      </c>
      <c r="AP184" s="20">
        <f>Table1[[#This Row],[balls scored]]+Table1[[#This Row],[auton balls scored]]</f>
        <v>9</v>
      </c>
      <c r="AQ184" s="20">
        <f>Table1[[#This Row],[balls scored high]]+Table1[[#This Row],[Auton Scored High]]</f>
        <v>9</v>
      </c>
      <c r="AR184" s="20">
        <f>Table1[[#This Row],[balls scored low]]+Table1[[#This Row],[Auton Scored Low]]</f>
        <v>0</v>
      </c>
      <c r="AS184" s="50">
        <f>IF(Table1[[#This Row],[Control Panel Spun Time]]&gt;0,1,0)</f>
        <v>0</v>
      </c>
      <c r="AT184" s="20">
        <f>IF(Table1[[#This Row],[Control Panel Color Time]]&gt;0,1,0)</f>
        <v>0</v>
      </c>
    </row>
    <row r="185" spans="1:46" s="2" customFormat="1" x14ac:dyDescent="0.25">
      <c r="A185">
        <v>5347</v>
      </c>
      <c r="B185">
        <v>3</v>
      </c>
      <c r="C185">
        <v>0</v>
      </c>
      <c r="D185">
        <v>0</v>
      </c>
      <c r="E185">
        <v>0</v>
      </c>
      <c r="F185">
        <v>0</v>
      </c>
      <c r="G185">
        <v>0</v>
      </c>
      <c r="H185">
        <v>1</v>
      </c>
      <c r="I185" s="8">
        <f>+Table1[[#This Row],[Auton ball picked up in our trench]]+Table1[[#This Row],[Auton Balls Picked Up in Mid]]+Table1[[#This Row],[Auton Balls Picked Up In Their Trench]]</f>
        <v>0</v>
      </c>
      <c r="J185" s="8">
        <f>+Table1[[#This Row],[Auton Scored High]]+Table1[[#This Row],[Auton Scored Low]]</f>
        <v>0</v>
      </c>
      <c r="K18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185">
        <v>2</v>
      </c>
      <c r="M185">
        <v>0</v>
      </c>
      <c r="N185">
        <v>2</v>
      </c>
      <c r="O185">
        <v>0</v>
      </c>
      <c r="P185">
        <v>0</v>
      </c>
      <c r="Q185">
        <v>0</v>
      </c>
      <c r="R185">
        <v>0</v>
      </c>
      <c r="S185">
        <v>0</v>
      </c>
      <c r="T185">
        <v>0</v>
      </c>
      <c r="U185">
        <v>0</v>
      </c>
      <c r="V185" s="8">
        <f>Table1[[#This Row],[Balls Scored From Trench]]+Table1[[#This Row],[Balls Scored from Mid]]+Table1[[#This Row],[Balls Scored From Alliance zone]]</f>
        <v>4</v>
      </c>
      <c r="W185" s="8">
        <f>Table1[[#This Row],[balls scored high]]+Table1[[#This Row],[balls scored low]]</f>
        <v>4</v>
      </c>
      <c r="X185" s="8">
        <f>Table1[[#This Row],[Control Panel Spun Time]]+Table1[[#This Row],[Control Panel Color Time]]</f>
        <v>0</v>
      </c>
      <c r="Y185" s="8">
        <f>Table1[[#This Row],[Control Panels Spun]]+Table1[[#This Row],[Control Panel Color]]</f>
        <v>0</v>
      </c>
      <c r="Z18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8</v>
      </c>
      <c r="AA185">
        <v>0</v>
      </c>
      <c r="AB185">
        <v>0</v>
      </c>
      <c r="AC185">
        <v>0</v>
      </c>
      <c r="AD185">
        <v>0</v>
      </c>
      <c r="AE185">
        <v>0</v>
      </c>
      <c r="AF185">
        <v>0</v>
      </c>
      <c r="AG185">
        <v>0</v>
      </c>
      <c r="AH185"/>
      <c r="AI185" t="s">
        <v>176</v>
      </c>
      <c r="AJ185" t="s">
        <v>200</v>
      </c>
      <c r="AK185" s="17">
        <f>(Table1[[#This Row],[Climbed]]*weighting!$B$18)+(Table1[[#This Row],[Adjustable Climber]]*weighting!$B$19)+(Table1[[#This Row],[Lift other Robot]]*weighting!$B$20)+(Table1[[#This Row],[Balanced]]*weighting!$B$21)</f>
        <v>0</v>
      </c>
      <c r="AL185" s="8">
        <f>+Table1[[#This Row],[Endgame our score]]+Table1[[#This Row],[teleop our score]]+Table1[[#This Row],[auton our score]]</f>
        <v>9</v>
      </c>
      <c r="AM185" s="20">
        <f t="shared" si="6"/>
        <v>0</v>
      </c>
      <c r="AN185" s="20">
        <f t="shared" si="7"/>
        <v>0</v>
      </c>
      <c r="AO185" s="20">
        <f t="shared" si="8"/>
        <v>1</v>
      </c>
      <c r="AP185" s="20">
        <f>Table1[[#This Row],[balls scored]]+Table1[[#This Row],[auton balls scored]]</f>
        <v>4</v>
      </c>
      <c r="AQ185" s="20">
        <f>Table1[[#This Row],[balls scored high]]+Table1[[#This Row],[Auton Scored High]]</f>
        <v>4</v>
      </c>
      <c r="AR185" s="20">
        <f>Table1[[#This Row],[balls scored low]]+Table1[[#This Row],[Auton Scored Low]]</f>
        <v>0</v>
      </c>
      <c r="AS185" s="50">
        <f>IF(Table1[[#This Row],[Control Panel Spun Time]]&gt;0,1,0)</f>
        <v>0</v>
      </c>
      <c r="AT185" s="20">
        <f>IF(Table1[[#This Row],[Control Panel Color Time]]&gt;0,1,0)</f>
        <v>0</v>
      </c>
    </row>
    <row r="186" spans="1:46" x14ac:dyDescent="0.25">
      <c r="A186">
        <v>5347</v>
      </c>
      <c r="B186">
        <v>1</v>
      </c>
      <c r="C186">
        <v>0</v>
      </c>
      <c r="D186">
        <v>0</v>
      </c>
      <c r="E186">
        <v>0</v>
      </c>
      <c r="F186">
        <v>0</v>
      </c>
      <c r="G186">
        <v>0</v>
      </c>
      <c r="H186">
        <v>1</v>
      </c>
      <c r="I186" s="8">
        <f>+Table1[[#This Row],[Auton ball picked up in our trench]]+Table1[[#This Row],[Auton Balls Picked Up in Mid]]+Table1[[#This Row],[Auton Balls Picked Up In Their Trench]]</f>
        <v>0</v>
      </c>
      <c r="J186" s="8">
        <f>+Table1[[#This Row],[Auton Scored High]]+Table1[[#This Row],[Auton Scored Low]]</f>
        <v>0</v>
      </c>
      <c r="K18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186">
        <v>0</v>
      </c>
      <c r="M186">
        <v>0</v>
      </c>
      <c r="N186">
        <v>0</v>
      </c>
      <c r="O186">
        <v>0</v>
      </c>
      <c r="P186">
        <v>0</v>
      </c>
      <c r="Q186">
        <v>0</v>
      </c>
      <c r="R186">
        <v>0</v>
      </c>
      <c r="S186">
        <v>0</v>
      </c>
      <c r="T186">
        <v>0</v>
      </c>
      <c r="U186">
        <v>0</v>
      </c>
      <c r="V186" s="8">
        <f>Table1[[#This Row],[Balls Scored From Trench]]+Table1[[#This Row],[Balls Scored from Mid]]+Table1[[#This Row],[Balls Scored From Alliance zone]]</f>
        <v>0</v>
      </c>
      <c r="W186" s="8">
        <f>Table1[[#This Row],[balls scored high]]+Table1[[#This Row],[balls scored low]]</f>
        <v>0</v>
      </c>
      <c r="X186" s="8">
        <f>Table1[[#This Row],[Control Panel Spun Time]]+Table1[[#This Row],[Control Panel Color Time]]</f>
        <v>0</v>
      </c>
      <c r="Y186" s="8">
        <f>Table1[[#This Row],[Control Panels Spun]]+Table1[[#This Row],[Control Panel Color]]</f>
        <v>0</v>
      </c>
      <c r="Z18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186">
        <v>0</v>
      </c>
      <c r="AB186">
        <v>0</v>
      </c>
      <c r="AC186">
        <v>0</v>
      </c>
      <c r="AD186">
        <v>0</v>
      </c>
      <c r="AE186">
        <v>0</v>
      </c>
      <c r="AF186">
        <v>0</v>
      </c>
      <c r="AG186">
        <v>0</v>
      </c>
      <c r="AI186" t="s">
        <v>176</v>
      </c>
      <c r="AJ186" t="s">
        <v>220</v>
      </c>
      <c r="AK186" s="17">
        <f>(Table1[[#This Row],[Climbed]]*weighting!$B$18)+(Table1[[#This Row],[Adjustable Climber]]*weighting!$B$19)+(Table1[[#This Row],[Lift other Robot]]*weighting!$B$20)+(Table1[[#This Row],[Balanced]]*weighting!$B$21)</f>
        <v>0</v>
      </c>
      <c r="AL186" s="8">
        <f>+Table1[[#This Row],[Endgame our score]]+Table1[[#This Row],[teleop our score]]+Table1[[#This Row],[auton our score]]</f>
        <v>1</v>
      </c>
      <c r="AM186" s="20">
        <f t="shared" si="6"/>
        <v>1</v>
      </c>
      <c r="AN186" s="20">
        <f t="shared" si="7"/>
        <v>0</v>
      </c>
      <c r="AO186" s="20">
        <f t="shared" si="8"/>
        <v>0</v>
      </c>
      <c r="AP186" s="20">
        <f>Table1[[#This Row],[balls scored]]+Table1[[#This Row],[auton balls scored]]</f>
        <v>0</v>
      </c>
      <c r="AQ186" s="20">
        <f>Table1[[#This Row],[balls scored high]]+Table1[[#This Row],[Auton Scored High]]</f>
        <v>0</v>
      </c>
      <c r="AR186" s="20">
        <f>Table1[[#This Row],[balls scored low]]+Table1[[#This Row],[Auton Scored Low]]</f>
        <v>0</v>
      </c>
      <c r="AS186" s="50">
        <f>IF(Table1[[#This Row],[Control Panel Spun Time]]&gt;0,1,0)</f>
        <v>0</v>
      </c>
      <c r="AT186" s="20">
        <f>IF(Table1[[#This Row],[Control Panel Color Time]]&gt;0,1,0)</f>
        <v>0</v>
      </c>
    </row>
    <row r="187" spans="1:46" s="2" customFormat="1" x14ac:dyDescent="0.25">
      <c r="A187">
        <v>5347</v>
      </c>
      <c r="B187">
        <v>2</v>
      </c>
      <c r="C187">
        <v>0</v>
      </c>
      <c r="D187">
        <v>0</v>
      </c>
      <c r="E187">
        <v>0</v>
      </c>
      <c r="F187">
        <v>0</v>
      </c>
      <c r="G187">
        <v>0</v>
      </c>
      <c r="H187">
        <v>1</v>
      </c>
      <c r="I187" s="8">
        <f>+Table1[[#This Row],[Auton ball picked up in our trench]]+Table1[[#This Row],[Auton Balls Picked Up in Mid]]+Table1[[#This Row],[Auton Balls Picked Up In Their Trench]]</f>
        <v>0</v>
      </c>
      <c r="J187" s="8">
        <f>+Table1[[#This Row],[Auton Scored High]]+Table1[[#This Row],[Auton Scored Low]]</f>
        <v>0</v>
      </c>
      <c r="K18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187">
        <v>0</v>
      </c>
      <c r="M187">
        <v>0</v>
      </c>
      <c r="N187">
        <v>0</v>
      </c>
      <c r="O187">
        <v>0</v>
      </c>
      <c r="P187">
        <v>0</v>
      </c>
      <c r="Q187">
        <v>0</v>
      </c>
      <c r="R187">
        <v>0</v>
      </c>
      <c r="S187">
        <v>0</v>
      </c>
      <c r="T187">
        <v>0</v>
      </c>
      <c r="U187">
        <v>0</v>
      </c>
      <c r="V187" s="8">
        <f>Table1[[#This Row],[Balls Scored From Trench]]+Table1[[#This Row],[Balls Scored from Mid]]+Table1[[#This Row],[Balls Scored From Alliance zone]]</f>
        <v>0</v>
      </c>
      <c r="W187" s="8">
        <f>Table1[[#This Row],[balls scored high]]+Table1[[#This Row],[balls scored low]]</f>
        <v>0</v>
      </c>
      <c r="X187" s="8">
        <f>Table1[[#This Row],[Control Panel Spun Time]]+Table1[[#This Row],[Control Panel Color Time]]</f>
        <v>0</v>
      </c>
      <c r="Y187" s="8">
        <f>Table1[[#This Row],[Control Panels Spun]]+Table1[[#This Row],[Control Panel Color]]</f>
        <v>0</v>
      </c>
      <c r="Z18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187">
        <v>0</v>
      </c>
      <c r="AB187">
        <v>0</v>
      </c>
      <c r="AC187">
        <v>0</v>
      </c>
      <c r="AD187">
        <v>0</v>
      </c>
      <c r="AE187">
        <v>0</v>
      </c>
      <c r="AF187">
        <v>0</v>
      </c>
      <c r="AG187">
        <v>0</v>
      </c>
      <c r="AH187"/>
      <c r="AI187" t="s">
        <v>174</v>
      </c>
      <c r="AJ187" t="s">
        <v>263</v>
      </c>
      <c r="AK187" s="17">
        <f>(Table1[[#This Row],[Climbed]]*weighting!$B$18)+(Table1[[#This Row],[Adjustable Climber]]*weighting!$B$19)+(Table1[[#This Row],[Lift other Robot]]*weighting!$B$20)+(Table1[[#This Row],[Balanced]]*weighting!$B$21)</f>
        <v>0</v>
      </c>
      <c r="AL187" s="8">
        <f>+Table1[[#This Row],[Endgame our score]]+Table1[[#This Row],[teleop our score]]+Table1[[#This Row],[auton our score]]</f>
        <v>1</v>
      </c>
      <c r="AM187" s="20">
        <f t="shared" si="6"/>
        <v>0</v>
      </c>
      <c r="AN187" s="20">
        <f t="shared" si="7"/>
        <v>1</v>
      </c>
      <c r="AO187" s="20">
        <f t="shared" si="8"/>
        <v>0</v>
      </c>
      <c r="AP187" s="20">
        <f>Table1[[#This Row],[balls scored]]+Table1[[#This Row],[auton balls scored]]</f>
        <v>0</v>
      </c>
      <c r="AQ187" s="20">
        <f>Table1[[#This Row],[balls scored high]]+Table1[[#This Row],[Auton Scored High]]</f>
        <v>0</v>
      </c>
      <c r="AR187" s="20">
        <f>Table1[[#This Row],[balls scored low]]+Table1[[#This Row],[Auton Scored Low]]</f>
        <v>0</v>
      </c>
      <c r="AS187" s="50">
        <f>IF(Table1[[#This Row],[Control Panel Spun Time]]&gt;0,1,0)</f>
        <v>0</v>
      </c>
      <c r="AT187" s="20">
        <f>IF(Table1[[#This Row],[Control Panel Color Time]]&gt;0,1,0)</f>
        <v>0</v>
      </c>
    </row>
    <row r="188" spans="1:46" x14ac:dyDescent="0.25">
      <c r="A188">
        <v>5347</v>
      </c>
      <c r="B188">
        <v>3</v>
      </c>
      <c r="C188">
        <v>4</v>
      </c>
      <c r="D188">
        <v>0</v>
      </c>
      <c r="E188">
        <v>0</v>
      </c>
      <c r="F188">
        <v>0</v>
      </c>
      <c r="G188">
        <v>0</v>
      </c>
      <c r="H188">
        <v>0</v>
      </c>
      <c r="I188" s="8">
        <f>+Table1[[#This Row],[Auton ball picked up in our trench]]+Table1[[#This Row],[Auton Balls Picked Up in Mid]]+Table1[[#This Row],[Auton Balls Picked Up In Their Trench]]</f>
        <v>0</v>
      </c>
      <c r="J188" s="8">
        <f>+Table1[[#This Row],[Auton Scored High]]+Table1[[#This Row],[Auton Scored Low]]</f>
        <v>4</v>
      </c>
      <c r="K18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12</v>
      </c>
      <c r="L188">
        <v>0</v>
      </c>
      <c r="M188">
        <v>0</v>
      </c>
      <c r="N188">
        <v>1</v>
      </c>
      <c r="O188">
        <v>0</v>
      </c>
      <c r="P188">
        <v>0</v>
      </c>
      <c r="Q188">
        <v>0</v>
      </c>
      <c r="R188">
        <v>0</v>
      </c>
      <c r="S188">
        <v>0</v>
      </c>
      <c r="T188">
        <v>0</v>
      </c>
      <c r="U188">
        <v>0</v>
      </c>
      <c r="V188" s="8">
        <f>Table1[[#This Row],[Balls Scored From Trench]]+Table1[[#This Row],[Balls Scored from Mid]]+Table1[[#This Row],[Balls Scored From Alliance zone]]</f>
        <v>1</v>
      </c>
      <c r="W188" s="8">
        <f>Table1[[#This Row],[balls scored high]]+Table1[[#This Row],[balls scored low]]</f>
        <v>1</v>
      </c>
      <c r="X188" s="8">
        <f>Table1[[#This Row],[Control Panel Spun Time]]+Table1[[#This Row],[Control Panel Color Time]]</f>
        <v>0</v>
      </c>
      <c r="Y188" s="8">
        <f>Table1[[#This Row],[Control Panels Spun]]+Table1[[#This Row],[Control Panel Color]]</f>
        <v>0</v>
      </c>
      <c r="Z18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v>
      </c>
      <c r="AA188">
        <v>0</v>
      </c>
      <c r="AB188">
        <v>0</v>
      </c>
      <c r="AC188">
        <v>0</v>
      </c>
      <c r="AD188">
        <v>0</v>
      </c>
      <c r="AE188">
        <v>0</v>
      </c>
      <c r="AF188">
        <v>0</v>
      </c>
      <c r="AG188">
        <v>0</v>
      </c>
      <c r="AI188" t="s">
        <v>179</v>
      </c>
      <c r="AK188" s="17">
        <f>(Table1[[#This Row],[Climbed]]*weighting!$B$18)+(Table1[[#This Row],[Adjustable Climber]]*weighting!$B$19)+(Table1[[#This Row],[Lift other Robot]]*weighting!$B$20)+(Table1[[#This Row],[Balanced]]*weighting!$B$21)</f>
        <v>0</v>
      </c>
      <c r="AL188" s="8">
        <f>+Table1[[#This Row],[Endgame our score]]+Table1[[#This Row],[teleop our score]]+Table1[[#This Row],[auton our score]]</f>
        <v>13</v>
      </c>
      <c r="AM188" s="20">
        <f t="shared" si="6"/>
        <v>0</v>
      </c>
      <c r="AN188" s="20">
        <f t="shared" si="7"/>
        <v>0</v>
      </c>
      <c r="AO188" s="20">
        <f t="shared" si="8"/>
        <v>1</v>
      </c>
      <c r="AP188" s="20">
        <f>Table1[[#This Row],[balls scored]]+Table1[[#This Row],[auton balls scored]]</f>
        <v>5</v>
      </c>
      <c r="AQ188" s="20">
        <f>Table1[[#This Row],[balls scored high]]+Table1[[#This Row],[Auton Scored High]]</f>
        <v>5</v>
      </c>
      <c r="AR188" s="20">
        <f>Table1[[#This Row],[balls scored low]]+Table1[[#This Row],[Auton Scored Low]]</f>
        <v>0</v>
      </c>
      <c r="AS188" s="50">
        <f>IF(Table1[[#This Row],[Control Panel Spun Time]]&gt;0,1,0)</f>
        <v>0</v>
      </c>
      <c r="AT188" s="20">
        <f>IF(Table1[[#This Row],[Control Panel Color Time]]&gt;0,1,0)</f>
        <v>0</v>
      </c>
    </row>
    <row r="189" spans="1:46" s="2" customFormat="1" x14ac:dyDescent="0.25">
      <c r="A189">
        <v>5347</v>
      </c>
      <c r="B189">
        <v>2</v>
      </c>
      <c r="C189">
        <v>3</v>
      </c>
      <c r="D189">
        <v>0</v>
      </c>
      <c r="E189">
        <v>0</v>
      </c>
      <c r="F189">
        <v>0</v>
      </c>
      <c r="G189">
        <v>0</v>
      </c>
      <c r="H189">
        <v>0</v>
      </c>
      <c r="I189" s="8">
        <f>+Table1[[#This Row],[Auton ball picked up in our trench]]+Table1[[#This Row],[Auton Balls Picked Up in Mid]]+Table1[[#This Row],[Auton Balls Picked Up In Their Trench]]</f>
        <v>0</v>
      </c>
      <c r="J189" s="8">
        <f>+Table1[[#This Row],[Auton Scored High]]+Table1[[#This Row],[Auton Scored Low]]</f>
        <v>3</v>
      </c>
      <c r="K18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9</v>
      </c>
      <c r="L189">
        <v>0</v>
      </c>
      <c r="M189">
        <v>0</v>
      </c>
      <c r="N189">
        <v>3</v>
      </c>
      <c r="O189">
        <v>0</v>
      </c>
      <c r="P189">
        <v>0</v>
      </c>
      <c r="Q189">
        <v>0</v>
      </c>
      <c r="R189">
        <v>0</v>
      </c>
      <c r="S189">
        <v>0</v>
      </c>
      <c r="T189">
        <v>0</v>
      </c>
      <c r="U189">
        <v>0</v>
      </c>
      <c r="V189" s="8">
        <f>Table1[[#This Row],[Balls Scored From Trench]]+Table1[[#This Row],[Balls Scored from Mid]]+Table1[[#This Row],[Balls Scored From Alliance zone]]</f>
        <v>3</v>
      </c>
      <c r="W189" s="8">
        <f>Table1[[#This Row],[balls scored high]]+Table1[[#This Row],[balls scored low]]</f>
        <v>3</v>
      </c>
      <c r="X189" s="8">
        <f>Table1[[#This Row],[Control Panel Spun Time]]+Table1[[#This Row],[Control Panel Color Time]]</f>
        <v>0</v>
      </c>
      <c r="Y189" s="8">
        <f>Table1[[#This Row],[Control Panels Spun]]+Table1[[#This Row],[Control Panel Color]]</f>
        <v>0</v>
      </c>
      <c r="Z18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3</v>
      </c>
      <c r="AA189">
        <v>0</v>
      </c>
      <c r="AB189">
        <v>0</v>
      </c>
      <c r="AC189">
        <v>0</v>
      </c>
      <c r="AD189">
        <v>0</v>
      </c>
      <c r="AE189">
        <v>0</v>
      </c>
      <c r="AF189">
        <v>0</v>
      </c>
      <c r="AG189">
        <v>0</v>
      </c>
      <c r="AH189"/>
      <c r="AI189" t="s">
        <v>184</v>
      </c>
      <c r="AJ189" t="s">
        <v>329</v>
      </c>
      <c r="AK189" s="17">
        <f>(Table1[[#This Row],[Climbed]]*weighting!$B$18)+(Table1[[#This Row],[Adjustable Climber]]*weighting!$B$19)+(Table1[[#This Row],[Lift other Robot]]*weighting!$B$20)+(Table1[[#This Row],[Balanced]]*weighting!$B$21)</f>
        <v>0</v>
      </c>
      <c r="AL189" s="8">
        <f>+Table1[[#This Row],[Endgame our score]]+Table1[[#This Row],[teleop our score]]+Table1[[#This Row],[auton our score]]</f>
        <v>12</v>
      </c>
      <c r="AM189" s="20">
        <f t="shared" si="6"/>
        <v>0</v>
      </c>
      <c r="AN189" s="20">
        <f t="shared" si="7"/>
        <v>1</v>
      </c>
      <c r="AO189" s="20">
        <f t="shared" si="8"/>
        <v>0</v>
      </c>
      <c r="AP189" s="20">
        <f>Table1[[#This Row],[balls scored]]+Table1[[#This Row],[auton balls scored]]</f>
        <v>6</v>
      </c>
      <c r="AQ189" s="20">
        <f>Table1[[#This Row],[balls scored high]]+Table1[[#This Row],[Auton Scored High]]</f>
        <v>6</v>
      </c>
      <c r="AR189" s="20">
        <f>Table1[[#This Row],[balls scored low]]+Table1[[#This Row],[Auton Scored Low]]</f>
        <v>0</v>
      </c>
      <c r="AS189" s="50">
        <f>IF(Table1[[#This Row],[Control Panel Spun Time]]&gt;0,1,0)</f>
        <v>0</v>
      </c>
      <c r="AT189" s="20">
        <f>IF(Table1[[#This Row],[Control Panel Color Time]]&gt;0,1,0)</f>
        <v>0</v>
      </c>
    </row>
    <row r="190" spans="1:46" x14ac:dyDescent="0.25">
      <c r="A190">
        <v>5491</v>
      </c>
      <c r="B190">
        <v>2</v>
      </c>
      <c r="C190">
        <v>0</v>
      </c>
      <c r="D190">
        <v>1</v>
      </c>
      <c r="E190">
        <v>0</v>
      </c>
      <c r="F190">
        <v>0</v>
      </c>
      <c r="G190">
        <v>0</v>
      </c>
      <c r="H190">
        <v>1</v>
      </c>
      <c r="I190" s="8">
        <f>+Table1[[#This Row],[Auton ball picked up in our trench]]+Table1[[#This Row],[Auton Balls Picked Up in Mid]]+Table1[[#This Row],[Auton Balls Picked Up In Their Trench]]</f>
        <v>0</v>
      </c>
      <c r="J190" s="8">
        <f>+Table1[[#This Row],[Auton Scored High]]+Table1[[#This Row],[Auton Scored Low]]</f>
        <v>1</v>
      </c>
      <c r="K19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2</v>
      </c>
      <c r="L190">
        <v>0</v>
      </c>
      <c r="M190">
        <v>0</v>
      </c>
      <c r="N190">
        <v>0</v>
      </c>
      <c r="O190">
        <v>3</v>
      </c>
      <c r="P190">
        <v>0</v>
      </c>
      <c r="Q190">
        <v>0</v>
      </c>
      <c r="R190">
        <v>0</v>
      </c>
      <c r="S190">
        <v>0</v>
      </c>
      <c r="T190">
        <v>0</v>
      </c>
      <c r="U190">
        <v>0</v>
      </c>
      <c r="V190" s="8">
        <f>Table1[[#This Row],[Balls Scored From Trench]]+Table1[[#This Row],[Balls Scored from Mid]]+Table1[[#This Row],[Balls Scored From Alliance zone]]</f>
        <v>0</v>
      </c>
      <c r="W190" s="8">
        <f>Table1[[#This Row],[balls scored high]]+Table1[[#This Row],[balls scored low]]</f>
        <v>3</v>
      </c>
      <c r="X190" s="8">
        <f>Table1[[#This Row],[Control Panel Spun Time]]+Table1[[#This Row],[Control Panel Color Time]]</f>
        <v>0</v>
      </c>
      <c r="Y190" s="8">
        <f>Table1[[#This Row],[Control Panels Spun]]+Table1[[#This Row],[Control Panel Color]]</f>
        <v>0</v>
      </c>
      <c r="Z19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3</v>
      </c>
      <c r="AA190">
        <v>0</v>
      </c>
      <c r="AB190">
        <v>0</v>
      </c>
      <c r="AC190">
        <v>0</v>
      </c>
      <c r="AD190">
        <v>0</v>
      </c>
      <c r="AE190">
        <v>0</v>
      </c>
      <c r="AF190">
        <v>0</v>
      </c>
      <c r="AG190">
        <v>0</v>
      </c>
      <c r="AI190" t="s">
        <v>184</v>
      </c>
      <c r="AJ190" t="s">
        <v>201</v>
      </c>
      <c r="AK190" s="17">
        <f>(Table1[[#This Row],[Climbed]]*weighting!$B$18)+(Table1[[#This Row],[Adjustable Climber]]*weighting!$B$19)+(Table1[[#This Row],[Lift other Robot]]*weighting!$B$20)+(Table1[[#This Row],[Balanced]]*weighting!$B$21)</f>
        <v>0</v>
      </c>
      <c r="AL190" s="8">
        <f>+Table1[[#This Row],[Endgame our score]]+Table1[[#This Row],[teleop our score]]+Table1[[#This Row],[auton our score]]</f>
        <v>5</v>
      </c>
      <c r="AM190" s="20">
        <f t="shared" si="6"/>
        <v>0</v>
      </c>
      <c r="AN190" s="20">
        <f t="shared" si="7"/>
        <v>1</v>
      </c>
      <c r="AO190" s="20">
        <f t="shared" si="8"/>
        <v>0</v>
      </c>
      <c r="AP190" s="20">
        <f>Table1[[#This Row],[balls scored]]+Table1[[#This Row],[auton balls scored]]</f>
        <v>4</v>
      </c>
      <c r="AQ190" s="20">
        <f>Table1[[#This Row],[balls scored high]]+Table1[[#This Row],[Auton Scored High]]</f>
        <v>0</v>
      </c>
      <c r="AR190" s="20">
        <f>Table1[[#This Row],[balls scored low]]+Table1[[#This Row],[Auton Scored Low]]</f>
        <v>4</v>
      </c>
      <c r="AS190" s="50">
        <f>IF(Table1[[#This Row],[Control Panel Spun Time]]&gt;0,1,0)</f>
        <v>0</v>
      </c>
      <c r="AT190" s="20">
        <f>IF(Table1[[#This Row],[Control Panel Color Time]]&gt;0,1,0)</f>
        <v>0</v>
      </c>
    </row>
    <row r="191" spans="1:46" s="2" customFormat="1" x14ac:dyDescent="0.25">
      <c r="A191">
        <v>5491</v>
      </c>
      <c r="B191">
        <v>2</v>
      </c>
      <c r="C191">
        <v>0</v>
      </c>
      <c r="D191">
        <v>0</v>
      </c>
      <c r="E191">
        <v>0</v>
      </c>
      <c r="F191">
        <v>0</v>
      </c>
      <c r="G191">
        <v>0</v>
      </c>
      <c r="H191">
        <v>1</v>
      </c>
      <c r="I191" s="8">
        <f>+Table1[[#This Row],[Auton ball picked up in our trench]]+Table1[[#This Row],[Auton Balls Picked Up in Mid]]+Table1[[#This Row],[Auton Balls Picked Up In Their Trench]]</f>
        <v>0</v>
      </c>
      <c r="J191" s="8">
        <f>+Table1[[#This Row],[Auton Scored High]]+Table1[[#This Row],[Auton Scored Low]]</f>
        <v>0</v>
      </c>
      <c r="K19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191">
        <v>0</v>
      </c>
      <c r="M191">
        <v>0</v>
      </c>
      <c r="N191">
        <v>0</v>
      </c>
      <c r="O191">
        <v>5</v>
      </c>
      <c r="P191">
        <v>0</v>
      </c>
      <c r="Q191">
        <v>0</v>
      </c>
      <c r="R191">
        <v>0</v>
      </c>
      <c r="S191">
        <v>0</v>
      </c>
      <c r="T191">
        <v>0</v>
      </c>
      <c r="U191">
        <v>0</v>
      </c>
      <c r="V191" s="8">
        <f>Table1[[#This Row],[Balls Scored From Trench]]+Table1[[#This Row],[Balls Scored from Mid]]+Table1[[#This Row],[Balls Scored From Alliance zone]]</f>
        <v>0</v>
      </c>
      <c r="W191" s="8">
        <f>Table1[[#This Row],[balls scored high]]+Table1[[#This Row],[balls scored low]]</f>
        <v>5</v>
      </c>
      <c r="X191" s="8">
        <f>Table1[[#This Row],[Control Panel Spun Time]]+Table1[[#This Row],[Control Panel Color Time]]</f>
        <v>0</v>
      </c>
      <c r="Y191" s="8">
        <f>Table1[[#This Row],[Control Panels Spun]]+Table1[[#This Row],[Control Panel Color]]</f>
        <v>0</v>
      </c>
      <c r="Z19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5</v>
      </c>
      <c r="AA191">
        <v>0</v>
      </c>
      <c r="AB191">
        <v>0</v>
      </c>
      <c r="AC191">
        <v>0</v>
      </c>
      <c r="AD191">
        <v>0</v>
      </c>
      <c r="AE191">
        <v>0</v>
      </c>
      <c r="AF191">
        <v>0</v>
      </c>
      <c r="AG191">
        <v>0</v>
      </c>
      <c r="AH191"/>
      <c r="AI191" t="s">
        <v>176</v>
      </c>
      <c r="AJ191" t="s">
        <v>221</v>
      </c>
      <c r="AK191" s="17">
        <f>(Table1[[#This Row],[Climbed]]*weighting!$B$18)+(Table1[[#This Row],[Adjustable Climber]]*weighting!$B$19)+(Table1[[#This Row],[Lift other Robot]]*weighting!$B$20)+(Table1[[#This Row],[Balanced]]*weighting!$B$21)</f>
        <v>0</v>
      </c>
      <c r="AL191" s="8">
        <f>+Table1[[#This Row],[Endgame our score]]+Table1[[#This Row],[teleop our score]]+Table1[[#This Row],[auton our score]]</f>
        <v>6</v>
      </c>
      <c r="AM191" s="20">
        <f t="shared" si="6"/>
        <v>0</v>
      </c>
      <c r="AN191" s="20">
        <f t="shared" si="7"/>
        <v>1</v>
      </c>
      <c r="AO191" s="20">
        <f t="shared" si="8"/>
        <v>0</v>
      </c>
      <c r="AP191" s="20">
        <f>Table1[[#This Row],[balls scored]]+Table1[[#This Row],[auton balls scored]]</f>
        <v>5</v>
      </c>
      <c r="AQ191" s="20">
        <f>Table1[[#This Row],[balls scored high]]+Table1[[#This Row],[Auton Scored High]]</f>
        <v>0</v>
      </c>
      <c r="AR191" s="20">
        <f>Table1[[#This Row],[balls scored low]]+Table1[[#This Row],[Auton Scored Low]]</f>
        <v>5</v>
      </c>
      <c r="AS191" s="50">
        <f>IF(Table1[[#This Row],[Control Panel Spun Time]]&gt;0,1,0)</f>
        <v>0</v>
      </c>
      <c r="AT191" s="20">
        <f>IF(Table1[[#This Row],[Control Panel Color Time]]&gt;0,1,0)</f>
        <v>0</v>
      </c>
    </row>
    <row r="192" spans="1:46" x14ac:dyDescent="0.25">
      <c r="A192">
        <v>5491</v>
      </c>
      <c r="B192">
        <v>2</v>
      </c>
      <c r="C192">
        <v>0</v>
      </c>
      <c r="D192">
        <v>1</v>
      </c>
      <c r="E192">
        <v>0</v>
      </c>
      <c r="F192">
        <v>0</v>
      </c>
      <c r="G192">
        <v>0</v>
      </c>
      <c r="H192">
        <v>1</v>
      </c>
      <c r="I192" s="8">
        <f>+Table1[[#This Row],[Auton ball picked up in our trench]]+Table1[[#This Row],[Auton Balls Picked Up in Mid]]+Table1[[#This Row],[Auton Balls Picked Up In Their Trench]]</f>
        <v>0</v>
      </c>
      <c r="J192" s="8">
        <f>+Table1[[#This Row],[Auton Scored High]]+Table1[[#This Row],[Auton Scored Low]]</f>
        <v>1</v>
      </c>
      <c r="K19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2</v>
      </c>
      <c r="L192">
        <v>0</v>
      </c>
      <c r="M192">
        <v>0</v>
      </c>
      <c r="N192">
        <v>0</v>
      </c>
      <c r="O192">
        <v>3</v>
      </c>
      <c r="P192">
        <v>0</v>
      </c>
      <c r="Q192">
        <v>0</v>
      </c>
      <c r="R192">
        <v>0</v>
      </c>
      <c r="S192">
        <v>0</v>
      </c>
      <c r="T192">
        <v>0</v>
      </c>
      <c r="U192">
        <v>0</v>
      </c>
      <c r="V192" s="8">
        <f>Table1[[#This Row],[Balls Scored From Trench]]+Table1[[#This Row],[Balls Scored from Mid]]+Table1[[#This Row],[Balls Scored From Alliance zone]]</f>
        <v>0</v>
      </c>
      <c r="W192" s="8">
        <f>Table1[[#This Row],[balls scored high]]+Table1[[#This Row],[balls scored low]]</f>
        <v>3</v>
      </c>
      <c r="X192" s="8">
        <f>Table1[[#This Row],[Control Panel Spun Time]]+Table1[[#This Row],[Control Panel Color Time]]</f>
        <v>0</v>
      </c>
      <c r="Y192" s="8">
        <f>Table1[[#This Row],[Control Panels Spun]]+Table1[[#This Row],[Control Panel Color]]</f>
        <v>0</v>
      </c>
      <c r="Z19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3</v>
      </c>
      <c r="AA192">
        <v>0</v>
      </c>
      <c r="AB192">
        <v>0</v>
      </c>
      <c r="AC192">
        <v>0</v>
      </c>
      <c r="AD192">
        <v>0</v>
      </c>
      <c r="AE192">
        <v>0</v>
      </c>
      <c r="AF192">
        <v>0</v>
      </c>
      <c r="AG192">
        <v>0</v>
      </c>
      <c r="AI192" t="s">
        <v>176</v>
      </c>
      <c r="AJ192" t="s">
        <v>264</v>
      </c>
      <c r="AK192" s="17">
        <f>(Table1[[#This Row],[Climbed]]*weighting!$B$18)+(Table1[[#This Row],[Adjustable Climber]]*weighting!$B$19)+(Table1[[#This Row],[Lift other Robot]]*weighting!$B$20)+(Table1[[#This Row],[Balanced]]*weighting!$B$21)</f>
        <v>0</v>
      </c>
      <c r="AL192" s="8">
        <f>+Table1[[#This Row],[Endgame our score]]+Table1[[#This Row],[teleop our score]]+Table1[[#This Row],[auton our score]]</f>
        <v>5</v>
      </c>
      <c r="AM192" s="20">
        <f t="shared" si="6"/>
        <v>0</v>
      </c>
      <c r="AN192" s="20">
        <f t="shared" si="7"/>
        <v>1</v>
      </c>
      <c r="AO192" s="20">
        <f t="shared" si="8"/>
        <v>0</v>
      </c>
      <c r="AP192" s="20">
        <f>Table1[[#This Row],[balls scored]]+Table1[[#This Row],[auton balls scored]]</f>
        <v>4</v>
      </c>
      <c r="AQ192" s="20">
        <f>Table1[[#This Row],[balls scored high]]+Table1[[#This Row],[Auton Scored High]]</f>
        <v>0</v>
      </c>
      <c r="AR192" s="20">
        <f>Table1[[#This Row],[balls scored low]]+Table1[[#This Row],[Auton Scored Low]]</f>
        <v>4</v>
      </c>
      <c r="AS192" s="50">
        <f>IF(Table1[[#This Row],[Control Panel Spun Time]]&gt;0,1,0)</f>
        <v>0</v>
      </c>
      <c r="AT192" s="20">
        <f>IF(Table1[[#This Row],[Control Panel Color Time]]&gt;0,1,0)</f>
        <v>0</v>
      </c>
    </row>
    <row r="193" spans="1:46" s="2" customFormat="1" x14ac:dyDescent="0.25">
      <c r="A193">
        <v>5491</v>
      </c>
      <c r="B193">
        <v>2</v>
      </c>
      <c r="C193">
        <v>0</v>
      </c>
      <c r="D193">
        <v>0</v>
      </c>
      <c r="E193">
        <v>0</v>
      </c>
      <c r="F193">
        <v>0</v>
      </c>
      <c r="G193">
        <v>0</v>
      </c>
      <c r="H193">
        <v>0</v>
      </c>
      <c r="I193" s="8">
        <f>+Table1[[#This Row],[Auton ball picked up in our trench]]+Table1[[#This Row],[Auton Balls Picked Up in Mid]]+Table1[[#This Row],[Auton Balls Picked Up In Their Trench]]</f>
        <v>0</v>
      </c>
      <c r="J193" s="8">
        <f>+Table1[[#This Row],[Auton Scored High]]+Table1[[#This Row],[Auton Scored Low]]</f>
        <v>0</v>
      </c>
      <c r="K19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193">
        <v>0</v>
      </c>
      <c r="M193">
        <v>0</v>
      </c>
      <c r="N193">
        <v>0</v>
      </c>
      <c r="O193">
        <v>3</v>
      </c>
      <c r="P193">
        <v>0</v>
      </c>
      <c r="Q193">
        <v>0</v>
      </c>
      <c r="R193">
        <v>0</v>
      </c>
      <c r="S193">
        <v>0</v>
      </c>
      <c r="T193">
        <v>0</v>
      </c>
      <c r="U193">
        <v>1</v>
      </c>
      <c r="V193" s="8">
        <f>Table1[[#This Row],[Balls Scored From Trench]]+Table1[[#This Row],[Balls Scored from Mid]]+Table1[[#This Row],[Balls Scored From Alliance zone]]</f>
        <v>0</v>
      </c>
      <c r="W193" s="8">
        <f>Table1[[#This Row],[balls scored high]]+Table1[[#This Row],[balls scored low]]</f>
        <v>3</v>
      </c>
      <c r="X193" s="8">
        <f>Table1[[#This Row],[Control Panel Spun Time]]+Table1[[#This Row],[Control Panel Color Time]]</f>
        <v>0</v>
      </c>
      <c r="Y193" s="8">
        <f>Table1[[#This Row],[Control Panels Spun]]+Table1[[#This Row],[Control Panel Color]]</f>
        <v>0</v>
      </c>
      <c r="Z19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5</v>
      </c>
      <c r="AA193">
        <v>0</v>
      </c>
      <c r="AB193">
        <v>0</v>
      </c>
      <c r="AC193">
        <v>0</v>
      </c>
      <c r="AD193">
        <v>0</v>
      </c>
      <c r="AE193">
        <v>0</v>
      </c>
      <c r="AF193">
        <v>0</v>
      </c>
      <c r="AG193">
        <v>0</v>
      </c>
      <c r="AH193"/>
      <c r="AI193" t="s">
        <v>174</v>
      </c>
      <c r="AJ193" t="s">
        <v>265</v>
      </c>
      <c r="AK193" s="17">
        <f>(Table1[[#This Row],[Climbed]]*weighting!$B$18)+(Table1[[#This Row],[Adjustable Climber]]*weighting!$B$19)+(Table1[[#This Row],[Lift other Robot]]*weighting!$B$20)+(Table1[[#This Row],[Balanced]]*weighting!$B$21)</f>
        <v>0</v>
      </c>
      <c r="AL193" s="8">
        <f>+Table1[[#This Row],[Endgame our score]]+Table1[[#This Row],[teleop our score]]+Table1[[#This Row],[auton our score]]</f>
        <v>5</v>
      </c>
      <c r="AM193" s="20">
        <f t="shared" si="6"/>
        <v>0</v>
      </c>
      <c r="AN193" s="20">
        <f t="shared" si="7"/>
        <v>1</v>
      </c>
      <c r="AO193" s="20">
        <f t="shared" si="8"/>
        <v>0</v>
      </c>
      <c r="AP193" s="20">
        <f>Table1[[#This Row],[balls scored]]+Table1[[#This Row],[auton balls scored]]</f>
        <v>3</v>
      </c>
      <c r="AQ193" s="20">
        <f>Table1[[#This Row],[balls scored high]]+Table1[[#This Row],[Auton Scored High]]</f>
        <v>0</v>
      </c>
      <c r="AR193" s="20">
        <f>Table1[[#This Row],[balls scored low]]+Table1[[#This Row],[Auton Scored Low]]</f>
        <v>3</v>
      </c>
      <c r="AS193" s="50">
        <f>IF(Table1[[#This Row],[Control Panel Spun Time]]&gt;0,1,0)</f>
        <v>0</v>
      </c>
      <c r="AT193" s="20">
        <f>IF(Table1[[#This Row],[Control Panel Color Time]]&gt;0,1,0)</f>
        <v>0</v>
      </c>
    </row>
    <row r="194" spans="1:46" x14ac:dyDescent="0.25">
      <c r="A194">
        <v>5491</v>
      </c>
      <c r="B194">
        <v>3</v>
      </c>
      <c r="C194">
        <v>0</v>
      </c>
      <c r="D194">
        <v>0</v>
      </c>
      <c r="E194">
        <v>0</v>
      </c>
      <c r="F194">
        <v>0</v>
      </c>
      <c r="G194">
        <v>0</v>
      </c>
      <c r="H194">
        <v>1</v>
      </c>
      <c r="I194" s="8">
        <f>+Table1[[#This Row],[Auton ball picked up in our trench]]+Table1[[#This Row],[Auton Balls Picked Up in Mid]]+Table1[[#This Row],[Auton Balls Picked Up In Their Trench]]</f>
        <v>0</v>
      </c>
      <c r="J194" s="8">
        <f>+Table1[[#This Row],[Auton Scored High]]+Table1[[#This Row],[Auton Scored Low]]</f>
        <v>0</v>
      </c>
      <c r="K19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194">
        <v>0</v>
      </c>
      <c r="M194">
        <v>0</v>
      </c>
      <c r="N194">
        <v>0</v>
      </c>
      <c r="O194">
        <v>0</v>
      </c>
      <c r="P194">
        <v>0</v>
      </c>
      <c r="Q194">
        <v>0</v>
      </c>
      <c r="R194">
        <v>0</v>
      </c>
      <c r="S194">
        <v>0</v>
      </c>
      <c r="T194">
        <v>0</v>
      </c>
      <c r="U194">
        <v>0</v>
      </c>
      <c r="V194" s="8">
        <f>Table1[[#This Row],[Balls Scored From Trench]]+Table1[[#This Row],[Balls Scored from Mid]]+Table1[[#This Row],[Balls Scored From Alliance zone]]</f>
        <v>0</v>
      </c>
      <c r="W194" s="8">
        <f>Table1[[#This Row],[balls scored high]]+Table1[[#This Row],[balls scored low]]</f>
        <v>0</v>
      </c>
      <c r="X194" s="8">
        <f>Table1[[#This Row],[Control Panel Spun Time]]+Table1[[#This Row],[Control Panel Color Time]]</f>
        <v>0</v>
      </c>
      <c r="Y194" s="8">
        <f>Table1[[#This Row],[Control Panels Spun]]+Table1[[#This Row],[Control Panel Color]]</f>
        <v>0</v>
      </c>
      <c r="Z19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194">
        <v>0</v>
      </c>
      <c r="AB194">
        <v>0</v>
      </c>
      <c r="AC194">
        <v>0</v>
      </c>
      <c r="AD194">
        <v>0</v>
      </c>
      <c r="AE194">
        <v>0</v>
      </c>
      <c r="AF194">
        <v>0</v>
      </c>
      <c r="AG194">
        <v>0</v>
      </c>
      <c r="AI194" t="s">
        <v>179</v>
      </c>
      <c r="AJ194" t="s">
        <v>330</v>
      </c>
      <c r="AK194" s="17">
        <f>(Table1[[#This Row],[Climbed]]*weighting!$B$18)+(Table1[[#This Row],[Adjustable Climber]]*weighting!$B$19)+(Table1[[#This Row],[Lift other Robot]]*weighting!$B$20)+(Table1[[#This Row],[Balanced]]*weighting!$B$21)</f>
        <v>0</v>
      </c>
      <c r="AL194" s="8">
        <f>+Table1[[#This Row],[Endgame our score]]+Table1[[#This Row],[teleop our score]]+Table1[[#This Row],[auton our score]]</f>
        <v>1</v>
      </c>
      <c r="AM194" s="20">
        <f t="shared" ref="AM194:AM257" si="9">IF(B194=1,1,0)</f>
        <v>0</v>
      </c>
      <c r="AN194" s="20">
        <f t="shared" ref="AN194:AN257" si="10">IF(B194=2,1,0)</f>
        <v>0</v>
      </c>
      <c r="AO194" s="20">
        <f t="shared" ref="AO194:AO257" si="11">IF(B194=3,1,0)</f>
        <v>1</v>
      </c>
      <c r="AP194" s="20">
        <f>Table1[[#This Row],[balls scored]]+Table1[[#This Row],[auton balls scored]]</f>
        <v>0</v>
      </c>
      <c r="AQ194" s="20">
        <f>Table1[[#This Row],[balls scored high]]+Table1[[#This Row],[Auton Scored High]]</f>
        <v>0</v>
      </c>
      <c r="AR194" s="20">
        <f>Table1[[#This Row],[balls scored low]]+Table1[[#This Row],[Auton Scored Low]]</f>
        <v>0</v>
      </c>
      <c r="AS194" s="50">
        <f>IF(Table1[[#This Row],[Control Panel Spun Time]]&gt;0,1,0)</f>
        <v>0</v>
      </c>
      <c r="AT194" s="20">
        <f>IF(Table1[[#This Row],[Control Panel Color Time]]&gt;0,1,0)</f>
        <v>0</v>
      </c>
    </row>
    <row r="195" spans="1:46" s="2" customFormat="1" x14ac:dyDescent="0.25">
      <c r="A195">
        <v>5746</v>
      </c>
      <c r="B195">
        <v>3</v>
      </c>
      <c r="C195">
        <v>0</v>
      </c>
      <c r="D195">
        <v>0</v>
      </c>
      <c r="E195">
        <v>0</v>
      </c>
      <c r="F195">
        <v>0</v>
      </c>
      <c r="G195">
        <v>0</v>
      </c>
      <c r="H195">
        <v>0</v>
      </c>
      <c r="I195" s="8">
        <f>+Table1[[#This Row],[Auton ball picked up in our trench]]+Table1[[#This Row],[Auton Balls Picked Up in Mid]]+Table1[[#This Row],[Auton Balls Picked Up In Their Trench]]</f>
        <v>0</v>
      </c>
      <c r="J195" s="8">
        <f>+Table1[[#This Row],[Auton Scored High]]+Table1[[#This Row],[Auton Scored Low]]</f>
        <v>0</v>
      </c>
      <c r="K19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195">
        <v>0</v>
      </c>
      <c r="M195">
        <v>0</v>
      </c>
      <c r="N195">
        <v>0</v>
      </c>
      <c r="O195">
        <v>4</v>
      </c>
      <c r="P195">
        <v>3</v>
      </c>
      <c r="Q195">
        <v>0</v>
      </c>
      <c r="R195">
        <v>0</v>
      </c>
      <c r="S195">
        <v>0</v>
      </c>
      <c r="T195">
        <v>0</v>
      </c>
      <c r="U195">
        <v>0</v>
      </c>
      <c r="V195" s="8">
        <f>Table1[[#This Row],[Balls Scored From Trench]]+Table1[[#This Row],[Balls Scored from Mid]]+Table1[[#This Row],[Balls Scored From Alliance zone]]</f>
        <v>0</v>
      </c>
      <c r="W195" s="8">
        <f>Table1[[#This Row],[balls scored high]]+Table1[[#This Row],[balls scored low]]</f>
        <v>4</v>
      </c>
      <c r="X195" s="8">
        <f>Table1[[#This Row],[Control Panel Spun Time]]+Table1[[#This Row],[Control Panel Color Time]]</f>
        <v>0</v>
      </c>
      <c r="Y195" s="8">
        <f>Table1[[#This Row],[Control Panels Spun]]+Table1[[#This Row],[Control Panel Color]]</f>
        <v>0</v>
      </c>
      <c r="Z19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7</v>
      </c>
      <c r="AA195">
        <v>0</v>
      </c>
      <c r="AB195">
        <v>0</v>
      </c>
      <c r="AC195">
        <v>0</v>
      </c>
      <c r="AD195">
        <v>0</v>
      </c>
      <c r="AE195">
        <v>0</v>
      </c>
      <c r="AF195">
        <v>0</v>
      </c>
      <c r="AG195">
        <v>0</v>
      </c>
      <c r="AH195"/>
      <c r="AI195" t="s">
        <v>43</v>
      </c>
      <c r="AJ195" t="s">
        <v>202</v>
      </c>
      <c r="AK195" s="17">
        <f>(Table1[[#This Row],[Climbed]]*weighting!$B$18)+(Table1[[#This Row],[Adjustable Climber]]*weighting!$B$19)+(Table1[[#This Row],[Lift other Robot]]*weighting!$B$20)+(Table1[[#This Row],[Balanced]]*weighting!$B$21)</f>
        <v>0</v>
      </c>
      <c r="AL195" s="8">
        <f>+Table1[[#This Row],[Endgame our score]]+Table1[[#This Row],[teleop our score]]+Table1[[#This Row],[auton our score]]</f>
        <v>7</v>
      </c>
      <c r="AM195" s="20">
        <f t="shared" si="9"/>
        <v>0</v>
      </c>
      <c r="AN195" s="20">
        <f t="shared" si="10"/>
        <v>0</v>
      </c>
      <c r="AO195" s="20">
        <f t="shared" si="11"/>
        <v>1</v>
      </c>
      <c r="AP195" s="20">
        <f>Table1[[#This Row],[balls scored]]+Table1[[#This Row],[auton balls scored]]</f>
        <v>4</v>
      </c>
      <c r="AQ195" s="20">
        <f>Table1[[#This Row],[balls scored high]]+Table1[[#This Row],[Auton Scored High]]</f>
        <v>0</v>
      </c>
      <c r="AR195" s="20">
        <f>Table1[[#This Row],[balls scored low]]+Table1[[#This Row],[Auton Scored Low]]</f>
        <v>4</v>
      </c>
      <c r="AS195" s="50">
        <f>IF(Table1[[#This Row],[Control Panel Spun Time]]&gt;0,1,0)</f>
        <v>0</v>
      </c>
      <c r="AT195" s="20">
        <f>IF(Table1[[#This Row],[Control Panel Color Time]]&gt;0,1,0)</f>
        <v>0</v>
      </c>
    </row>
    <row r="196" spans="1:46" x14ac:dyDescent="0.25">
      <c r="A196">
        <v>5746</v>
      </c>
      <c r="B196">
        <v>3</v>
      </c>
      <c r="C196">
        <v>0</v>
      </c>
      <c r="D196">
        <v>0</v>
      </c>
      <c r="E196">
        <v>0</v>
      </c>
      <c r="F196">
        <v>0</v>
      </c>
      <c r="G196">
        <v>0</v>
      </c>
      <c r="H196">
        <v>1</v>
      </c>
      <c r="I196" s="8">
        <f>+Table1[[#This Row],[Auton ball picked up in our trench]]+Table1[[#This Row],[Auton Balls Picked Up in Mid]]+Table1[[#This Row],[Auton Balls Picked Up In Their Trench]]</f>
        <v>0</v>
      </c>
      <c r="J196" s="8">
        <f>+Table1[[#This Row],[Auton Scored High]]+Table1[[#This Row],[Auton Scored Low]]</f>
        <v>0</v>
      </c>
      <c r="K19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196">
        <v>0</v>
      </c>
      <c r="M196">
        <v>0</v>
      </c>
      <c r="N196">
        <v>0</v>
      </c>
      <c r="O196">
        <v>4</v>
      </c>
      <c r="P196">
        <v>0</v>
      </c>
      <c r="Q196">
        <v>0</v>
      </c>
      <c r="R196">
        <v>0</v>
      </c>
      <c r="S196">
        <v>0</v>
      </c>
      <c r="T196">
        <v>0</v>
      </c>
      <c r="U196">
        <v>0</v>
      </c>
      <c r="V196" s="8">
        <f>Table1[[#This Row],[Balls Scored From Trench]]+Table1[[#This Row],[Balls Scored from Mid]]+Table1[[#This Row],[Balls Scored From Alliance zone]]</f>
        <v>0</v>
      </c>
      <c r="W196" s="8">
        <f>Table1[[#This Row],[balls scored high]]+Table1[[#This Row],[balls scored low]]</f>
        <v>4</v>
      </c>
      <c r="X196" s="8">
        <f>Table1[[#This Row],[Control Panel Spun Time]]+Table1[[#This Row],[Control Panel Color Time]]</f>
        <v>0</v>
      </c>
      <c r="Y196" s="8">
        <f>Table1[[#This Row],[Control Panels Spun]]+Table1[[#This Row],[Control Panel Color]]</f>
        <v>0</v>
      </c>
      <c r="Z19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4</v>
      </c>
      <c r="AA196">
        <v>0</v>
      </c>
      <c r="AB196">
        <v>0</v>
      </c>
      <c r="AC196">
        <v>0</v>
      </c>
      <c r="AD196">
        <v>0</v>
      </c>
      <c r="AE196">
        <v>0</v>
      </c>
      <c r="AF196">
        <v>0</v>
      </c>
      <c r="AG196">
        <v>0</v>
      </c>
      <c r="AI196" t="s">
        <v>174</v>
      </c>
      <c r="AK196" s="17">
        <f>(Table1[[#This Row],[Climbed]]*weighting!$B$18)+(Table1[[#This Row],[Adjustable Climber]]*weighting!$B$19)+(Table1[[#This Row],[Lift other Robot]]*weighting!$B$20)+(Table1[[#This Row],[Balanced]]*weighting!$B$21)</f>
        <v>0</v>
      </c>
      <c r="AL196" s="8">
        <f>+Table1[[#This Row],[Endgame our score]]+Table1[[#This Row],[teleop our score]]+Table1[[#This Row],[auton our score]]</f>
        <v>5</v>
      </c>
      <c r="AM196" s="20">
        <f t="shared" si="9"/>
        <v>0</v>
      </c>
      <c r="AN196" s="20">
        <f t="shared" si="10"/>
        <v>0</v>
      </c>
      <c r="AO196" s="20">
        <f t="shared" si="11"/>
        <v>1</v>
      </c>
      <c r="AP196" s="20">
        <f>Table1[[#This Row],[balls scored]]+Table1[[#This Row],[auton balls scored]]</f>
        <v>4</v>
      </c>
      <c r="AQ196" s="20">
        <f>Table1[[#This Row],[balls scored high]]+Table1[[#This Row],[Auton Scored High]]</f>
        <v>0</v>
      </c>
      <c r="AR196" s="20">
        <f>Table1[[#This Row],[balls scored low]]+Table1[[#This Row],[Auton Scored Low]]</f>
        <v>4</v>
      </c>
      <c r="AS196" s="50">
        <f>IF(Table1[[#This Row],[Control Panel Spun Time]]&gt;0,1,0)</f>
        <v>0</v>
      </c>
      <c r="AT196" s="20">
        <f>IF(Table1[[#This Row],[Control Panel Color Time]]&gt;0,1,0)</f>
        <v>0</v>
      </c>
    </row>
    <row r="197" spans="1:46" s="2" customFormat="1" x14ac:dyDescent="0.25">
      <c r="A197">
        <v>5746</v>
      </c>
      <c r="B197">
        <v>1</v>
      </c>
      <c r="C197">
        <v>0</v>
      </c>
      <c r="D197">
        <v>0</v>
      </c>
      <c r="E197">
        <v>0</v>
      </c>
      <c r="F197">
        <v>0</v>
      </c>
      <c r="G197">
        <v>0</v>
      </c>
      <c r="H197">
        <v>0</v>
      </c>
      <c r="I197" s="8">
        <f>+Table1[[#This Row],[Auton ball picked up in our trench]]+Table1[[#This Row],[Auton Balls Picked Up in Mid]]+Table1[[#This Row],[Auton Balls Picked Up In Their Trench]]</f>
        <v>0</v>
      </c>
      <c r="J197" s="8">
        <f>+Table1[[#This Row],[Auton Scored High]]+Table1[[#This Row],[Auton Scored Low]]</f>
        <v>0</v>
      </c>
      <c r="K19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197">
        <v>0</v>
      </c>
      <c r="M197">
        <v>0</v>
      </c>
      <c r="N197">
        <v>0</v>
      </c>
      <c r="O197">
        <v>7</v>
      </c>
      <c r="P197">
        <v>0</v>
      </c>
      <c r="Q197">
        <v>0</v>
      </c>
      <c r="R197">
        <v>0</v>
      </c>
      <c r="S197">
        <v>0</v>
      </c>
      <c r="T197">
        <v>0</v>
      </c>
      <c r="U197">
        <v>0</v>
      </c>
      <c r="V197" s="8">
        <f>Table1[[#This Row],[Balls Scored From Trench]]+Table1[[#This Row],[Balls Scored from Mid]]+Table1[[#This Row],[Balls Scored From Alliance zone]]</f>
        <v>0</v>
      </c>
      <c r="W197" s="8">
        <f>Table1[[#This Row],[balls scored high]]+Table1[[#This Row],[balls scored low]]</f>
        <v>7</v>
      </c>
      <c r="X197" s="8">
        <f>Table1[[#This Row],[Control Panel Spun Time]]+Table1[[#This Row],[Control Panel Color Time]]</f>
        <v>0</v>
      </c>
      <c r="Y197" s="8">
        <f>Table1[[#This Row],[Control Panels Spun]]+Table1[[#This Row],[Control Panel Color]]</f>
        <v>0</v>
      </c>
      <c r="Z19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7</v>
      </c>
      <c r="AA197">
        <v>0</v>
      </c>
      <c r="AB197">
        <v>0</v>
      </c>
      <c r="AC197">
        <v>0</v>
      </c>
      <c r="AD197">
        <v>0</v>
      </c>
      <c r="AE197">
        <v>0</v>
      </c>
      <c r="AF197">
        <v>0</v>
      </c>
      <c r="AG197">
        <v>0</v>
      </c>
      <c r="AH197"/>
      <c r="AI197" t="s">
        <v>174</v>
      </c>
      <c r="AJ197" t="s">
        <v>294</v>
      </c>
      <c r="AK197" s="17">
        <f>(Table1[[#This Row],[Climbed]]*weighting!$B$18)+(Table1[[#This Row],[Adjustable Climber]]*weighting!$B$19)+(Table1[[#This Row],[Lift other Robot]]*weighting!$B$20)+(Table1[[#This Row],[Balanced]]*weighting!$B$21)</f>
        <v>0</v>
      </c>
      <c r="AL197" s="8">
        <f>+Table1[[#This Row],[Endgame our score]]+Table1[[#This Row],[teleop our score]]+Table1[[#This Row],[auton our score]]</f>
        <v>7</v>
      </c>
      <c r="AM197" s="20">
        <f t="shared" si="9"/>
        <v>1</v>
      </c>
      <c r="AN197" s="20">
        <f t="shared" si="10"/>
        <v>0</v>
      </c>
      <c r="AO197" s="20">
        <f t="shared" si="11"/>
        <v>0</v>
      </c>
      <c r="AP197" s="20">
        <f>Table1[[#This Row],[balls scored]]+Table1[[#This Row],[auton balls scored]]</f>
        <v>7</v>
      </c>
      <c r="AQ197" s="20">
        <f>Table1[[#This Row],[balls scored high]]+Table1[[#This Row],[Auton Scored High]]</f>
        <v>0</v>
      </c>
      <c r="AR197" s="20">
        <f>Table1[[#This Row],[balls scored low]]+Table1[[#This Row],[Auton Scored Low]]</f>
        <v>7</v>
      </c>
      <c r="AS197" s="50">
        <f>IF(Table1[[#This Row],[Control Panel Spun Time]]&gt;0,1,0)</f>
        <v>0</v>
      </c>
      <c r="AT197" s="20">
        <f>IF(Table1[[#This Row],[Control Panel Color Time]]&gt;0,1,0)</f>
        <v>0</v>
      </c>
    </row>
    <row r="198" spans="1:46" x14ac:dyDescent="0.25">
      <c r="A198">
        <v>5746</v>
      </c>
      <c r="B198">
        <v>1</v>
      </c>
      <c r="C198">
        <v>0</v>
      </c>
      <c r="D198">
        <v>0</v>
      </c>
      <c r="E198">
        <v>0</v>
      </c>
      <c r="F198">
        <v>0</v>
      </c>
      <c r="G198">
        <v>0</v>
      </c>
      <c r="H198">
        <v>1</v>
      </c>
      <c r="I198" s="8">
        <f>+Table1[[#This Row],[Auton ball picked up in our trench]]+Table1[[#This Row],[Auton Balls Picked Up in Mid]]+Table1[[#This Row],[Auton Balls Picked Up In Their Trench]]</f>
        <v>0</v>
      </c>
      <c r="J198" s="8">
        <f>+Table1[[#This Row],[Auton Scored High]]+Table1[[#This Row],[Auton Scored Low]]</f>
        <v>0</v>
      </c>
      <c r="K19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198">
        <v>0</v>
      </c>
      <c r="M198">
        <v>0</v>
      </c>
      <c r="N198">
        <v>0</v>
      </c>
      <c r="O198">
        <v>3</v>
      </c>
      <c r="P198">
        <v>0</v>
      </c>
      <c r="Q198">
        <v>0</v>
      </c>
      <c r="R198">
        <v>0</v>
      </c>
      <c r="S198">
        <v>0</v>
      </c>
      <c r="T198">
        <v>0</v>
      </c>
      <c r="U198">
        <v>0</v>
      </c>
      <c r="V198" s="8">
        <f>Table1[[#This Row],[Balls Scored From Trench]]+Table1[[#This Row],[Balls Scored from Mid]]+Table1[[#This Row],[Balls Scored From Alliance zone]]</f>
        <v>0</v>
      </c>
      <c r="W198" s="8">
        <f>Table1[[#This Row],[balls scored high]]+Table1[[#This Row],[balls scored low]]</f>
        <v>3</v>
      </c>
      <c r="X198" s="8">
        <f>Table1[[#This Row],[Control Panel Spun Time]]+Table1[[#This Row],[Control Panel Color Time]]</f>
        <v>0</v>
      </c>
      <c r="Y198" s="8">
        <f>Table1[[#This Row],[Control Panels Spun]]+Table1[[#This Row],[Control Panel Color]]</f>
        <v>0</v>
      </c>
      <c r="Z19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3</v>
      </c>
      <c r="AA198">
        <v>0</v>
      </c>
      <c r="AB198">
        <v>0</v>
      </c>
      <c r="AC198">
        <v>0</v>
      </c>
      <c r="AD198">
        <v>0</v>
      </c>
      <c r="AE198">
        <v>0</v>
      </c>
      <c r="AF198">
        <v>0</v>
      </c>
      <c r="AG198">
        <v>0</v>
      </c>
      <c r="AI198" t="s">
        <v>184</v>
      </c>
      <c r="AJ198" t="s">
        <v>295</v>
      </c>
      <c r="AK198" s="17">
        <f>(Table1[[#This Row],[Climbed]]*weighting!$B$18)+(Table1[[#This Row],[Adjustable Climber]]*weighting!$B$19)+(Table1[[#This Row],[Lift other Robot]]*weighting!$B$20)+(Table1[[#This Row],[Balanced]]*weighting!$B$21)</f>
        <v>0</v>
      </c>
      <c r="AL198" s="8">
        <f>+Table1[[#This Row],[Endgame our score]]+Table1[[#This Row],[teleop our score]]+Table1[[#This Row],[auton our score]]</f>
        <v>4</v>
      </c>
      <c r="AM198" s="20">
        <f t="shared" si="9"/>
        <v>1</v>
      </c>
      <c r="AN198" s="20">
        <f t="shared" si="10"/>
        <v>0</v>
      </c>
      <c r="AO198" s="20">
        <f t="shared" si="11"/>
        <v>0</v>
      </c>
      <c r="AP198" s="20">
        <f>Table1[[#This Row],[balls scored]]+Table1[[#This Row],[auton balls scored]]</f>
        <v>3</v>
      </c>
      <c r="AQ198" s="20">
        <f>Table1[[#This Row],[balls scored high]]+Table1[[#This Row],[Auton Scored High]]</f>
        <v>0</v>
      </c>
      <c r="AR198" s="20">
        <f>Table1[[#This Row],[balls scored low]]+Table1[[#This Row],[Auton Scored Low]]</f>
        <v>3</v>
      </c>
      <c r="AS198" s="50">
        <f>IF(Table1[[#This Row],[Control Panel Spun Time]]&gt;0,1,0)</f>
        <v>0</v>
      </c>
      <c r="AT198" s="20">
        <f>IF(Table1[[#This Row],[Control Panel Color Time]]&gt;0,1,0)</f>
        <v>0</v>
      </c>
    </row>
    <row r="199" spans="1:46" s="2" customFormat="1" x14ac:dyDescent="0.25">
      <c r="A199">
        <v>6328</v>
      </c>
      <c r="B199">
        <v>3</v>
      </c>
      <c r="C199">
        <v>0</v>
      </c>
      <c r="D199">
        <v>0</v>
      </c>
      <c r="E199">
        <v>0</v>
      </c>
      <c r="F199">
        <v>0</v>
      </c>
      <c r="G199">
        <v>0</v>
      </c>
      <c r="H199">
        <v>1</v>
      </c>
      <c r="I199" s="8">
        <f>+Table1[[#This Row],[Auton ball picked up in our trench]]+Table1[[#This Row],[Auton Balls Picked Up in Mid]]+Table1[[#This Row],[Auton Balls Picked Up In Their Trench]]</f>
        <v>0</v>
      </c>
      <c r="J199" s="8">
        <f>+Table1[[#This Row],[Auton Scored High]]+Table1[[#This Row],[Auton Scored Low]]</f>
        <v>0</v>
      </c>
      <c r="K19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199">
        <v>0</v>
      </c>
      <c r="M199">
        <v>9</v>
      </c>
      <c r="N199">
        <v>0</v>
      </c>
      <c r="O199">
        <v>0</v>
      </c>
      <c r="P199">
        <v>0</v>
      </c>
      <c r="Q199">
        <v>0</v>
      </c>
      <c r="R199">
        <v>0</v>
      </c>
      <c r="S199">
        <v>0</v>
      </c>
      <c r="T199">
        <v>0</v>
      </c>
      <c r="U199">
        <v>0</v>
      </c>
      <c r="V199" s="8">
        <f>Table1[[#This Row],[Balls Scored From Trench]]+Table1[[#This Row],[Balls Scored from Mid]]+Table1[[#This Row],[Balls Scored From Alliance zone]]</f>
        <v>9</v>
      </c>
      <c r="W199" s="8">
        <f>Table1[[#This Row],[balls scored high]]+Table1[[#This Row],[balls scored low]]</f>
        <v>9</v>
      </c>
      <c r="X199" s="8">
        <f>Table1[[#This Row],[Control Panel Spun Time]]+Table1[[#This Row],[Control Panel Color Time]]</f>
        <v>0</v>
      </c>
      <c r="Y199" s="8">
        <f>Table1[[#This Row],[Control Panels Spun]]+Table1[[#This Row],[Control Panel Color]]</f>
        <v>0</v>
      </c>
      <c r="Z19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18</v>
      </c>
      <c r="AA199">
        <v>0</v>
      </c>
      <c r="AB199">
        <v>0</v>
      </c>
      <c r="AC199">
        <v>0</v>
      </c>
      <c r="AD199">
        <v>0</v>
      </c>
      <c r="AE199">
        <v>0</v>
      </c>
      <c r="AF199">
        <v>0</v>
      </c>
      <c r="AG199">
        <v>0</v>
      </c>
      <c r="AH199"/>
      <c r="AI199" t="s">
        <v>174</v>
      </c>
      <c r="AJ199" t="s">
        <v>203</v>
      </c>
      <c r="AK199" s="17">
        <f>(Table1[[#This Row],[Climbed]]*weighting!$B$18)+(Table1[[#This Row],[Adjustable Climber]]*weighting!$B$19)+(Table1[[#This Row],[Lift other Robot]]*weighting!$B$20)+(Table1[[#This Row],[Balanced]]*weighting!$B$21)</f>
        <v>0</v>
      </c>
      <c r="AL199" s="8">
        <f>+Table1[[#This Row],[Endgame our score]]+Table1[[#This Row],[teleop our score]]+Table1[[#This Row],[auton our score]]</f>
        <v>19</v>
      </c>
      <c r="AM199" s="20">
        <f t="shared" si="9"/>
        <v>0</v>
      </c>
      <c r="AN199" s="20">
        <f t="shared" si="10"/>
        <v>0</v>
      </c>
      <c r="AO199" s="20">
        <f t="shared" si="11"/>
        <v>1</v>
      </c>
      <c r="AP199" s="20">
        <f>Table1[[#This Row],[balls scored]]+Table1[[#This Row],[auton balls scored]]</f>
        <v>9</v>
      </c>
      <c r="AQ199" s="20">
        <f>Table1[[#This Row],[balls scored high]]+Table1[[#This Row],[Auton Scored High]]</f>
        <v>9</v>
      </c>
      <c r="AR199" s="20">
        <f>Table1[[#This Row],[balls scored low]]+Table1[[#This Row],[Auton Scored Low]]</f>
        <v>0</v>
      </c>
      <c r="AS199" s="50">
        <f>IF(Table1[[#This Row],[Control Panel Spun Time]]&gt;0,1,0)</f>
        <v>0</v>
      </c>
      <c r="AT199" s="20">
        <f>IF(Table1[[#This Row],[Control Panel Color Time]]&gt;0,1,0)</f>
        <v>0</v>
      </c>
    </row>
    <row r="200" spans="1:46" x14ac:dyDescent="0.25">
      <c r="A200">
        <v>6328</v>
      </c>
      <c r="B200">
        <v>3</v>
      </c>
      <c r="C200">
        <v>2</v>
      </c>
      <c r="D200">
        <v>0</v>
      </c>
      <c r="E200">
        <v>0</v>
      </c>
      <c r="F200">
        <v>0</v>
      </c>
      <c r="G200">
        <v>0</v>
      </c>
      <c r="H200">
        <v>0</v>
      </c>
      <c r="I200" s="8">
        <f>+Table1[[#This Row],[Auton ball picked up in our trench]]+Table1[[#This Row],[Auton Balls Picked Up in Mid]]+Table1[[#This Row],[Auton Balls Picked Up In Their Trench]]</f>
        <v>0</v>
      </c>
      <c r="J200" s="8">
        <f>+Table1[[#This Row],[Auton Scored High]]+Table1[[#This Row],[Auton Scored Low]]</f>
        <v>2</v>
      </c>
      <c r="K20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6</v>
      </c>
      <c r="L200">
        <v>0</v>
      </c>
      <c r="M200">
        <v>9</v>
      </c>
      <c r="N200">
        <v>0</v>
      </c>
      <c r="O200">
        <v>0</v>
      </c>
      <c r="P200">
        <v>0</v>
      </c>
      <c r="Q200">
        <v>0</v>
      </c>
      <c r="R200">
        <v>0</v>
      </c>
      <c r="S200">
        <v>0</v>
      </c>
      <c r="T200">
        <v>0</v>
      </c>
      <c r="U200">
        <v>0</v>
      </c>
      <c r="V200" s="8">
        <f>Table1[[#This Row],[Balls Scored From Trench]]+Table1[[#This Row],[Balls Scored from Mid]]+Table1[[#This Row],[Balls Scored From Alliance zone]]</f>
        <v>9</v>
      </c>
      <c r="W200" s="8">
        <f>Table1[[#This Row],[balls scored high]]+Table1[[#This Row],[balls scored low]]</f>
        <v>9</v>
      </c>
      <c r="X200" s="8">
        <f>Table1[[#This Row],[Control Panel Spun Time]]+Table1[[#This Row],[Control Panel Color Time]]</f>
        <v>0</v>
      </c>
      <c r="Y200" s="8">
        <f>Table1[[#This Row],[Control Panels Spun]]+Table1[[#This Row],[Control Panel Color]]</f>
        <v>0</v>
      </c>
      <c r="Z20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18</v>
      </c>
      <c r="AA200">
        <v>0</v>
      </c>
      <c r="AB200">
        <v>0</v>
      </c>
      <c r="AC200">
        <v>0</v>
      </c>
      <c r="AD200">
        <v>0</v>
      </c>
      <c r="AE200">
        <v>0</v>
      </c>
      <c r="AF200">
        <v>0</v>
      </c>
      <c r="AG200">
        <v>0</v>
      </c>
      <c r="AI200" t="s">
        <v>174</v>
      </c>
      <c r="AJ200" t="s">
        <v>203</v>
      </c>
      <c r="AK200" s="17">
        <f>(Table1[[#This Row],[Climbed]]*weighting!$B$18)+(Table1[[#This Row],[Adjustable Climber]]*weighting!$B$19)+(Table1[[#This Row],[Lift other Robot]]*weighting!$B$20)+(Table1[[#This Row],[Balanced]]*weighting!$B$21)</f>
        <v>0</v>
      </c>
      <c r="AL200" s="8">
        <f>+Table1[[#This Row],[Endgame our score]]+Table1[[#This Row],[teleop our score]]+Table1[[#This Row],[auton our score]]</f>
        <v>24</v>
      </c>
      <c r="AM200" s="20">
        <f t="shared" si="9"/>
        <v>0</v>
      </c>
      <c r="AN200" s="20">
        <f t="shared" si="10"/>
        <v>0</v>
      </c>
      <c r="AO200" s="20">
        <f t="shared" si="11"/>
        <v>1</v>
      </c>
      <c r="AP200" s="20">
        <f>Table1[[#This Row],[balls scored]]+Table1[[#This Row],[auton balls scored]]</f>
        <v>11</v>
      </c>
      <c r="AQ200" s="20">
        <f>Table1[[#This Row],[balls scored high]]+Table1[[#This Row],[Auton Scored High]]</f>
        <v>11</v>
      </c>
      <c r="AR200" s="20">
        <f>Table1[[#This Row],[balls scored low]]+Table1[[#This Row],[Auton Scored Low]]</f>
        <v>0</v>
      </c>
      <c r="AS200" s="50">
        <f>IF(Table1[[#This Row],[Control Panel Spun Time]]&gt;0,1,0)</f>
        <v>0</v>
      </c>
      <c r="AT200" s="20">
        <f>IF(Table1[[#This Row],[Control Panel Color Time]]&gt;0,1,0)</f>
        <v>0</v>
      </c>
    </row>
    <row r="201" spans="1:46" s="2" customFormat="1" x14ac:dyDescent="0.25">
      <c r="A201">
        <v>6328</v>
      </c>
      <c r="B201">
        <v>3</v>
      </c>
      <c r="C201">
        <v>3</v>
      </c>
      <c r="D201">
        <v>0</v>
      </c>
      <c r="E201">
        <v>0</v>
      </c>
      <c r="F201">
        <v>0</v>
      </c>
      <c r="G201">
        <v>0</v>
      </c>
      <c r="H201">
        <v>1</v>
      </c>
      <c r="I201" s="8">
        <f>+Table1[[#This Row],[Auton ball picked up in our trench]]+Table1[[#This Row],[Auton Balls Picked Up in Mid]]+Table1[[#This Row],[Auton Balls Picked Up In Their Trench]]</f>
        <v>0</v>
      </c>
      <c r="J201" s="8">
        <f>+Table1[[#This Row],[Auton Scored High]]+Table1[[#This Row],[Auton Scored Low]]</f>
        <v>3</v>
      </c>
      <c r="K20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201">
        <v>0</v>
      </c>
      <c r="M201">
        <v>14</v>
      </c>
      <c r="N201">
        <v>0</v>
      </c>
      <c r="O201">
        <v>0</v>
      </c>
      <c r="P201">
        <v>1</v>
      </c>
      <c r="Q201">
        <v>0</v>
      </c>
      <c r="R201">
        <v>0</v>
      </c>
      <c r="S201">
        <v>0</v>
      </c>
      <c r="T201">
        <v>0</v>
      </c>
      <c r="U201">
        <v>0</v>
      </c>
      <c r="V201" s="8">
        <f>Table1[[#This Row],[Balls Scored From Trench]]+Table1[[#This Row],[Balls Scored from Mid]]+Table1[[#This Row],[Balls Scored From Alliance zone]]</f>
        <v>14</v>
      </c>
      <c r="W201" s="8">
        <f>Table1[[#This Row],[balls scored high]]+Table1[[#This Row],[balls scored low]]</f>
        <v>14</v>
      </c>
      <c r="X201" s="8">
        <f>Table1[[#This Row],[Control Panel Spun Time]]+Table1[[#This Row],[Control Panel Color Time]]</f>
        <v>0</v>
      </c>
      <c r="Y201" s="8">
        <f>Table1[[#This Row],[Control Panels Spun]]+Table1[[#This Row],[Control Panel Color]]</f>
        <v>0</v>
      </c>
      <c r="Z20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29</v>
      </c>
      <c r="AA201">
        <v>0</v>
      </c>
      <c r="AB201">
        <v>0</v>
      </c>
      <c r="AC201">
        <v>0</v>
      </c>
      <c r="AD201">
        <v>0</v>
      </c>
      <c r="AE201">
        <v>0</v>
      </c>
      <c r="AF201">
        <v>0</v>
      </c>
      <c r="AG201">
        <v>0</v>
      </c>
      <c r="AH201"/>
      <c r="AI201" t="s">
        <v>179</v>
      </c>
      <c r="AJ201" t="s">
        <v>266</v>
      </c>
      <c r="AK201" s="17">
        <f>(Table1[[#This Row],[Climbed]]*weighting!$B$18)+(Table1[[#This Row],[Adjustable Climber]]*weighting!$B$19)+(Table1[[#This Row],[Lift other Robot]]*weighting!$B$20)+(Table1[[#This Row],[Balanced]]*weighting!$B$21)</f>
        <v>0</v>
      </c>
      <c r="AL201" s="8">
        <f>+Table1[[#This Row],[Endgame our score]]+Table1[[#This Row],[teleop our score]]+Table1[[#This Row],[auton our score]]</f>
        <v>39</v>
      </c>
      <c r="AM201" s="20">
        <f t="shared" si="9"/>
        <v>0</v>
      </c>
      <c r="AN201" s="20">
        <f t="shared" si="10"/>
        <v>0</v>
      </c>
      <c r="AO201" s="20">
        <f t="shared" si="11"/>
        <v>1</v>
      </c>
      <c r="AP201" s="20">
        <f>Table1[[#This Row],[balls scored]]+Table1[[#This Row],[auton balls scored]]</f>
        <v>17</v>
      </c>
      <c r="AQ201" s="20">
        <f>Table1[[#This Row],[balls scored high]]+Table1[[#This Row],[Auton Scored High]]</f>
        <v>17</v>
      </c>
      <c r="AR201" s="20">
        <f>Table1[[#This Row],[balls scored low]]+Table1[[#This Row],[Auton Scored Low]]</f>
        <v>0</v>
      </c>
      <c r="AS201" s="50">
        <f>IF(Table1[[#This Row],[Control Panel Spun Time]]&gt;0,1,0)</f>
        <v>0</v>
      </c>
      <c r="AT201" s="20">
        <f>IF(Table1[[#This Row],[Control Panel Color Time]]&gt;0,1,0)</f>
        <v>0</v>
      </c>
    </row>
    <row r="202" spans="1:46" x14ac:dyDescent="0.25">
      <c r="A202">
        <v>6328</v>
      </c>
      <c r="B202">
        <v>3</v>
      </c>
      <c r="C202">
        <v>2</v>
      </c>
      <c r="D202">
        <v>0</v>
      </c>
      <c r="E202">
        <v>0</v>
      </c>
      <c r="F202">
        <v>0</v>
      </c>
      <c r="G202">
        <v>0</v>
      </c>
      <c r="H202">
        <v>0</v>
      </c>
      <c r="I202" s="8">
        <f>+Table1[[#This Row],[Auton ball picked up in our trench]]+Table1[[#This Row],[Auton Balls Picked Up in Mid]]+Table1[[#This Row],[Auton Balls Picked Up In Their Trench]]</f>
        <v>0</v>
      </c>
      <c r="J202" s="8">
        <f>+Table1[[#This Row],[Auton Scored High]]+Table1[[#This Row],[Auton Scored Low]]</f>
        <v>2</v>
      </c>
      <c r="K20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6</v>
      </c>
      <c r="L202">
        <v>5</v>
      </c>
      <c r="M202">
        <v>10</v>
      </c>
      <c r="N202">
        <v>0</v>
      </c>
      <c r="O202">
        <v>0</v>
      </c>
      <c r="P202">
        <v>0</v>
      </c>
      <c r="Q202">
        <v>0</v>
      </c>
      <c r="R202">
        <v>0</v>
      </c>
      <c r="S202">
        <v>0</v>
      </c>
      <c r="T202">
        <v>0</v>
      </c>
      <c r="U202">
        <v>0</v>
      </c>
      <c r="V202" s="8">
        <f>Table1[[#This Row],[Balls Scored From Trench]]+Table1[[#This Row],[Balls Scored from Mid]]+Table1[[#This Row],[Balls Scored From Alliance zone]]</f>
        <v>15</v>
      </c>
      <c r="W202" s="8">
        <f>Table1[[#This Row],[balls scored high]]+Table1[[#This Row],[balls scored low]]</f>
        <v>15</v>
      </c>
      <c r="X202" s="8">
        <f>Table1[[#This Row],[Control Panel Spun Time]]+Table1[[#This Row],[Control Panel Color Time]]</f>
        <v>0</v>
      </c>
      <c r="Y202" s="8">
        <f>Table1[[#This Row],[Control Panels Spun]]+Table1[[#This Row],[Control Panel Color]]</f>
        <v>0</v>
      </c>
      <c r="Z20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35</v>
      </c>
      <c r="AA202">
        <v>1</v>
      </c>
      <c r="AB202">
        <v>0</v>
      </c>
      <c r="AC202">
        <v>0</v>
      </c>
      <c r="AD202">
        <v>0</v>
      </c>
      <c r="AE202">
        <v>0</v>
      </c>
      <c r="AF202">
        <v>0</v>
      </c>
      <c r="AG202">
        <v>0</v>
      </c>
      <c r="AI202" t="s">
        <v>174</v>
      </c>
      <c r="AJ202" t="s">
        <v>296</v>
      </c>
      <c r="AK202" s="17">
        <f>(Table1[[#This Row],[Climbed]]*weighting!$B$18)+(Table1[[#This Row],[Adjustable Climber]]*weighting!$B$19)+(Table1[[#This Row],[Lift other Robot]]*weighting!$B$20)+(Table1[[#This Row],[Balanced]]*weighting!$B$21)</f>
        <v>25</v>
      </c>
      <c r="AL202" s="8">
        <f>+Table1[[#This Row],[Endgame our score]]+Table1[[#This Row],[teleop our score]]+Table1[[#This Row],[auton our score]]</f>
        <v>66</v>
      </c>
      <c r="AM202" s="20">
        <f t="shared" si="9"/>
        <v>0</v>
      </c>
      <c r="AN202" s="20">
        <f t="shared" si="10"/>
        <v>0</v>
      </c>
      <c r="AO202" s="20">
        <f t="shared" si="11"/>
        <v>1</v>
      </c>
      <c r="AP202" s="20">
        <f>Table1[[#This Row],[balls scored]]+Table1[[#This Row],[auton balls scored]]</f>
        <v>17</v>
      </c>
      <c r="AQ202" s="20">
        <f>Table1[[#This Row],[balls scored high]]+Table1[[#This Row],[Auton Scored High]]</f>
        <v>17</v>
      </c>
      <c r="AR202" s="20">
        <f>Table1[[#This Row],[balls scored low]]+Table1[[#This Row],[Auton Scored Low]]</f>
        <v>0</v>
      </c>
      <c r="AS202" s="50">
        <f>IF(Table1[[#This Row],[Control Panel Spun Time]]&gt;0,1,0)</f>
        <v>0</v>
      </c>
      <c r="AT202" s="20">
        <f>IF(Table1[[#This Row],[Control Panel Color Time]]&gt;0,1,0)</f>
        <v>0</v>
      </c>
    </row>
    <row r="203" spans="1:46" s="2" customFormat="1" x14ac:dyDescent="0.25">
      <c r="A203">
        <v>6328</v>
      </c>
      <c r="B203">
        <v>3</v>
      </c>
      <c r="C203">
        <v>3</v>
      </c>
      <c r="D203">
        <v>0</v>
      </c>
      <c r="E203">
        <v>0</v>
      </c>
      <c r="F203">
        <v>0</v>
      </c>
      <c r="G203">
        <v>0</v>
      </c>
      <c r="H203">
        <v>1</v>
      </c>
      <c r="I203" s="8">
        <f>+Table1[[#This Row],[Auton ball picked up in our trench]]+Table1[[#This Row],[Auton Balls Picked Up in Mid]]+Table1[[#This Row],[Auton Balls Picked Up In Their Trench]]</f>
        <v>0</v>
      </c>
      <c r="J203" s="8">
        <f>+Table1[[#This Row],[Auton Scored High]]+Table1[[#This Row],[Auton Scored Low]]</f>
        <v>3</v>
      </c>
      <c r="K20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203">
        <v>4</v>
      </c>
      <c r="M203">
        <v>2</v>
      </c>
      <c r="N203">
        <v>0</v>
      </c>
      <c r="O203">
        <v>0</v>
      </c>
      <c r="P203">
        <v>0</v>
      </c>
      <c r="Q203">
        <v>0</v>
      </c>
      <c r="R203">
        <v>0</v>
      </c>
      <c r="S203">
        <v>0</v>
      </c>
      <c r="T203">
        <v>0</v>
      </c>
      <c r="U203">
        <v>0</v>
      </c>
      <c r="V203" s="8">
        <f>Table1[[#This Row],[Balls Scored From Trench]]+Table1[[#This Row],[Balls Scored from Mid]]+Table1[[#This Row],[Balls Scored From Alliance zone]]</f>
        <v>6</v>
      </c>
      <c r="W203" s="8">
        <f>Table1[[#This Row],[balls scored high]]+Table1[[#This Row],[balls scored low]]</f>
        <v>6</v>
      </c>
      <c r="X203" s="8">
        <f>Table1[[#This Row],[Control Panel Spun Time]]+Table1[[#This Row],[Control Panel Color Time]]</f>
        <v>0</v>
      </c>
      <c r="Y203" s="8">
        <f>Table1[[#This Row],[Control Panels Spun]]+Table1[[#This Row],[Control Panel Color]]</f>
        <v>0</v>
      </c>
      <c r="Z20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16</v>
      </c>
      <c r="AA203">
        <v>1</v>
      </c>
      <c r="AB203">
        <v>0</v>
      </c>
      <c r="AC203">
        <v>0</v>
      </c>
      <c r="AD203">
        <v>0</v>
      </c>
      <c r="AE203">
        <v>0</v>
      </c>
      <c r="AF203">
        <v>0</v>
      </c>
      <c r="AG203">
        <v>0</v>
      </c>
      <c r="AH203"/>
      <c r="AI203" t="s">
        <v>174</v>
      </c>
      <c r="AJ203"/>
      <c r="AK203" s="17">
        <f>(Table1[[#This Row],[Climbed]]*weighting!$B$18)+(Table1[[#This Row],[Adjustable Climber]]*weighting!$B$19)+(Table1[[#This Row],[Lift other Robot]]*weighting!$B$20)+(Table1[[#This Row],[Balanced]]*weighting!$B$21)</f>
        <v>25</v>
      </c>
      <c r="AL203" s="8">
        <f>+Table1[[#This Row],[Endgame our score]]+Table1[[#This Row],[teleop our score]]+Table1[[#This Row],[auton our score]]</f>
        <v>51</v>
      </c>
      <c r="AM203" s="20">
        <f t="shared" si="9"/>
        <v>0</v>
      </c>
      <c r="AN203" s="20">
        <f t="shared" si="10"/>
        <v>0</v>
      </c>
      <c r="AO203" s="20">
        <f t="shared" si="11"/>
        <v>1</v>
      </c>
      <c r="AP203" s="20">
        <f>Table1[[#This Row],[balls scored]]+Table1[[#This Row],[auton balls scored]]</f>
        <v>9</v>
      </c>
      <c r="AQ203" s="20">
        <f>Table1[[#This Row],[balls scored high]]+Table1[[#This Row],[Auton Scored High]]</f>
        <v>9</v>
      </c>
      <c r="AR203" s="20">
        <f>Table1[[#This Row],[balls scored low]]+Table1[[#This Row],[Auton Scored Low]]</f>
        <v>0</v>
      </c>
      <c r="AS203" s="50">
        <f>IF(Table1[[#This Row],[Control Panel Spun Time]]&gt;0,1,0)</f>
        <v>0</v>
      </c>
      <c r="AT203" s="20">
        <f>IF(Table1[[#This Row],[Control Panel Color Time]]&gt;0,1,0)</f>
        <v>0</v>
      </c>
    </row>
    <row r="204" spans="1:46" x14ac:dyDescent="0.25">
      <c r="A204">
        <v>6328</v>
      </c>
      <c r="B204">
        <v>3</v>
      </c>
      <c r="C204">
        <v>0</v>
      </c>
      <c r="D204">
        <v>0</v>
      </c>
      <c r="E204">
        <v>0</v>
      </c>
      <c r="F204">
        <v>0</v>
      </c>
      <c r="G204">
        <v>0</v>
      </c>
      <c r="H204">
        <v>1</v>
      </c>
      <c r="I204" s="8">
        <f>+Table1[[#This Row],[Auton ball picked up in our trench]]+Table1[[#This Row],[Auton Balls Picked Up in Mid]]+Table1[[#This Row],[Auton Balls Picked Up In Their Trench]]</f>
        <v>0</v>
      </c>
      <c r="J204" s="8">
        <f>+Table1[[#This Row],[Auton Scored High]]+Table1[[#This Row],[Auton Scored Low]]</f>
        <v>0</v>
      </c>
      <c r="K20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204">
        <v>0</v>
      </c>
      <c r="M204">
        <v>0</v>
      </c>
      <c r="N204">
        <v>13</v>
      </c>
      <c r="O204">
        <v>0</v>
      </c>
      <c r="P204">
        <v>0</v>
      </c>
      <c r="Q204">
        <v>0</v>
      </c>
      <c r="R204">
        <v>0</v>
      </c>
      <c r="S204">
        <v>0</v>
      </c>
      <c r="T204">
        <v>0</v>
      </c>
      <c r="U204">
        <v>0</v>
      </c>
      <c r="V204" s="8">
        <f>Table1[[#This Row],[Balls Scored From Trench]]+Table1[[#This Row],[Balls Scored from Mid]]+Table1[[#This Row],[Balls Scored From Alliance zone]]</f>
        <v>13</v>
      </c>
      <c r="W204" s="8">
        <f>Table1[[#This Row],[balls scored high]]+Table1[[#This Row],[balls scored low]]</f>
        <v>13</v>
      </c>
      <c r="X204" s="8">
        <f>Table1[[#This Row],[Control Panel Spun Time]]+Table1[[#This Row],[Control Panel Color Time]]</f>
        <v>0</v>
      </c>
      <c r="Y204" s="8">
        <f>Table1[[#This Row],[Control Panels Spun]]+Table1[[#This Row],[Control Panel Color]]</f>
        <v>0</v>
      </c>
      <c r="Z20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13</v>
      </c>
      <c r="AA204">
        <v>0</v>
      </c>
      <c r="AB204">
        <v>0</v>
      </c>
      <c r="AC204">
        <v>0</v>
      </c>
      <c r="AD204">
        <v>0</v>
      </c>
      <c r="AE204">
        <v>0</v>
      </c>
      <c r="AF204">
        <v>0</v>
      </c>
      <c r="AG204">
        <v>1</v>
      </c>
      <c r="AI204" t="s">
        <v>116</v>
      </c>
      <c r="AK204" s="17">
        <f>(Table1[[#This Row],[Climbed]]*weighting!$B$18)+(Table1[[#This Row],[Adjustable Climber]]*weighting!$B$19)+(Table1[[#This Row],[Lift other Robot]]*weighting!$B$20)+(Table1[[#This Row],[Balanced]]*weighting!$B$21)</f>
        <v>0</v>
      </c>
      <c r="AL204" s="8">
        <f>+Table1[[#This Row],[Endgame our score]]+Table1[[#This Row],[teleop our score]]+Table1[[#This Row],[auton our score]]</f>
        <v>14</v>
      </c>
      <c r="AM204" s="20">
        <f t="shared" si="9"/>
        <v>0</v>
      </c>
      <c r="AN204" s="20">
        <f t="shared" si="10"/>
        <v>0</v>
      </c>
      <c r="AO204" s="20">
        <f t="shared" si="11"/>
        <v>1</v>
      </c>
      <c r="AP204" s="20">
        <f>Table1[[#This Row],[balls scored]]+Table1[[#This Row],[auton balls scored]]</f>
        <v>13</v>
      </c>
      <c r="AQ204" s="20">
        <f>Table1[[#This Row],[balls scored high]]+Table1[[#This Row],[Auton Scored High]]</f>
        <v>13</v>
      </c>
      <c r="AR204" s="20">
        <f>Table1[[#This Row],[balls scored low]]+Table1[[#This Row],[Auton Scored Low]]</f>
        <v>0</v>
      </c>
      <c r="AS204" s="50">
        <f>IF(Table1[[#This Row],[Control Panel Spun Time]]&gt;0,1,0)</f>
        <v>0</v>
      </c>
      <c r="AT204" s="20">
        <f>IF(Table1[[#This Row],[Control Panel Color Time]]&gt;0,1,0)</f>
        <v>0</v>
      </c>
    </row>
    <row r="205" spans="1:46" s="2" customFormat="1" ht="45" x14ac:dyDescent="0.25">
      <c r="A205">
        <v>6723</v>
      </c>
      <c r="B205">
        <v>3</v>
      </c>
      <c r="C205">
        <v>0</v>
      </c>
      <c r="D205">
        <v>0</v>
      </c>
      <c r="E205">
        <v>0</v>
      </c>
      <c r="F205">
        <v>0</v>
      </c>
      <c r="G205">
        <v>0</v>
      </c>
      <c r="H205">
        <v>0</v>
      </c>
      <c r="I205" s="8">
        <f>+Table1[[#This Row],[Auton ball picked up in our trench]]+Table1[[#This Row],[Auton Balls Picked Up in Mid]]+Table1[[#This Row],[Auton Balls Picked Up In Their Trench]]</f>
        <v>0</v>
      </c>
      <c r="J205" s="8">
        <f>+Table1[[#This Row],[Auton Scored High]]+Table1[[#This Row],[Auton Scored Low]]</f>
        <v>0</v>
      </c>
      <c r="K20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05">
        <v>0</v>
      </c>
      <c r="M205">
        <v>0</v>
      </c>
      <c r="N205">
        <v>3</v>
      </c>
      <c r="O205">
        <v>0</v>
      </c>
      <c r="P205">
        <v>0</v>
      </c>
      <c r="Q205">
        <v>0</v>
      </c>
      <c r="R205">
        <v>0</v>
      </c>
      <c r="S205">
        <v>0</v>
      </c>
      <c r="T205">
        <v>0</v>
      </c>
      <c r="U205">
        <v>5</v>
      </c>
      <c r="V205" s="8">
        <f>Table1[[#This Row],[Balls Scored From Trench]]+Table1[[#This Row],[Balls Scored from Mid]]+Table1[[#This Row],[Balls Scored From Alliance zone]]</f>
        <v>3</v>
      </c>
      <c r="W205" s="8">
        <f>Table1[[#This Row],[balls scored high]]+Table1[[#This Row],[balls scored low]]</f>
        <v>3</v>
      </c>
      <c r="X205" s="8">
        <f>Table1[[#This Row],[Control Panel Spun Time]]+Table1[[#This Row],[Control Panel Color Time]]</f>
        <v>0</v>
      </c>
      <c r="Y205" s="8">
        <f>Table1[[#This Row],[Control Panels Spun]]+Table1[[#This Row],[Control Panel Color]]</f>
        <v>0</v>
      </c>
      <c r="Z20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13</v>
      </c>
      <c r="AA205">
        <v>1</v>
      </c>
      <c r="AB205">
        <v>0</v>
      </c>
      <c r="AC205">
        <v>1</v>
      </c>
      <c r="AD205">
        <v>0</v>
      </c>
      <c r="AE205">
        <v>0</v>
      </c>
      <c r="AF205">
        <v>0</v>
      </c>
      <c r="AG205">
        <v>0</v>
      </c>
      <c r="AH205"/>
      <c r="AI205" t="s">
        <v>43</v>
      </c>
      <c r="AJ205" s="5" t="s">
        <v>204</v>
      </c>
      <c r="AK205" s="17">
        <f>(Table1[[#This Row],[Climbed]]*weighting!$B$18)+(Table1[[#This Row],[Adjustable Climber]]*weighting!$B$19)+(Table1[[#This Row],[Lift other Robot]]*weighting!$B$20)+(Table1[[#This Row],[Balanced]]*weighting!$B$21)</f>
        <v>40</v>
      </c>
      <c r="AL205" s="8">
        <f>+Table1[[#This Row],[Endgame our score]]+Table1[[#This Row],[teleop our score]]+Table1[[#This Row],[auton our score]]</f>
        <v>53</v>
      </c>
      <c r="AM205" s="20">
        <f t="shared" si="9"/>
        <v>0</v>
      </c>
      <c r="AN205" s="20">
        <f t="shared" si="10"/>
        <v>0</v>
      </c>
      <c r="AO205" s="20">
        <f t="shared" si="11"/>
        <v>1</v>
      </c>
      <c r="AP205" s="20">
        <f>Table1[[#This Row],[balls scored]]+Table1[[#This Row],[auton balls scored]]</f>
        <v>3</v>
      </c>
      <c r="AQ205" s="20">
        <f>Table1[[#This Row],[balls scored high]]+Table1[[#This Row],[Auton Scored High]]</f>
        <v>3</v>
      </c>
      <c r="AR205" s="20">
        <f>Table1[[#This Row],[balls scored low]]+Table1[[#This Row],[Auton Scored Low]]</f>
        <v>0</v>
      </c>
      <c r="AS205" s="50">
        <f>IF(Table1[[#This Row],[Control Panel Spun Time]]&gt;0,1,0)</f>
        <v>0</v>
      </c>
      <c r="AT205" s="20">
        <f>IF(Table1[[#This Row],[Control Panel Color Time]]&gt;0,1,0)</f>
        <v>0</v>
      </c>
    </row>
    <row r="206" spans="1:46" x14ac:dyDescent="0.25">
      <c r="A206">
        <v>6723</v>
      </c>
      <c r="B206">
        <v>1</v>
      </c>
      <c r="C206">
        <v>1</v>
      </c>
      <c r="D206">
        <v>0</v>
      </c>
      <c r="E206">
        <v>0</v>
      </c>
      <c r="F206">
        <v>0</v>
      </c>
      <c r="G206">
        <v>0</v>
      </c>
      <c r="H206">
        <v>1</v>
      </c>
      <c r="I206" s="8">
        <f>+Table1[[#This Row],[Auton ball picked up in our trench]]+Table1[[#This Row],[Auton Balls Picked Up in Mid]]+Table1[[#This Row],[Auton Balls Picked Up In Their Trench]]</f>
        <v>0</v>
      </c>
      <c r="J206" s="8">
        <f>+Table1[[#This Row],[Auton Scored High]]+Table1[[#This Row],[Auton Scored Low]]</f>
        <v>1</v>
      </c>
      <c r="K20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4</v>
      </c>
      <c r="L206">
        <v>0</v>
      </c>
      <c r="M206">
        <v>0</v>
      </c>
      <c r="N206">
        <v>3</v>
      </c>
      <c r="O206">
        <v>0</v>
      </c>
      <c r="P206">
        <v>0</v>
      </c>
      <c r="Q206">
        <v>0</v>
      </c>
      <c r="R206">
        <v>0</v>
      </c>
      <c r="S206">
        <v>0</v>
      </c>
      <c r="T206">
        <v>0</v>
      </c>
      <c r="U206">
        <v>0</v>
      </c>
      <c r="V206" s="8">
        <f>Table1[[#This Row],[Balls Scored From Trench]]+Table1[[#This Row],[Balls Scored from Mid]]+Table1[[#This Row],[Balls Scored From Alliance zone]]</f>
        <v>3</v>
      </c>
      <c r="W206" s="8">
        <f>Table1[[#This Row],[balls scored high]]+Table1[[#This Row],[balls scored low]]</f>
        <v>3</v>
      </c>
      <c r="X206" s="8">
        <f>Table1[[#This Row],[Control Panel Spun Time]]+Table1[[#This Row],[Control Panel Color Time]]</f>
        <v>0</v>
      </c>
      <c r="Y206" s="8">
        <f>Table1[[#This Row],[Control Panels Spun]]+Table1[[#This Row],[Control Panel Color]]</f>
        <v>0</v>
      </c>
      <c r="Z20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3</v>
      </c>
      <c r="AA206">
        <v>1</v>
      </c>
      <c r="AB206">
        <v>0</v>
      </c>
      <c r="AC206">
        <v>0</v>
      </c>
      <c r="AD206">
        <v>0</v>
      </c>
      <c r="AE206">
        <v>0</v>
      </c>
      <c r="AF206">
        <v>0</v>
      </c>
      <c r="AG206">
        <v>0</v>
      </c>
      <c r="AI206" t="s">
        <v>179</v>
      </c>
      <c r="AK206" s="17">
        <f>(Table1[[#This Row],[Climbed]]*weighting!$B$18)+(Table1[[#This Row],[Adjustable Climber]]*weighting!$B$19)+(Table1[[#This Row],[Lift other Robot]]*weighting!$B$20)+(Table1[[#This Row],[Balanced]]*weighting!$B$21)</f>
        <v>25</v>
      </c>
      <c r="AL206" s="8">
        <f>+Table1[[#This Row],[Endgame our score]]+Table1[[#This Row],[teleop our score]]+Table1[[#This Row],[auton our score]]</f>
        <v>32</v>
      </c>
      <c r="AM206" s="20">
        <f t="shared" si="9"/>
        <v>1</v>
      </c>
      <c r="AN206" s="20">
        <f t="shared" si="10"/>
        <v>0</v>
      </c>
      <c r="AO206" s="20">
        <f t="shared" si="11"/>
        <v>0</v>
      </c>
      <c r="AP206" s="20">
        <f>Table1[[#This Row],[balls scored]]+Table1[[#This Row],[auton balls scored]]</f>
        <v>4</v>
      </c>
      <c r="AQ206" s="20">
        <f>Table1[[#This Row],[balls scored high]]+Table1[[#This Row],[Auton Scored High]]</f>
        <v>4</v>
      </c>
      <c r="AR206" s="20">
        <f>Table1[[#This Row],[balls scored low]]+Table1[[#This Row],[Auton Scored Low]]</f>
        <v>0</v>
      </c>
      <c r="AS206" s="50">
        <f>IF(Table1[[#This Row],[Control Panel Spun Time]]&gt;0,1,0)</f>
        <v>0</v>
      </c>
      <c r="AT206" s="20">
        <f>IF(Table1[[#This Row],[Control Panel Color Time]]&gt;0,1,0)</f>
        <v>0</v>
      </c>
    </row>
    <row r="207" spans="1:46" s="2" customFormat="1" x14ac:dyDescent="0.25">
      <c r="A207">
        <v>6723</v>
      </c>
      <c r="B207">
        <v>3</v>
      </c>
      <c r="C207">
        <v>3</v>
      </c>
      <c r="D207">
        <v>0</v>
      </c>
      <c r="E207">
        <v>0</v>
      </c>
      <c r="F207">
        <v>0</v>
      </c>
      <c r="G207">
        <v>0</v>
      </c>
      <c r="H207">
        <v>1</v>
      </c>
      <c r="I207" s="8">
        <f>+Table1[[#This Row],[Auton ball picked up in our trench]]+Table1[[#This Row],[Auton Balls Picked Up in Mid]]+Table1[[#This Row],[Auton Balls Picked Up In Their Trench]]</f>
        <v>0</v>
      </c>
      <c r="J207" s="8">
        <f>+Table1[[#This Row],[Auton Scored High]]+Table1[[#This Row],[Auton Scored Low]]</f>
        <v>3</v>
      </c>
      <c r="K20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10</v>
      </c>
      <c r="L207">
        <v>0</v>
      </c>
      <c r="M207">
        <v>0</v>
      </c>
      <c r="N207">
        <v>8</v>
      </c>
      <c r="O207">
        <v>0</v>
      </c>
      <c r="P207">
        <v>0</v>
      </c>
      <c r="Q207">
        <v>0</v>
      </c>
      <c r="R207">
        <v>0</v>
      </c>
      <c r="S207">
        <v>0</v>
      </c>
      <c r="T207">
        <v>0</v>
      </c>
      <c r="U207">
        <v>0</v>
      </c>
      <c r="V207" s="8">
        <f>Table1[[#This Row],[Balls Scored From Trench]]+Table1[[#This Row],[Balls Scored from Mid]]+Table1[[#This Row],[Balls Scored From Alliance zone]]</f>
        <v>8</v>
      </c>
      <c r="W207" s="8">
        <f>Table1[[#This Row],[balls scored high]]+Table1[[#This Row],[balls scored low]]</f>
        <v>8</v>
      </c>
      <c r="X207" s="8">
        <f>Table1[[#This Row],[Control Panel Spun Time]]+Table1[[#This Row],[Control Panel Color Time]]</f>
        <v>0</v>
      </c>
      <c r="Y207" s="8">
        <f>Table1[[#This Row],[Control Panels Spun]]+Table1[[#This Row],[Control Panel Color]]</f>
        <v>0</v>
      </c>
      <c r="Z20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8</v>
      </c>
      <c r="AA207">
        <v>1</v>
      </c>
      <c r="AB207">
        <v>0</v>
      </c>
      <c r="AC207">
        <v>0</v>
      </c>
      <c r="AD207">
        <v>0</v>
      </c>
      <c r="AE207">
        <v>0</v>
      </c>
      <c r="AF207">
        <v>0</v>
      </c>
      <c r="AG207">
        <v>0</v>
      </c>
      <c r="AH207"/>
      <c r="AI207" t="s">
        <v>179</v>
      </c>
      <c r="AJ207"/>
      <c r="AK207" s="17">
        <f>(Table1[[#This Row],[Climbed]]*weighting!$B$18)+(Table1[[#This Row],[Adjustable Climber]]*weighting!$B$19)+(Table1[[#This Row],[Lift other Robot]]*weighting!$B$20)+(Table1[[#This Row],[Balanced]]*weighting!$B$21)</f>
        <v>25</v>
      </c>
      <c r="AL207" s="8">
        <f>+Table1[[#This Row],[Endgame our score]]+Table1[[#This Row],[teleop our score]]+Table1[[#This Row],[auton our score]]</f>
        <v>43</v>
      </c>
      <c r="AM207" s="20">
        <f t="shared" si="9"/>
        <v>0</v>
      </c>
      <c r="AN207" s="20">
        <f t="shared" si="10"/>
        <v>0</v>
      </c>
      <c r="AO207" s="20">
        <f t="shared" si="11"/>
        <v>1</v>
      </c>
      <c r="AP207" s="20">
        <f>Table1[[#This Row],[balls scored]]+Table1[[#This Row],[auton balls scored]]</f>
        <v>11</v>
      </c>
      <c r="AQ207" s="20">
        <f>Table1[[#This Row],[balls scored high]]+Table1[[#This Row],[Auton Scored High]]</f>
        <v>11</v>
      </c>
      <c r="AR207" s="20">
        <f>Table1[[#This Row],[balls scored low]]+Table1[[#This Row],[Auton Scored Low]]</f>
        <v>0</v>
      </c>
      <c r="AS207" s="50">
        <f>IF(Table1[[#This Row],[Control Panel Spun Time]]&gt;0,1,0)</f>
        <v>0</v>
      </c>
      <c r="AT207" s="20">
        <f>IF(Table1[[#This Row],[Control Panel Color Time]]&gt;0,1,0)</f>
        <v>0</v>
      </c>
    </row>
    <row r="208" spans="1:46" x14ac:dyDescent="0.25">
      <c r="A208">
        <v>6723</v>
      </c>
      <c r="B208">
        <v>1</v>
      </c>
      <c r="C208">
        <v>0</v>
      </c>
      <c r="D208">
        <v>0</v>
      </c>
      <c r="E208">
        <v>0</v>
      </c>
      <c r="F208">
        <v>0</v>
      </c>
      <c r="G208">
        <v>0</v>
      </c>
      <c r="H208">
        <v>0</v>
      </c>
      <c r="I208" s="8">
        <f>+Table1[[#This Row],[Auton ball picked up in our trench]]+Table1[[#This Row],[Auton Balls Picked Up in Mid]]+Table1[[#This Row],[Auton Balls Picked Up In Their Trench]]</f>
        <v>0</v>
      </c>
      <c r="J208" s="8">
        <f>+Table1[[#This Row],[Auton Scored High]]+Table1[[#This Row],[Auton Scored Low]]</f>
        <v>0</v>
      </c>
      <c r="K20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08">
        <v>0</v>
      </c>
      <c r="M208">
        <v>0</v>
      </c>
      <c r="N208">
        <v>7</v>
      </c>
      <c r="O208">
        <v>0</v>
      </c>
      <c r="P208">
        <v>0</v>
      </c>
      <c r="Q208">
        <v>0</v>
      </c>
      <c r="R208">
        <v>0</v>
      </c>
      <c r="S208">
        <v>0</v>
      </c>
      <c r="T208">
        <v>0</v>
      </c>
      <c r="U208">
        <v>0</v>
      </c>
      <c r="V208" s="8">
        <f>Table1[[#This Row],[Balls Scored From Trench]]+Table1[[#This Row],[Balls Scored from Mid]]+Table1[[#This Row],[Balls Scored From Alliance zone]]</f>
        <v>7</v>
      </c>
      <c r="W208" s="8">
        <f>Table1[[#This Row],[balls scored high]]+Table1[[#This Row],[balls scored low]]</f>
        <v>7</v>
      </c>
      <c r="X208" s="8">
        <f>Table1[[#This Row],[Control Panel Spun Time]]+Table1[[#This Row],[Control Panel Color Time]]</f>
        <v>0</v>
      </c>
      <c r="Y208" s="8">
        <f>Table1[[#This Row],[Control Panels Spun]]+Table1[[#This Row],[Control Panel Color]]</f>
        <v>0</v>
      </c>
      <c r="Z20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7</v>
      </c>
      <c r="AA208">
        <v>1</v>
      </c>
      <c r="AB208">
        <v>0</v>
      </c>
      <c r="AC208">
        <v>0</v>
      </c>
      <c r="AD208">
        <v>0</v>
      </c>
      <c r="AE208">
        <v>0</v>
      </c>
      <c r="AF208">
        <v>0</v>
      </c>
      <c r="AG208">
        <v>0</v>
      </c>
      <c r="AI208" t="s">
        <v>281</v>
      </c>
      <c r="AJ208" t="s">
        <v>297</v>
      </c>
      <c r="AK208" s="17">
        <f>(Table1[[#This Row],[Climbed]]*weighting!$B$18)+(Table1[[#This Row],[Adjustable Climber]]*weighting!$B$19)+(Table1[[#This Row],[Lift other Robot]]*weighting!$B$20)+(Table1[[#This Row],[Balanced]]*weighting!$B$21)</f>
        <v>25</v>
      </c>
      <c r="AL208" s="8">
        <f>+Table1[[#This Row],[Endgame our score]]+Table1[[#This Row],[teleop our score]]+Table1[[#This Row],[auton our score]]</f>
        <v>32</v>
      </c>
      <c r="AM208" s="20">
        <f t="shared" si="9"/>
        <v>1</v>
      </c>
      <c r="AN208" s="20">
        <f t="shared" si="10"/>
        <v>0</v>
      </c>
      <c r="AO208" s="20">
        <f t="shared" si="11"/>
        <v>0</v>
      </c>
      <c r="AP208" s="20">
        <f>Table1[[#This Row],[balls scored]]+Table1[[#This Row],[auton balls scored]]</f>
        <v>7</v>
      </c>
      <c r="AQ208" s="20">
        <f>Table1[[#This Row],[balls scored high]]+Table1[[#This Row],[Auton Scored High]]</f>
        <v>7</v>
      </c>
      <c r="AR208" s="20">
        <f>Table1[[#This Row],[balls scored low]]+Table1[[#This Row],[Auton Scored Low]]</f>
        <v>0</v>
      </c>
      <c r="AS208" s="50">
        <f>IF(Table1[[#This Row],[Control Panel Spun Time]]&gt;0,1,0)</f>
        <v>0</v>
      </c>
      <c r="AT208" s="20">
        <f>IF(Table1[[#This Row],[Control Panel Color Time]]&gt;0,1,0)</f>
        <v>0</v>
      </c>
    </row>
    <row r="209" spans="1:46" s="2" customFormat="1" x14ac:dyDescent="0.25">
      <c r="A209">
        <v>6723</v>
      </c>
      <c r="B209">
        <v>3</v>
      </c>
      <c r="C209">
        <v>2</v>
      </c>
      <c r="D209">
        <v>0</v>
      </c>
      <c r="E209">
        <v>0</v>
      </c>
      <c r="F209">
        <v>0</v>
      </c>
      <c r="G209">
        <v>0</v>
      </c>
      <c r="H209">
        <v>1</v>
      </c>
      <c r="I209" s="8">
        <f>+Table1[[#This Row],[Auton ball picked up in our trench]]+Table1[[#This Row],[Auton Balls Picked Up in Mid]]+Table1[[#This Row],[Auton Balls Picked Up In Their Trench]]</f>
        <v>0</v>
      </c>
      <c r="J209" s="8">
        <f>+Table1[[#This Row],[Auton Scored High]]+Table1[[#This Row],[Auton Scored Low]]</f>
        <v>2</v>
      </c>
      <c r="K20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7</v>
      </c>
      <c r="L209">
        <v>0</v>
      </c>
      <c r="M209">
        <v>0</v>
      </c>
      <c r="N209">
        <v>4</v>
      </c>
      <c r="O209">
        <v>0</v>
      </c>
      <c r="P209">
        <v>0</v>
      </c>
      <c r="Q209">
        <v>0</v>
      </c>
      <c r="R209">
        <v>0</v>
      </c>
      <c r="S209">
        <v>0</v>
      </c>
      <c r="T209">
        <v>0</v>
      </c>
      <c r="U209">
        <v>0</v>
      </c>
      <c r="V209" s="8">
        <f>Table1[[#This Row],[Balls Scored From Trench]]+Table1[[#This Row],[Balls Scored from Mid]]+Table1[[#This Row],[Balls Scored From Alliance zone]]</f>
        <v>4</v>
      </c>
      <c r="W209" s="8">
        <f>Table1[[#This Row],[balls scored high]]+Table1[[#This Row],[balls scored low]]</f>
        <v>4</v>
      </c>
      <c r="X209" s="8">
        <f>Table1[[#This Row],[Control Panel Spun Time]]+Table1[[#This Row],[Control Panel Color Time]]</f>
        <v>0</v>
      </c>
      <c r="Y209" s="8">
        <f>Table1[[#This Row],[Control Panels Spun]]+Table1[[#This Row],[Control Panel Color]]</f>
        <v>0</v>
      </c>
      <c r="Z20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4</v>
      </c>
      <c r="AA209">
        <v>1</v>
      </c>
      <c r="AB209">
        <v>0</v>
      </c>
      <c r="AC209">
        <v>0</v>
      </c>
      <c r="AD209">
        <v>0</v>
      </c>
      <c r="AE209">
        <v>0</v>
      </c>
      <c r="AF209">
        <v>0</v>
      </c>
      <c r="AG209">
        <v>0</v>
      </c>
      <c r="AH209"/>
      <c r="AI209" t="s">
        <v>179</v>
      </c>
      <c r="AJ209"/>
      <c r="AK209" s="17">
        <f>(Table1[[#This Row],[Climbed]]*weighting!$B$18)+(Table1[[#This Row],[Adjustable Climber]]*weighting!$B$19)+(Table1[[#This Row],[Lift other Robot]]*weighting!$B$20)+(Table1[[#This Row],[Balanced]]*weighting!$B$21)</f>
        <v>25</v>
      </c>
      <c r="AL209" s="8">
        <f>+Table1[[#This Row],[Endgame our score]]+Table1[[#This Row],[teleop our score]]+Table1[[#This Row],[auton our score]]</f>
        <v>36</v>
      </c>
      <c r="AM209" s="20">
        <f t="shared" si="9"/>
        <v>0</v>
      </c>
      <c r="AN209" s="20">
        <f t="shared" si="10"/>
        <v>0</v>
      </c>
      <c r="AO209" s="20">
        <f t="shared" si="11"/>
        <v>1</v>
      </c>
      <c r="AP209" s="20">
        <f>Table1[[#This Row],[balls scored]]+Table1[[#This Row],[auton balls scored]]</f>
        <v>6</v>
      </c>
      <c r="AQ209" s="20">
        <f>Table1[[#This Row],[balls scored high]]+Table1[[#This Row],[Auton Scored High]]</f>
        <v>6</v>
      </c>
      <c r="AR209" s="20">
        <f>Table1[[#This Row],[balls scored low]]+Table1[[#This Row],[Auton Scored Low]]</f>
        <v>0</v>
      </c>
      <c r="AS209" s="50">
        <f>IF(Table1[[#This Row],[Control Panel Spun Time]]&gt;0,1,0)</f>
        <v>0</v>
      </c>
      <c r="AT209" s="20">
        <f>IF(Table1[[#This Row],[Control Panel Color Time]]&gt;0,1,0)</f>
        <v>0</v>
      </c>
    </row>
    <row r="210" spans="1:46" x14ac:dyDescent="0.25">
      <c r="A210">
        <v>6723</v>
      </c>
      <c r="B210">
        <v>2</v>
      </c>
      <c r="C210">
        <v>2</v>
      </c>
      <c r="D210">
        <v>0</v>
      </c>
      <c r="E210">
        <v>0</v>
      </c>
      <c r="F210">
        <v>0</v>
      </c>
      <c r="G210">
        <v>0</v>
      </c>
      <c r="H210">
        <v>1</v>
      </c>
      <c r="I210" s="8">
        <f>+Table1[[#This Row],[Auton ball picked up in our trench]]+Table1[[#This Row],[Auton Balls Picked Up in Mid]]+Table1[[#This Row],[Auton Balls Picked Up In Their Trench]]</f>
        <v>0</v>
      </c>
      <c r="J210" s="8">
        <f>+Table1[[#This Row],[Auton Scored High]]+Table1[[#This Row],[Auton Scored Low]]</f>
        <v>2</v>
      </c>
      <c r="K21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7</v>
      </c>
      <c r="L210">
        <v>0</v>
      </c>
      <c r="M210">
        <v>0</v>
      </c>
      <c r="N210">
        <v>0</v>
      </c>
      <c r="O210">
        <v>0</v>
      </c>
      <c r="P210">
        <v>0</v>
      </c>
      <c r="Q210">
        <v>0</v>
      </c>
      <c r="R210">
        <v>0</v>
      </c>
      <c r="S210">
        <v>0</v>
      </c>
      <c r="T210">
        <v>0</v>
      </c>
      <c r="U210">
        <v>0</v>
      </c>
      <c r="V210" s="8">
        <f>Table1[[#This Row],[Balls Scored From Trench]]+Table1[[#This Row],[Balls Scored from Mid]]+Table1[[#This Row],[Balls Scored From Alliance zone]]</f>
        <v>0</v>
      </c>
      <c r="W210" s="8">
        <f>Table1[[#This Row],[balls scored high]]+Table1[[#This Row],[balls scored low]]</f>
        <v>0</v>
      </c>
      <c r="X210" s="8">
        <f>Table1[[#This Row],[Control Panel Spun Time]]+Table1[[#This Row],[Control Panel Color Time]]</f>
        <v>0</v>
      </c>
      <c r="Y210" s="8">
        <f>Table1[[#This Row],[Control Panels Spun]]+Table1[[#This Row],[Control Panel Color]]</f>
        <v>0</v>
      </c>
      <c r="Z21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10">
        <v>1</v>
      </c>
      <c r="AB210">
        <v>0</v>
      </c>
      <c r="AC210">
        <v>0</v>
      </c>
      <c r="AD210">
        <v>0</v>
      </c>
      <c r="AE210">
        <v>0</v>
      </c>
      <c r="AF210">
        <v>0</v>
      </c>
      <c r="AG210">
        <v>0</v>
      </c>
      <c r="AI210" t="s">
        <v>174</v>
      </c>
      <c r="AK210" s="17">
        <f>(Table1[[#This Row],[Climbed]]*weighting!$B$18)+(Table1[[#This Row],[Adjustable Climber]]*weighting!$B$19)+(Table1[[#This Row],[Lift other Robot]]*weighting!$B$20)+(Table1[[#This Row],[Balanced]]*weighting!$B$21)</f>
        <v>25</v>
      </c>
      <c r="AL210" s="8">
        <f>+Table1[[#This Row],[Endgame our score]]+Table1[[#This Row],[teleop our score]]+Table1[[#This Row],[auton our score]]</f>
        <v>32</v>
      </c>
      <c r="AM210" s="20">
        <f t="shared" si="9"/>
        <v>0</v>
      </c>
      <c r="AN210" s="20">
        <f t="shared" si="10"/>
        <v>1</v>
      </c>
      <c r="AO210" s="20">
        <f t="shared" si="11"/>
        <v>0</v>
      </c>
      <c r="AP210" s="20">
        <f>Table1[[#This Row],[balls scored]]+Table1[[#This Row],[auton balls scored]]</f>
        <v>2</v>
      </c>
      <c r="AQ210" s="20">
        <f>Table1[[#This Row],[balls scored high]]+Table1[[#This Row],[Auton Scored High]]</f>
        <v>2</v>
      </c>
      <c r="AR210" s="20">
        <f>Table1[[#This Row],[balls scored low]]+Table1[[#This Row],[Auton Scored Low]]</f>
        <v>0</v>
      </c>
      <c r="AS210" s="50">
        <f>IF(Table1[[#This Row],[Control Panel Spun Time]]&gt;0,1,0)</f>
        <v>0</v>
      </c>
      <c r="AT210" s="20">
        <f>IF(Table1[[#This Row],[Control Panel Color Time]]&gt;0,1,0)</f>
        <v>0</v>
      </c>
    </row>
    <row r="211" spans="1:46" s="2" customFormat="1" x14ac:dyDescent="0.25">
      <c r="A211">
        <v>6811</v>
      </c>
      <c r="B211">
        <v>1</v>
      </c>
      <c r="C211">
        <v>0</v>
      </c>
      <c r="D211">
        <v>0</v>
      </c>
      <c r="E211">
        <v>0</v>
      </c>
      <c r="F211">
        <v>0</v>
      </c>
      <c r="G211">
        <v>0</v>
      </c>
      <c r="H211">
        <v>1</v>
      </c>
      <c r="I211" s="8">
        <f>+Table1[[#This Row],[Auton ball picked up in our trench]]+Table1[[#This Row],[Auton Balls Picked Up in Mid]]+Table1[[#This Row],[Auton Balls Picked Up In Their Trench]]</f>
        <v>0</v>
      </c>
      <c r="J211" s="8">
        <f>+Table1[[#This Row],[Auton Scored High]]+Table1[[#This Row],[Auton Scored Low]]</f>
        <v>0</v>
      </c>
      <c r="K21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211">
        <v>0</v>
      </c>
      <c r="M211">
        <v>1</v>
      </c>
      <c r="N211">
        <v>0</v>
      </c>
      <c r="O211">
        <v>0</v>
      </c>
      <c r="P211">
        <v>0</v>
      </c>
      <c r="Q211">
        <v>0</v>
      </c>
      <c r="R211">
        <v>0</v>
      </c>
      <c r="S211">
        <v>0</v>
      </c>
      <c r="T211">
        <v>0</v>
      </c>
      <c r="U211">
        <v>1</v>
      </c>
      <c r="V211" s="8">
        <f>Table1[[#This Row],[Balls Scored From Trench]]+Table1[[#This Row],[Balls Scored from Mid]]+Table1[[#This Row],[Balls Scored From Alliance zone]]</f>
        <v>1</v>
      </c>
      <c r="W211" s="8">
        <f>Table1[[#This Row],[balls scored high]]+Table1[[#This Row],[balls scored low]]</f>
        <v>1</v>
      </c>
      <c r="X211" s="8">
        <f>Table1[[#This Row],[Control Panel Spun Time]]+Table1[[#This Row],[Control Panel Color Time]]</f>
        <v>0</v>
      </c>
      <c r="Y211" s="8">
        <f>Table1[[#This Row],[Control Panels Spun]]+Table1[[#This Row],[Control Panel Color]]</f>
        <v>0</v>
      </c>
      <c r="Z21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4</v>
      </c>
      <c r="AA211">
        <v>0</v>
      </c>
      <c r="AB211">
        <v>0</v>
      </c>
      <c r="AC211">
        <v>0</v>
      </c>
      <c r="AD211">
        <v>0</v>
      </c>
      <c r="AE211">
        <v>0</v>
      </c>
      <c r="AF211">
        <v>0</v>
      </c>
      <c r="AG211">
        <v>0</v>
      </c>
      <c r="AH211"/>
      <c r="AI211" t="s">
        <v>176</v>
      </c>
      <c r="AJ211" t="s">
        <v>205</v>
      </c>
      <c r="AK211" s="17">
        <f>(Table1[[#This Row],[Climbed]]*weighting!$B$18)+(Table1[[#This Row],[Adjustable Climber]]*weighting!$B$19)+(Table1[[#This Row],[Lift other Robot]]*weighting!$B$20)+(Table1[[#This Row],[Balanced]]*weighting!$B$21)</f>
        <v>0</v>
      </c>
      <c r="AL211" s="8">
        <f>+Table1[[#This Row],[Endgame our score]]+Table1[[#This Row],[teleop our score]]+Table1[[#This Row],[auton our score]]</f>
        <v>5</v>
      </c>
      <c r="AM211" s="20">
        <f t="shared" si="9"/>
        <v>1</v>
      </c>
      <c r="AN211" s="20">
        <f t="shared" si="10"/>
        <v>0</v>
      </c>
      <c r="AO211" s="20">
        <f t="shared" si="11"/>
        <v>0</v>
      </c>
      <c r="AP211" s="20">
        <f>Table1[[#This Row],[balls scored]]+Table1[[#This Row],[auton balls scored]]</f>
        <v>1</v>
      </c>
      <c r="AQ211" s="20">
        <f>Table1[[#This Row],[balls scored high]]+Table1[[#This Row],[Auton Scored High]]</f>
        <v>1</v>
      </c>
      <c r="AR211" s="20">
        <f>Table1[[#This Row],[balls scored low]]+Table1[[#This Row],[Auton Scored Low]]</f>
        <v>0</v>
      </c>
      <c r="AS211" s="50">
        <f>IF(Table1[[#This Row],[Control Panel Spun Time]]&gt;0,1,0)</f>
        <v>0</v>
      </c>
      <c r="AT211" s="20">
        <f>IF(Table1[[#This Row],[Control Panel Color Time]]&gt;0,1,0)</f>
        <v>0</v>
      </c>
    </row>
    <row r="212" spans="1:46" x14ac:dyDescent="0.25">
      <c r="A212">
        <v>6811</v>
      </c>
      <c r="B212">
        <v>2</v>
      </c>
      <c r="C212">
        <v>0</v>
      </c>
      <c r="D212">
        <v>0</v>
      </c>
      <c r="E212">
        <v>0</v>
      </c>
      <c r="F212">
        <v>0</v>
      </c>
      <c r="G212">
        <v>0</v>
      </c>
      <c r="H212">
        <v>1</v>
      </c>
      <c r="I212" s="8">
        <f>+Table1[[#This Row],[Auton ball picked up in our trench]]+Table1[[#This Row],[Auton Balls Picked Up in Mid]]+Table1[[#This Row],[Auton Balls Picked Up In Their Trench]]</f>
        <v>0</v>
      </c>
      <c r="J212" s="8">
        <f>+Table1[[#This Row],[Auton Scored High]]+Table1[[#This Row],[Auton Scored Low]]</f>
        <v>0</v>
      </c>
      <c r="K21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212">
        <v>0</v>
      </c>
      <c r="M212">
        <v>0</v>
      </c>
      <c r="N212">
        <v>0</v>
      </c>
      <c r="O212">
        <v>0</v>
      </c>
      <c r="P212">
        <v>0</v>
      </c>
      <c r="Q212">
        <v>0</v>
      </c>
      <c r="R212">
        <v>0</v>
      </c>
      <c r="S212">
        <v>0</v>
      </c>
      <c r="T212">
        <v>0</v>
      </c>
      <c r="U212">
        <v>0</v>
      </c>
      <c r="V212" s="8">
        <f>Table1[[#This Row],[Balls Scored From Trench]]+Table1[[#This Row],[Balls Scored from Mid]]+Table1[[#This Row],[Balls Scored From Alliance zone]]</f>
        <v>0</v>
      </c>
      <c r="W212" s="8">
        <f>Table1[[#This Row],[balls scored high]]+Table1[[#This Row],[balls scored low]]</f>
        <v>0</v>
      </c>
      <c r="X212" s="8">
        <f>Table1[[#This Row],[Control Panel Spun Time]]+Table1[[#This Row],[Control Panel Color Time]]</f>
        <v>0</v>
      </c>
      <c r="Y212" s="8">
        <f>Table1[[#This Row],[Control Panels Spun]]+Table1[[#This Row],[Control Panel Color]]</f>
        <v>0</v>
      </c>
      <c r="Z21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12">
        <v>0</v>
      </c>
      <c r="AB212">
        <v>0</v>
      </c>
      <c r="AC212">
        <v>0</v>
      </c>
      <c r="AD212">
        <v>0</v>
      </c>
      <c r="AE212">
        <v>1</v>
      </c>
      <c r="AF212">
        <v>1</v>
      </c>
      <c r="AG212">
        <v>1</v>
      </c>
      <c r="AI212" t="s">
        <v>179</v>
      </c>
      <c r="AJ212" t="s">
        <v>267</v>
      </c>
      <c r="AK212" s="17">
        <f>(Table1[[#This Row],[Climbed]]*weighting!$B$18)+(Table1[[#This Row],[Adjustable Climber]]*weighting!$B$19)+(Table1[[#This Row],[Lift other Robot]]*weighting!$B$20)+(Table1[[#This Row],[Balanced]]*weighting!$B$21)</f>
        <v>0</v>
      </c>
      <c r="AL212" s="8">
        <f>+Table1[[#This Row],[Endgame our score]]+Table1[[#This Row],[teleop our score]]+Table1[[#This Row],[auton our score]]</f>
        <v>1</v>
      </c>
      <c r="AM212" s="20">
        <f t="shared" si="9"/>
        <v>0</v>
      </c>
      <c r="AN212" s="20">
        <f t="shared" si="10"/>
        <v>1</v>
      </c>
      <c r="AO212" s="20">
        <f t="shared" si="11"/>
        <v>0</v>
      </c>
      <c r="AP212" s="20">
        <f>Table1[[#This Row],[balls scored]]+Table1[[#This Row],[auton balls scored]]</f>
        <v>0</v>
      </c>
      <c r="AQ212" s="20">
        <f>Table1[[#This Row],[balls scored high]]+Table1[[#This Row],[Auton Scored High]]</f>
        <v>0</v>
      </c>
      <c r="AR212" s="20">
        <f>Table1[[#This Row],[balls scored low]]+Table1[[#This Row],[Auton Scored Low]]</f>
        <v>0</v>
      </c>
      <c r="AS212" s="50">
        <f>IF(Table1[[#This Row],[Control Panel Spun Time]]&gt;0,1,0)</f>
        <v>0</v>
      </c>
      <c r="AT212" s="20">
        <f>IF(Table1[[#This Row],[Control Panel Color Time]]&gt;0,1,0)</f>
        <v>0</v>
      </c>
    </row>
    <row r="213" spans="1:46" s="2" customFormat="1" x14ac:dyDescent="0.25">
      <c r="A213">
        <v>6811</v>
      </c>
      <c r="B213">
        <v>2</v>
      </c>
      <c r="C213">
        <v>0</v>
      </c>
      <c r="D213">
        <v>0</v>
      </c>
      <c r="E213">
        <v>0</v>
      </c>
      <c r="F213">
        <v>0</v>
      </c>
      <c r="G213">
        <v>0</v>
      </c>
      <c r="H213">
        <v>1</v>
      </c>
      <c r="I213" s="8">
        <f>+Table1[[#This Row],[Auton ball picked up in our trench]]+Table1[[#This Row],[Auton Balls Picked Up in Mid]]+Table1[[#This Row],[Auton Balls Picked Up In Their Trench]]</f>
        <v>0</v>
      </c>
      <c r="J213" s="8">
        <f>+Table1[[#This Row],[Auton Scored High]]+Table1[[#This Row],[Auton Scored Low]]</f>
        <v>0</v>
      </c>
      <c r="K21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213">
        <v>0</v>
      </c>
      <c r="M213">
        <v>0</v>
      </c>
      <c r="N213">
        <v>0</v>
      </c>
      <c r="O213">
        <v>1</v>
      </c>
      <c r="P213">
        <v>0</v>
      </c>
      <c r="Q213">
        <v>0</v>
      </c>
      <c r="R213">
        <v>0</v>
      </c>
      <c r="S213">
        <v>0</v>
      </c>
      <c r="T213">
        <v>0</v>
      </c>
      <c r="U213">
        <v>2.5</v>
      </c>
      <c r="V213" s="8">
        <f>Table1[[#This Row],[Balls Scored From Trench]]+Table1[[#This Row],[Balls Scored from Mid]]+Table1[[#This Row],[Balls Scored From Alliance zone]]</f>
        <v>0</v>
      </c>
      <c r="W213" s="8">
        <f>Table1[[#This Row],[balls scored high]]+Table1[[#This Row],[balls scored low]]</f>
        <v>1</v>
      </c>
      <c r="X213" s="8">
        <f>Table1[[#This Row],[Control Panel Spun Time]]+Table1[[#This Row],[Control Panel Color Time]]</f>
        <v>0</v>
      </c>
      <c r="Y213" s="8">
        <f>Table1[[#This Row],[Control Panels Spun]]+Table1[[#This Row],[Control Panel Color]]</f>
        <v>0</v>
      </c>
      <c r="Z21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6</v>
      </c>
      <c r="AA213">
        <v>0</v>
      </c>
      <c r="AB213">
        <v>0</v>
      </c>
      <c r="AC213">
        <v>0</v>
      </c>
      <c r="AD213">
        <v>0</v>
      </c>
      <c r="AE213">
        <v>0</v>
      </c>
      <c r="AF213">
        <v>0</v>
      </c>
      <c r="AG213">
        <v>0</v>
      </c>
      <c r="AH213"/>
      <c r="AI213" t="s">
        <v>184</v>
      </c>
      <c r="AJ213" t="s">
        <v>268</v>
      </c>
      <c r="AK213" s="17">
        <f>(Table1[[#This Row],[Climbed]]*weighting!$B$18)+(Table1[[#This Row],[Adjustable Climber]]*weighting!$B$19)+(Table1[[#This Row],[Lift other Robot]]*weighting!$B$20)+(Table1[[#This Row],[Balanced]]*weighting!$B$21)</f>
        <v>0</v>
      </c>
      <c r="AL213" s="8">
        <f>+Table1[[#This Row],[Endgame our score]]+Table1[[#This Row],[teleop our score]]+Table1[[#This Row],[auton our score]]</f>
        <v>7</v>
      </c>
      <c r="AM213" s="20">
        <f t="shared" si="9"/>
        <v>0</v>
      </c>
      <c r="AN213" s="20">
        <f t="shared" si="10"/>
        <v>1</v>
      </c>
      <c r="AO213" s="20">
        <f t="shared" si="11"/>
        <v>0</v>
      </c>
      <c r="AP213" s="20">
        <f>Table1[[#This Row],[balls scored]]+Table1[[#This Row],[auton balls scored]]</f>
        <v>1</v>
      </c>
      <c r="AQ213" s="20">
        <f>Table1[[#This Row],[balls scored high]]+Table1[[#This Row],[Auton Scored High]]</f>
        <v>0</v>
      </c>
      <c r="AR213" s="20">
        <f>Table1[[#This Row],[balls scored low]]+Table1[[#This Row],[Auton Scored Low]]</f>
        <v>1</v>
      </c>
      <c r="AS213" s="50">
        <f>IF(Table1[[#This Row],[Control Panel Spun Time]]&gt;0,1,0)</f>
        <v>0</v>
      </c>
      <c r="AT213" s="20">
        <f>IF(Table1[[#This Row],[Control Panel Color Time]]&gt;0,1,0)</f>
        <v>0</v>
      </c>
    </row>
    <row r="214" spans="1:46" x14ac:dyDescent="0.25">
      <c r="A214">
        <v>6811</v>
      </c>
      <c r="B214">
        <v>1</v>
      </c>
      <c r="C214">
        <v>0</v>
      </c>
      <c r="D214">
        <v>0</v>
      </c>
      <c r="E214">
        <v>0</v>
      </c>
      <c r="F214">
        <v>0</v>
      </c>
      <c r="G214">
        <v>0</v>
      </c>
      <c r="H214">
        <v>1</v>
      </c>
      <c r="I214" s="8">
        <f>+Table1[[#This Row],[Auton ball picked up in our trench]]+Table1[[#This Row],[Auton Balls Picked Up in Mid]]+Table1[[#This Row],[Auton Balls Picked Up In Their Trench]]</f>
        <v>0</v>
      </c>
      <c r="J214" s="8">
        <f>+Table1[[#This Row],[Auton Scored High]]+Table1[[#This Row],[Auton Scored Low]]</f>
        <v>0</v>
      </c>
      <c r="K21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214">
        <v>0</v>
      </c>
      <c r="M214">
        <v>0</v>
      </c>
      <c r="N214">
        <v>0</v>
      </c>
      <c r="O214">
        <v>0</v>
      </c>
      <c r="P214">
        <v>0</v>
      </c>
      <c r="Q214">
        <v>0</v>
      </c>
      <c r="R214">
        <v>0</v>
      </c>
      <c r="S214">
        <v>0</v>
      </c>
      <c r="T214">
        <v>0</v>
      </c>
      <c r="U214">
        <v>0</v>
      </c>
      <c r="V214" s="8">
        <f>Table1[[#This Row],[Balls Scored From Trench]]+Table1[[#This Row],[Balls Scored from Mid]]+Table1[[#This Row],[Balls Scored From Alliance zone]]</f>
        <v>0</v>
      </c>
      <c r="W214" s="8">
        <f>Table1[[#This Row],[balls scored high]]+Table1[[#This Row],[balls scored low]]</f>
        <v>0</v>
      </c>
      <c r="X214" s="8">
        <f>Table1[[#This Row],[Control Panel Spun Time]]+Table1[[#This Row],[Control Panel Color Time]]</f>
        <v>0</v>
      </c>
      <c r="Y214" s="8">
        <f>Table1[[#This Row],[Control Panels Spun]]+Table1[[#This Row],[Control Panel Color]]</f>
        <v>0</v>
      </c>
      <c r="Z21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14">
        <v>0</v>
      </c>
      <c r="AB214">
        <v>0</v>
      </c>
      <c r="AC214">
        <v>0</v>
      </c>
      <c r="AD214">
        <v>0</v>
      </c>
      <c r="AE214">
        <v>1</v>
      </c>
      <c r="AF214">
        <v>1</v>
      </c>
      <c r="AG214">
        <v>0</v>
      </c>
      <c r="AI214" t="s">
        <v>43</v>
      </c>
      <c r="AJ214" t="s">
        <v>298</v>
      </c>
      <c r="AK214" s="17">
        <f>(Table1[[#This Row],[Climbed]]*weighting!$B$18)+(Table1[[#This Row],[Adjustable Climber]]*weighting!$B$19)+(Table1[[#This Row],[Lift other Robot]]*weighting!$B$20)+(Table1[[#This Row],[Balanced]]*weighting!$B$21)</f>
        <v>0</v>
      </c>
      <c r="AL214" s="8">
        <f>+Table1[[#This Row],[Endgame our score]]+Table1[[#This Row],[teleop our score]]+Table1[[#This Row],[auton our score]]</f>
        <v>1</v>
      </c>
      <c r="AM214" s="20">
        <f t="shared" si="9"/>
        <v>1</v>
      </c>
      <c r="AN214" s="20">
        <f t="shared" si="10"/>
        <v>0</v>
      </c>
      <c r="AO214" s="20">
        <f t="shared" si="11"/>
        <v>0</v>
      </c>
      <c r="AP214" s="20">
        <f>Table1[[#This Row],[balls scored]]+Table1[[#This Row],[auton balls scored]]</f>
        <v>0</v>
      </c>
      <c r="AQ214" s="20">
        <f>Table1[[#This Row],[balls scored high]]+Table1[[#This Row],[Auton Scored High]]</f>
        <v>0</v>
      </c>
      <c r="AR214" s="20">
        <f>Table1[[#This Row],[balls scored low]]+Table1[[#This Row],[Auton Scored Low]]</f>
        <v>0</v>
      </c>
      <c r="AS214" s="50">
        <f>IF(Table1[[#This Row],[Control Panel Spun Time]]&gt;0,1,0)</f>
        <v>0</v>
      </c>
      <c r="AT214" s="20">
        <f>IF(Table1[[#This Row],[Control Panel Color Time]]&gt;0,1,0)</f>
        <v>0</v>
      </c>
    </row>
    <row r="215" spans="1:46" s="2" customFormat="1" x14ac:dyDescent="0.25">
      <c r="A215">
        <v>6811</v>
      </c>
      <c r="B215">
        <v>1</v>
      </c>
      <c r="C215">
        <v>0</v>
      </c>
      <c r="D215">
        <v>0</v>
      </c>
      <c r="E215">
        <v>0</v>
      </c>
      <c r="F215">
        <v>0</v>
      </c>
      <c r="G215">
        <v>0</v>
      </c>
      <c r="H215">
        <v>1</v>
      </c>
      <c r="I215" s="8">
        <f>+Table1[[#This Row],[Auton ball picked up in our trench]]+Table1[[#This Row],[Auton Balls Picked Up in Mid]]+Table1[[#This Row],[Auton Balls Picked Up In Their Trench]]</f>
        <v>0</v>
      </c>
      <c r="J215" s="8">
        <f>+Table1[[#This Row],[Auton Scored High]]+Table1[[#This Row],[Auton Scored Low]]</f>
        <v>0</v>
      </c>
      <c r="K21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215">
        <v>0</v>
      </c>
      <c r="M215">
        <v>0</v>
      </c>
      <c r="N215">
        <v>0</v>
      </c>
      <c r="O215">
        <v>0</v>
      </c>
      <c r="P215">
        <v>0</v>
      </c>
      <c r="Q215">
        <v>0</v>
      </c>
      <c r="R215">
        <v>0</v>
      </c>
      <c r="S215">
        <v>0</v>
      </c>
      <c r="T215">
        <v>0</v>
      </c>
      <c r="U215">
        <v>0</v>
      </c>
      <c r="V215" s="8">
        <f>Table1[[#This Row],[Balls Scored From Trench]]+Table1[[#This Row],[Balls Scored from Mid]]+Table1[[#This Row],[Balls Scored From Alliance zone]]</f>
        <v>0</v>
      </c>
      <c r="W215" s="8">
        <f>Table1[[#This Row],[balls scored high]]+Table1[[#This Row],[balls scored low]]</f>
        <v>0</v>
      </c>
      <c r="X215" s="8">
        <f>Table1[[#This Row],[Control Panel Spun Time]]+Table1[[#This Row],[Control Panel Color Time]]</f>
        <v>0</v>
      </c>
      <c r="Y215" s="8">
        <f>Table1[[#This Row],[Control Panels Spun]]+Table1[[#This Row],[Control Panel Color]]</f>
        <v>0</v>
      </c>
      <c r="Z21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15">
        <v>0</v>
      </c>
      <c r="AB215">
        <v>0</v>
      </c>
      <c r="AC215">
        <v>0</v>
      </c>
      <c r="AD215">
        <v>0</v>
      </c>
      <c r="AE215">
        <v>0</v>
      </c>
      <c r="AF215">
        <v>0</v>
      </c>
      <c r="AG215">
        <v>0</v>
      </c>
      <c r="AH215"/>
      <c r="AI215" t="s">
        <v>43</v>
      </c>
      <c r="AJ215" t="s">
        <v>331</v>
      </c>
      <c r="AK215" s="17">
        <f>(Table1[[#This Row],[Climbed]]*weighting!$B$18)+(Table1[[#This Row],[Adjustable Climber]]*weighting!$B$19)+(Table1[[#This Row],[Lift other Robot]]*weighting!$B$20)+(Table1[[#This Row],[Balanced]]*weighting!$B$21)</f>
        <v>0</v>
      </c>
      <c r="AL215" s="8">
        <f>+Table1[[#This Row],[Endgame our score]]+Table1[[#This Row],[teleop our score]]+Table1[[#This Row],[auton our score]]</f>
        <v>1</v>
      </c>
      <c r="AM215" s="20">
        <f t="shared" si="9"/>
        <v>1</v>
      </c>
      <c r="AN215" s="20">
        <f t="shared" si="10"/>
        <v>0</v>
      </c>
      <c r="AO215" s="20">
        <f t="shared" si="11"/>
        <v>0</v>
      </c>
      <c r="AP215" s="20">
        <f>Table1[[#This Row],[balls scored]]+Table1[[#This Row],[auton balls scored]]</f>
        <v>0</v>
      </c>
      <c r="AQ215" s="20">
        <f>Table1[[#This Row],[balls scored high]]+Table1[[#This Row],[Auton Scored High]]</f>
        <v>0</v>
      </c>
      <c r="AR215" s="20">
        <f>Table1[[#This Row],[balls scored low]]+Table1[[#This Row],[Auton Scored Low]]</f>
        <v>0</v>
      </c>
      <c r="AS215" s="50">
        <f>IF(Table1[[#This Row],[Control Panel Spun Time]]&gt;0,1,0)</f>
        <v>0</v>
      </c>
      <c r="AT215" s="20">
        <f>IF(Table1[[#This Row],[Control Panel Color Time]]&gt;0,1,0)</f>
        <v>0</v>
      </c>
    </row>
    <row r="216" spans="1:46" x14ac:dyDescent="0.25">
      <c r="A216">
        <v>7153</v>
      </c>
      <c r="B216">
        <v>1</v>
      </c>
      <c r="C216">
        <v>0</v>
      </c>
      <c r="D216">
        <v>0</v>
      </c>
      <c r="E216">
        <v>0</v>
      </c>
      <c r="F216">
        <v>0</v>
      </c>
      <c r="G216">
        <v>0</v>
      </c>
      <c r="H216">
        <v>0</v>
      </c>
      <c r="I216" s="8">
        <f>+Table1[[#This Row],[Auton ball picked up in our trench]]+Table1[[#This Row],[Auton Balls Picked Up in Mid]]+Table1[[#This Row],[Auton Balls Picked Up In Their Trench]]</f>
        <v>0</v>
      </c>
      <c r="J216" s="8">
        <f>+Table1[[#This Row],[Auton Scored High]]+Table1[[#This Row],[Auton Scored Low]]</f>
        <v>0</v>
      </c>
      <c r="K21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16">
        <v>0</v>
      </c>
      <c r="M216">
        <v>0</v>
      </c>
      <c r="N216">
        <v>0</v>
      </c>
      <c r="O216">
        <v>0</v>
      </c>
      <c r="P216">
        <v>0</v>
      </c>
      <c r="Q216">
        <v>0</v>
      </c>
      <c r="R216">
        <v>0</v>
      </c>
      <c r="S216">
        <v>0</v>
      </c>
      <c r="T216">
        <v>0</v>
      </c>
      <c r="U216">
        <v>1</v>
      </c>
      <c r="V216" s="8">
        <f>Table1[[#This Row],[Balls Scored From Trench]]+Table1[[#This Row],[Balls Scored from Mid]]+Table1[[#This Row],[Balls Scored From Alliance zone]]</f>
        <v>0</v>
      </c>
      <c r="W216" s="8">
        <f>Table1[[#This Row],[balls scored high]]+Table1[[#This Row],[balls scored low]]</f>
        <v>0</v>
      </c>
      <c r="X216" s="8">
        <f>Table1[[#This Row],[Control Panel Spun Time]]+Table1[[#This Row],[Control Panel Color Time]]</f>
        <v>0</v>
      </c>
      <c r="Y216" s="8">
        <f>Table1[[#This Row],[Control Panels Spun]]+Table1[[#This Row],[Control Panel Color]]</f>
        <v>0</v>
      </c>
      <c r="Z21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2</v>
      </c>
      <c r="AA216">
        <v>0</v>
      </c>
      <c r="AB216">
        <v>0</v>
      </c>
      <c r="AC216">
        <v>0</v>
      </c>
      <c r="AD216">
        <v>0</v>
      </c>
      <c r="AE216">
        <v>0</v>
      </c>
      <c r="AF216">
        <v>0</v>
      </c>
      <c r="AG216">
        <v>0</v>
      </c>
      <c r="AI216" t="s">
        <v>184</v>
      </c>
      <c r="AJ216" t="s">
        <v>206</v>
      </c>
      <c r="AK216" s="17">
        <f>(Table1[[#This Row],[Climbed]]*weighting!$B$18)+(Table1[[#This Row],[Adjustable Climber]]*weighting!$B$19)+(Table1[[#This Row],[Lift other Robot]]*weighting!$B$20)+(Table1[[#This Row],[Balanced]]*weighting!$B$21)</f>
        <v>0</v>
      </c>
      <c r="AL216" s="8">
        <f>+Table1[[#This Row],[Endgame our score]]+Table1[[#This Row],[teleop our score]]+Table1[[#This Row],[auton our score]]</f>
        <v>2</v>
      </c>
      <c r="AM216" s="20">
        <f t="shared" si="9"/>
        <v>1</v>
      </c>
      <c r="AN216" s="20">
        <f t="shared" si="10"/>
        <v>0</v>
      </c>
      <c r="AO216" s="20">
        <f t="shared" si="11"/>
        <v>0</v>
      </c>
      <c r="AP216" s="20">
        <f>Table1[[#This Row],[balls scored]]+Table1[[#This Row],[auton balls scored]]</f>
        <v>0</v>
      </c>
      <c r="AQ216" s="20">
        <f>Table1[[#This Row],[balls scored high]]+Table1[[#This Row],[Auton Scored High]]</f>
        <v>0</v>
      </c>
      <c r="AR216" s="20">
        <f>Table1[[#This Row],[balls scored low]]+Table1[[#This Row],[Auton Scored Low]]</f>
        <v>0</v>
      </c>
      <c r="AS216" s="50">
        <f>IF(Table1[[#This Row],[Control Panel Spun Time]]&gt;0,1,0)</f>
        <v>0</v>
      </c>
      <c r="AT216" s="20">
        <f>IF(Table1[[#This Row],[Control Panel Color Time]]&gt;0,1,0)</f>
        <v>0</v>
      </c>
    </row>
    <row r="217" spans="1:46" s="2" customFormat="1" x14ac:dyDescent="0.25">
      <c r="A217">
        <v>7153</v>
      </c>
      <c r="B217">
        <v>1</v>
      </c>
      <c r="C217">
        <v>2</v>
      </c>
      <c r="D217">
        <v>0</v>
      </c>
      <c r="E217">
        <v>0</v>
      </c>
      <c r="F217">
        <v>0</v>
      </c>
      <c r="G217">
        <v>0</v>
      </c>
      <c r="H217">
        <v>0</v>
      </c>
      <c r="I217" s="8">
        <f>+Table1[[#This Row],[Auton ball picked up in our trench]]+Table1[[#This Row],[Auton Balls Picked Up in Mid]]+Table1[[#This Row],[Auton Balls Picked Up In Their Trench]]</f>
        <v>0</v>
      </c>
      <c r="J217" s="8">
        <f>+Table1[[#This Row],[Auton Scored High]]+Table1[[#This Row],[Auton Scored Low]]</f>
        <v>2</v>
      </c>
      <c r="K21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6</v>
      </c>
      <c r="L217">
        <v>0</v>
      </c>
      <c r="M217">
        <v>0</v>
      </c>
      <c r="N217">
        <v>0</v>
      </c>
      <c r="O217">
        <v>0</v>
      </c>
      <c r="P217">
        <v>0</v>
      </c>
      <c r="Q217">
        <v>0</v>
      </c>
      <c r="R217">
        <v>0</v>
      </c>
      <c r="S217">
        <v>0</v>
      </c>
      <c r="T217">
        <v>0</v>
      </c>
      <c r="U217">
        <v>0</v>
      </c>
      <c r="V217" s="8">
        <f>Table1[[#This Row],[Balls Scored From Trench]]+Table1[[#This Row],[Balls Scored from Mid]]+Table1[[#This Row],[Balls Scored From Alliance zone]]</f>
        <v>0</v>
      </c>
      <c r="W217" s="8">
        <f>Table1[[#This Row],[balls scored high]]+Table1[[#This Row],[balls scored low]]</f>
        <v>0</v>
      </c>
      <c r="X217" s="8">
        <f>Table1[[#This Row],[Control Panel Spun Time]]+Table1[[#This Row],[Control Panel Color Time]]</f>
        <v>0</v>
      </c>
      <c r="Y217" s="8">
        <f>Table1[[#This Row],[Control Panels Spun]]+Table1[[#This Row],[Control Panel Color]]</f>
        <v>0</v>
      </c>
      <c r="Z21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17">
        <v>0</v>
      </c>
      <c r="AB217">
        <v>0</v>
      </c>
      <c r="AC217">
        <v>0</v>
      </c>
      <c r="AD217">
        <v>0</v>
      </c>
      <c r="AE217">
        <v>0</v>
      </c>
      <c r="AF217">
        <v>0</v>
      </c>
      <c r="AG217">
        <v>0</v>
      </c>
      <c r="AH217"/>
      <c r="AI217" t="s">
        <v>174</v>
      </c>
      <c r="AJ217" t="s">
        <v>222</v>
      </c>
      <c r="AK217" s="17">
        <f>(Table1[[#This Row],[Climbed]]*weighting!$B$18)+(Table1[[#This Row],[Adjustable Climber]]*weighting!$B$19)+(Table1[[#This Row],[Lift other Robot]]*weighting!$B$20)+(Table1[[#This Row],[Balanced]]*weighting!$B$21)</f>
        <v>0</v>
      </c>
      <c r="AL217" s="8">
        <f>+Table1[[#This Row],[Endgame our score]]+Table1[[#This Row],[teleop our score]]+Table1[[#This Row],[auton our score]]</f>
        <v>6</v>
      </c>
      <c r="AM217" s="20">
        <f t="shared" si="9"/>
        <v>1</v>
      </c>
      <c r="AN217" s="20">
        <f t="shared" si="10"/>
        <v>0</v>
      </c>
      <c r="AO217" s="20">
        <f t="shared" si="11"/>
        <v>0</v>
      </c>
      <c r="AP217" s="20">
        <f>Table1[[#This Row],[balls scored]]+Table1[[#This Row],[auton balls scored]]</f>
        <v>2</v>
      </c>
      <c r="AQ217" s="20">
        <f>Table1[[#This Row],[balls scored high]]+Table1[[#This Row],[Auton Scored High]]</f>
        <v>2</v>
      </c>
      <c r="AR217" s="20">
        <f>Table1[[#This Row],[balls scored low]]+Table1[[#This Row],[Auton Scored Low]]</f>
        <v>0</v>
      </c>
      <c r="AS217" s="50">
        <f>IF(Table1[[#This Row],[Control Panel Spun Time]]&gt;0,1,0)</f>
        <v>0</v>
      </c>
      <c r="AT217" s="20">
        <f>IF(Table1[[#This Row],[Control Panel Color Time]]&gt;0,1,0)</f>
        <v>0</v>
      </c>
    </row>
    <row r="218" spans="1:46" x14ac:dyDescent="0.25">
      <c r="A218">
        <v>7153</v>
      </c>
      <c r="B218">
        <v>2</v>
      </c>
      <c r="C218">
        <v>0</v>
      </c>
      <c r="D218">
        <v>0</v>
      </c>
      <c r="E218">
        <v>0</v>
      </c>
      <c r="F218">
        <v>0</v>
      </c>
      <c r="G218">
        <v>0</v>
      </c>
      <c r="H218">
        <v>0</v>
      </c>
      <c r="I218" s="8">
        <f>+Table1[[#This Row],[Auton ball picked up in our trench]]+Table1[[#This Row],[Auton Balls Picked Up in Mid]]+Table1[[#This Row],[Auton Balls Picked Up In Their Trench]]</f>
        <v>0</v>
      </c>
      <c r="J218" s="8">
        <f>+Table1[[#This Row],[Auton Scored High]]+Table1[[#This Row],[Auton Scored Low]]</f>
        <v>0</v>
      </c>
      <c r="K21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18">
        <v>0</v>
      </c>
      <c r="M218">
        <v>0</v>
      </c>
      <c r="N218">
        <v>0</v>
      </c>
      <c r="O218">
        <v>0</v>
      </c>
      <c r="P218">
        <v>0</v>
      </c>
      <c r="Q218">
        <v>0</v>
      </c>
      <c r="R218">
        <v>0</v>
      </c>
      <c r="S218">
        <v>0</v>
      </c>
      <c r="T218">
        <v>0</v>
      </c>
      <c r="U218">
        <v>0</v>
      </c>
      <c r="V218" s="8">
        <f>Table1[[#This Row],[Balls Scored From Trench]]+Table1[[#This Row],[Balls Scored from Mid]]+Table1[[#This Row],[Balls Scored From Alliance zone]]</f>
        <v>0</v>
      </c>
      <c r="W218" s="8">
        <f>Table1[[#This Row],[balls scored high]]+Table1[[#This Row],[balls scored low]]</f>
        <v>0</v>
      </c>
      <c r="X218" s="8">
        <f>Table1[[#This Row],[Control Panel Spun Time]]+Table1[[#This Row],[Control Panel Color Time]]</f>
        <v>0</v>
      </c>
      <c r="Y218" s="8">
        <f>Table1[[#This Row],[Control Panels Spun]]+Table1[[#This Row],[Control Panel Color]]</f>
        <v>0</v>
      </c>
      <c r="Z21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18">
        <v>0</v>
      </c>
      <c r="AB218">
        <v>0</v>
      </c>
      <c r="AC218">
        <v>0</v>
      </c>
      <c r="AD218">
        <v>0</v>
      </c>
      <c r="AE218">
        <v>0</v>
      </c>
      <c r="AF218">
        <v>0</v>
      </c>
      <c r="AG218">
        <v>0</v>
      </c>
      <c r="AI218" t="s">
        <v>179</v>
      </c>
      <c r="AJ218" t="s">
        <v>235</v>
      </c>
      <c r="AK218" s="17">
        <f>(Table1[[#This Row],[Climbed]]*weighting!$B$18)+(Table1[[#This Row],[Adjustable Climber]]*weighting!$B$19)+(Table1[[#This Row],[Lift other Robot]]*weighting!$B$20)+(Table1[[#This Row],[Balanced]]*weighting!$B$21)</f>
        <v>0</v>
      </c>
      <c r="AL218" s="8">
        <f>+Table1[[#This Row],[Endgame our score]]+Table1[[#This Row],[teleop our score]]+Table1[[#This Row],[auton our score]]</f>
        <v>0</v>
      </c>
      <c r="AM218" s="20">
        <f t="shared" si="9"/>
        <v>0</v>
      </c>
      <c r="AN218" s="20">
        <f t="shared" si="10"/>
        <v>1</v>
      </c>
      <c r="AO218" s="20">
        <f t="shared" si="11"/>
        <v>0</v>
      </c>
      <c r="AP218" s="20">
        <f>Table1[[#This Row],[balls scored]]+Table1[[#This Row],[auton balls scored]]</f>
        <v>0</v>
      </c>
      <c r="AQ218" s="20">
        <f>Table1[[#This Row],[balls scored high]]+Table1[[#This Row],[Auton Scored High]]</f>
        <v>0</v>
      </c>
      <c r="AR218" s="20">
        <f>Table1[[#This Row],[balls scored low]]+Table1[[#This Row],[Auton Scored Low]]</f>
        <v>0</v>
      </c>
      <c r="AS218" s="50">
        <f>IF(Table1[[#This Row],[Control Panel Spun Time]]&gt;0,1,0)</f>
        <v>0</v>
      </c>
      <c r="AT218" s="20">
        <f>IF(Table1[[#This Row],[Control Panel Color Time]]&gt;0,1,0)</f>
        <v>0</v>
      </c>
    </row>
    <row r="219" spans="1:46" s="2" customFormat="1" x14ac:dyDescent="0.25">
      <c r="A219">
        <v>7153</v>
      </c>
      <c r="B219">
        <v>1</v>
      </c>
      <c r="C219">
        <v>0</v>
      </c>
      <c r="D219">
        <v>0</v>
      </c>
      <c r="E219">
        <v>0</v>
      </c>
      <c r="F219">
        <v>0</v>
      </c>
      <c r="G219">
        <v>0</v>
      </c>
      <c r="H219">
        <v>0</v>
      </c>
      <c r="I219" s="8">
        <f>+Table1[[#This Row],[Auton ball picked up in our trench]]+Table1[[#This Row],[Auton Balls Picked Up in Mid]]+Table1[[#This Row],[Auton Balls Picked Up In Their Trench]]</f>
        <v>0</v>
      </c>
      <c r="J219" s="8">
        <f>+Table1[[#This Row],[Auton Scored High]]+Table1[[#This Row],[Auton Scored Low]]</f>
        <v>0</v>
      </c>
      <c r="K21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19">
        <v>0</v>
      </c>
      <c r="M219">
        <v>0</v>
      </c>
      <c r="N219">
        <v>0</v>
      </c>
      <c r="O219">
        <v>0</v>
      </c>
      <c r="P219">
        <v>0</v>
      </c>
      <c r="Q219">
        <v>0</v>
      </c>
      <c r="R219">
        <v>0</v>
      </c>
      <c r="S219">
        <v>0</v>
      </c>
      <c r="T219">
        <v>0</v>
      </c>
      <c r="U219">
        <v>0</v>
      </c>
      <c r="V219" s="8">
        <f>Table1[[#This Row],[Balls Scored From Trench]]+Table1[[#This Row],[Balls Scored from Mid]]+Table1[[#This Row],[Balls Scored From Alliance zone]]</f>
        <v>0</v>
      </c>
      <c r="W219" s="8">
        <f>Table1[[#This Row],[balls scored high]]+Table1[[#This Row],[balls scored low]]</f>
        <v>0</v>
      </c>
      <c r="X219" s="8">
        <f>Table1[[#This Row],[Control Panel Spun Time]]+Table1[[#This Row],[Control Panel Color Time]]</f>
        <v>0</v>
      </c>
      <c r="Y219" s="8">
        <f>Table1[[#This Row],[Control Panels Spun]]+Table1[[#This Row],[Control Panel Color]]</f>
        <v>0</v>
      </c>
      <c r="Z21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19">
        <v>0</v>
      </c>
      <c r="AB219">
        <v>0</v>
      </c>
      <c r="AC219">
        <v>0</v>
      </c>
      <c r="AD219">
        <v>0</v>
      </c>
      <c r="AE219">
        <v>0</v>
      </c>
      <c r="AF219">
        <v>0</v>
      </c>
      <c r="AG219">
        <v>0</v>
      </c>
      <c r="AH219"/>
      <c r="AI219" t="s">
        <v>179</v>
      </c>
      <c r="AJ219" t="s">
        <v>269</v>
      </c>
      <c r="AK219" s="17">
        <f>(Table1[[#This Row],[Climbed]]*weighting!$B$18)+(Table1[[#This Row],[Adjustable Climber]]*weighting!$B$19)+(Table1[[#This Row],[Lift other Robot]]*weighting!$B$20)+(Table1[[#This Row],[Balanced]]*weighting!$B$21)</f>
        <v>0</v>
      </c>
      <c r="AL219" s="8">
        <f>+Table1[[#This Row],[Endgame our score]]+Table1[[#This Row],[teleop our score]]+Table1[[#This Row],[auton our score]]</f>
        <v>0</v>
      </c>
      <c r="AM219" s="20">
        <f t="shared" si="9"/>
        <v>1</v>
      </c>
      <c r="AN219" s="20">
        <f t="shared" si="10"/>
        <v>0</v>
      </c>
      <c r="AO219" s="20">
        <f t="shared" si="11"/>
        <v>0</v>
      </c>
      <c r="AP219" s="20">
        <f>Table1[[#This Row],[balls scored]]+Table1[[#This Row],[auton balls scored]]</f>
        <v>0</v>
      </c>
      <c r="AQ219" s="20">
        <f>Table1[[#This Row],[balls scored high]]+Table1[[#This Row],[Auton Scored High]]</f>
        <v>0</v>
      </c>
      <c r="AR219" s="20">
        <f>Table1[[#This Row],[balls scored low]]+Table1[[#This Row],[Auton Scored Low]]</f>
        <v>0</v>
      </c>
      <c r="AS219" s="50">
        <f>IF(Table1[[#This Row],[Control Panel Spun Time]]&gt;0,1,0)</f>
        <v>0</v>
      </c>
      <c r="AT219" s="20">
        <f>IF(Table1[[#This Row],[Control Panel Color Time]]&gt;0,1,0)</f>
        <v>0</v>
      </c>
    </row>
    <row r="220" spans="1:46" x14ac:dyDescent="0.25">
      <c r="A220">
        <v>7153</v>
      </c>
      <c r="B220">
        <v>1</v>
      </c>
      <c r="C220">
        <v>0</v>
      </c>
      <c r="D220">
        <v>0</v>
      </c>
      <c r="E220">
        <v>0</v>
      </c>
      <c r="F220">
        <v>0</v>
      </c>
      <c r="G220">
        <v>0</v>
      </c>
      <c r="H220">
        <v>0</v>
      </c>
      <c r="I220" s="8">
        <f>+Table1[[#This Row],[Auton ball picked up in our trench]]+Table1[[#This Row],[Auton Balls Picked Up in Mid]]+Table1[[#This Row],[Auton Balls Picked Up In Their Trench]]</f>
        <v>0</v>
      </c>
      <c r="J220" s="8">
        <f>+Table1[[#This Row],[Auton Scored High]]+Table1[[#This Row],[Auton Scored Low]]</f>
        <v>0</v>
      </c>
      <c r="K22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20">
        <v>0</v>
      </c>
      <c r="M220">
        <v>0</v>
      </c>
      <c r="N220">
        <v>1</v>
      </c>
      <c r="O220">
        <v>0</v>
      </c>
      <c r="P220">
        <v>0</v>
      </c>
      <c r="Q220">
        <v>0</v>
      </c>
      <c r="R220">
        <v>0</v>
      </c>
      <c r="S220">
        <v>0</v>
      </c>
      <c r="T220">
        <v>0</v>
      </c>
      <c r="U220">
        <v>0</v>
      </c>
      <c r="V220" s="8">
        <f>Table1[[#This Row],[Balls Scored From Trench]]+Table1[[#This Row],[Balls Scored from Mid]]+Table1[[#This Row],[Balls Scored From Alliance zone]]</f>
        <v>1</v>
      </c>
      <c r="W220" s="8">
        <f>Table1[[#This Row],[balls scored high]]+Table1[[#This Row],[balls scored low]]</f>
        <v>1</v>
      </c>
      <c r="X220" s="8">
        <f>Table1[[#This Row],[Control Panel Spun Time]]+Table1[[#This Row],[Control Panel Color Time]]</f>
        <v>0</v>
      </c>
      <c r="Y220" s="8">
        <f>Table1[[#This Row],[Control Panels Spun]]+Table1[[#This Row],[Control Panel Color]]</f>
        <v>0</v>
      </c>
      <c r="Z22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v>
      </c>
      <c r="AA220">
        <v>0</v>
      </c>
      <c r="AB220">
        <v>0</v>
      </c>
      <c r="AC220">
        <v>0</v>
      </c>
      <c r="AD220">
        <v>0</v>
      </c>
      <c r="AE220">
        <v>0</v>
      </c>
      <c r="AF220">
        <v>0</v>
      </c>
      <c r="AG220">
        <v>0</v>
      </c>
      <c r="AI220" t="s">
        <v>176</v>
      </c>
      <c r="AJ220" t="s">
        <v>299</v>
      </c>
      <c r="AK220" s="17">
        <f>(Table1[[#This Row],[Climbed]]*weighting!$B$18)+(Table1[[#This Row],[Adjustable Climber]]*weighting!$B$19)+(Table1[[#This Row],[Lift other Robot]]*weighting!$B$20)+(Table1[[#This Row],[Balanced]]*weighting!$B$21)</f>
        <v>0</v>
      </c>
      <c r="AL220" s="8">
        <f>+Table1[[#This Row],[Endgame our score]]+Table1[[#This Row],[teleop our score]]+Table1[[#This Row],[auton our score]]</f>
        <v>1</v>
      </c>
      <c r="AM220" s="20">
        <f t="shared" si="9"/>
        <v>1</v>
      </c>
      <c r="AN220" s="20">
        <f t="shared" si="10"/>
        <v>0</v>
      </c>
      <c r="AO220" s="20">
        <f t="shared" si="11"/>
        <v>0</v>
      </c>
      <c r="AP220" s="20">
        <f>Table1[[#This Row],[balls scored]]+Table1[[#This Row],[auton balls scored]]</f>
        <v>1</v>
      </c>
      <c r="AQ220" s="20">
        <f>Table1[[#This Row],[balls scored high]]+Table1[[#This Row],[Auton Scored High]]</f>
        <v>1</v>
      </c>
      <c r="AR220" s="20">
        <f>Table1[[#This Row],[balls scored low]]+Table1[[#This Row],[Auton Scored Low]]</f>
        <v>0</v>
      </c>
      <c r="AS220" s="50">
        <f>IF(Table1[[#This Row],[Control Panel Spun Time]]&gt;0,1,0)</f>
        <v>0</v>
      </c>
      <c r="AT220" s="20">
        <f>IF(Table1[[#This Row],[Control Panel Color Time]]&gt;0,1,0)</f>
        <v>0</v>
      </c>
    </row>
    <row r="221" spans="1:46" s="2" customFormat="1" x14ac:dyDescent="0.25">
      <c r="A221">
        <v>7153</v>
      </c>
      <c r="B221">
        <v>1</v>
      </c>
      <c r="C221">
        <v>0</v>
      </c>
      <c r="D221">
        <v>0</v>
      </c>
      <c r="E221">
        <v>0</v>
      </c>
      <c r="F221">
        <v>0</v>
      </c>
      <c r="G221">
        <v>0</v>
      </c>
      <c r="H221">
        <v>1</v>
      </c>
      <c r="I221" s="8">
        <f>+Table1[[#This Row],[Auton ball picked up in our trench]]+Table1[[#This Row],[Auton Balls Picked Up in Mid]]+Table1[[#This Row],[Auton Balls Picked Up In Their Trench]]</f>
        <v>0</v>
      </c>
      <c r="J221" s="8">
        <f>+Table1[[#This Row],[Auton Scored High]]+Table1[[#This Row],[Auton Scored Low]]</f>
        <v>0</v>
      </c>
      <c r="K22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221">
        <v>0</v>
      </c>
      <c r="M221">
        <v>0</v>
      </c>
      <c r="N221">
        <v>0</v>
      </c>
      <c r="O221">
        <v>0</v>
      </c>
      <c r="P221">
        <v>0</v>
      </c>
      <c r="Q221">
        <v>0</v>
      </c>
      <c r="R221">
        <v>0</v>
      </c>
      <c r="S221">
        <v>0</v>
      </c>
      <c r="T221">
        <v>0</v>
      </c>
      <c r="U221">
        <v>0</v>
      </c>
      <c r="V221" s="8">
        <f>Table1[[#This Row],[Balls Scored From Trench]]+Table1[[#This Row],[Balls Scored from Mid]]+Table1[[#This Row],[Balls Scored From Alliance zone]]</f>
        <v>0</v>
      </c>
      <c r="W221" s="8">
        <f>Table1[[#This Row],[balls scored high]]+Table1[[#This Row],[balls scored low]]</f>
        <v>0</v>
      </c>
      <c r="X221" s="8">
        <f>Table1[[#This Row],[Control Panel Spun Time]]+Table1[[#This Row],[Control Panel Color Time]]</f>
        <v>0</v>
      </c>
      <c r="Y221" s="8">
        <f>Table1[[#This Row],[Control Panels Spun]]+Table1[[#This Row],[Control Panel Color]]</f>
        <v>0</v>
      </c>
      <c r="Z22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21">
        <v>0</v>
      </c>
      <c r="AB221">
        <v>0</v>
      </c>
      <c r="AC221">
        <v>0</v>
      </c>
      <c r="AD221">
        <v>0</v>
      </c>
      <c r="AE221">
        <v>0</v>
      </c>
      <c r="AF221">
        <v>0</v>
      </c>
      <c r="AG221">
        <v>0</v>
      </c>
      <c r="AH221"/>
      <c r="AI221" t="s">
        <v>43</v>
      </c>
      <c r="AJ221" t="s">
        <v>332</v>
      </c>
      <c r="AK221" s="17">
        <f>(Table1[[#This Row],[Climbed]]*weighting!$B$18)+(Table1[[#This Row],[Adjustable Climber]]*weighting!$B$19)+(Table1[[#This Row],[Lift other Robot]]*weighting!$B$20)+(Table1[[#This Row],[Balanced]]*weighting!$B$21)</f>
        <v>0</v>
      </c>
      <c r="AL221" s="8">
        <f>+Table1[[#This Row],[Endgame our score]]+Table1[[#This Row],[teleop our score]]+Table1[[#This Row],[auton our score]]</f>
        <v>1</v>
      </c>
      <c r="AM221" s="20">
        <f t="shared" si="9"/>
        <v>1</v>
      </c>
      <c r="AN221" s="20">
        <f t="shared" si="10"/>
        <v>0</v>
      </c>
      <c r="AO221" s="20">
        <f t="shared" si="11"/>
        <v>0</v>
      </c>
      <c r="AP221" s="20">
        <f>Table1[[#This Row],[balls scored]]+Table1[[#This Row],[auton balls scored]]</f>
        <v>0</v>
      </c>
      <c r="AQ221" s="20">
        <f>Table1[[#This Row],[balls scored high]]+Table1[[#This Row],[Auton Scored High]]</f>
        <v>0</v>
      </c>
      <c r="AR221" s="20">
        <f>Table1[[#This Row],[balls scored low]]+Table1[[#This Row],[Auton Scored Low]]</f>
        <v>0</v>
      </c>
      <c r="AS221" s="50">
        <f>IF(Table1[[#This Row],[Control Panel Spun Time]]&gt;0,1,0)</f>
        <v>0</v>
      </c>
      <c r="AT221" s="20">
        <f>IF(Table1[[#This Row],[Control Panel Color Time]]&gt;0,1,0)</f>
        <v>0</v>
      </c>
    </row>
    <row r="222" spans="1:46" x14ac:dyDescent="0.25">
      <c r="A222">
        <v>7760</v>
      </c>
      <c r="B222">
        <v>1</v>
      </c>
      <c r="C222">
        <v>0</v>
      </c>
      <c r="D222">
        <v>0</v>
      </c>
      <c r="E222">
        <v>0</v>
      </c>
      <c r="F222">
        <v>0</v>
      </c>
      <c r="G222">
        <v>0</v>
      </c>
      <c r="H222">
        <v>1</v>
      </c>
      <c r="I222" s="8">
        <f>+Table1[[#This Row],[Auton ball picked up in our trench]]+Table1[[#This Row],[Auton Balls Picked Up in Mid]]+Table1[[#This Row],[Auton Balls Picked Up In Their Trench]]</f>
        <v>0</v>
      </c>
      <c r="J222" s="8">
        <f>+Table1[[#This Row],[Auton Scored High]]+Table1[[#This Row],[Auton Scored Low]]</f>
        <v>0</v>
      </c>
      <c r="K22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222">
        <v>0</v>
      </c>
      <c r="M222">
        <v>0</v>
      </c>
      <c r="N222">
        <v>0</v>
      </c>
      <c r="O222">
        <v>2</v>
      </c>
      <c r="P222">
        <v>0</v>
      </c>
      <c r="Q222">
        <v>0</v>
      </c>
      <c r="R222">
        <v>0</v>
      </c>
      <c r="S222">
        <v>0</v>
      </c>
      <c r="T222">
        <v>0</v>
      </c>
      <c r="U222">
        <v>0</v>
      </c>
      <c r="V222" s="8">
        <f>Table1[[#This Row],[Balls Scored From Trench]]+Table1[[#This Row],[Balls Scored from Mid]]+Table1[[#This Row],[Balls Scored From Alliance zone]]</f>
        <v>0</v>
      </c>
      <c r="W222" s="8">
        <f>Table1[[#This Row],[balls scored high]]+Table1[[#This Row],[balls scored low]]</f>
        <v>2</v>
      </c>
      <c r="X222" s="8">
        <f>Table1[[#This Row],[Control Panel Spun Time]]+Table1[[#This Row],[Control Panel Color Time]]</f>
        <v>0</v>
      </c>
      <c r="Y222" s="8">
        <f>Table1[[#This Row],[Control Panels Spun]]+Table1[[#This Row],[Control Panel Color]]</f>
        <v>0</v>
      </c>
      <c r="Z22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2</v>
      </c>
      <c r="AA222">
        <v>0</v>
      </c>
      <c r="AB222">
        <v>0</v>
      </c>
      <c r="AC222">
        <v>0</v>
      </c>
      <c r="AD222">
        <v>0</v>
      </c>
      <c r="AE222">
        <v>0</v>
      </c>
      <c r="AF222">
        <v>0</v>
      </c>
      <c r="AG222">
        <v>0</v>
      </c>
      <c r="AI222" t="s">
        <v>174</v>
      </c>
      <c r="AJ222" t="s">
        <v>207</v>
      </c>
      <c r="AK222" s="17">
        <f>(Table1[[#This Row],[Climbed]]*weighting!$B$18)+(Table1[[#This Row],[Adjustable Climber]]*weighting!$B$19)+(Table1[[#This Row],[Lift other Robot]]*weighting!$B$20)+(Table1[[#This Row],[Balanced]]*weighting!$B$21)</f>
        <v>0</v>
      </c>
      <c r="AL222" s="8">
        <f>+Table1[[#This Row],[Endgame our score]]+Table1[[#This Row],[teleop our score]]+Table1[[#This Row],[auton our score]]</f>
        <v>3</v>
      </c>
      <c r="AM222" s="20">
        <f t="shared" si="9"/>
        <v>1</v>
      </c>
      <c r="AN222" s="20">
        <f t="shared" si="10"/>
        <v>0</v>
      </c>
      <c r="AO222" s="20">
        <f t="shared" si="11"/>
        <v>0</v>
      </c>
      <c r="AP222" s="20">
        <f>Table1[[#This Row],[balls scored]]+Table1[[#This Row],[auton balls scored]]</f>
        <v>2</v>
      </c>
      <c r="AQ222" s="20">
        <f>Table1[[#This Row],[balls scored high]]+Table1[[#This Row],[Auton Scored High]]</f>
        <v>0</v>
      </c>
      <c r="AR222" s="20">
        <f>Table1[[#This Row],[balls scored low]]+Table1[[#This Row],[Auton Scored Low]]</f>
        <v>2</v>
      </c>
      <c r="AS222" s="50">
        <f>IF(Table1[[#This Row],[Control Panel Spun Time]]&gt;0,1,0)</f>
        <v>0</v>
      </c>
      <c r="AT222" s="20">
        <f>IF(Table1[[#This Row],[Control Panel Color Time]]&gt;0,1,0)</f>
        <v>0</v>
      </c>
    </row>
    <row r="223" spans="1:46" s="2" customFormat="1" x14ac:dyDescent="0.25">
      <c r="A223">
        <v>7760</v>
      </c>
      <c r="B223">
        <v>1</v>
      </c>
      <c r="C223">
        <v>0</v>
      </c>
      <c r="D223">
        <v>0</v>
      </c>
      <c r="E223">
        <v>0</v>
      </c>
      <c r="F223">
        <v>0</v>
      </c>
      <c r="G223">
        <v>0</v>
      </c>
      <c r="H223">
        <v>1</v>
      </c>
      <c r="I223" s="8">
        <f>+Table1[[#This Row],[Auton ball picked up in our trench]]+Table1[[#This Row],[Auton Balls Picked Up in Mid]]+Table1[[#This Row],[Auton Balls Picked Up In Their Trench]]</f>
        <v>0</v>
      </c>
      <c r="J223" s="8">
        <f>+Table1[[#This Row],[Auton Scored High]]+Table1[[#This Row],[Auton Scored Low]]</f>
        <v>0</v>
      </c>
      <c r="K22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223">
        <v>0</v>
      </c>
      <c r="M223">
        <v>0</v>
      </c>
      <c r="N223">
        <v>0</v>
      </c>
      <c r="O223">
        <v>2</v>
      </c>
      <c r="P223">
        <v>0</v>
      </c>
      <c r="Q223">
        <v>0</v>
      </c>
      <c r="R223">
        <v>0</v>
      </c>
      <c r="S223">
        <v>0</v>
      </c>
      <c r="T223">
        <v>0</v>
      </c>
      <c r="U223">
        <v>0</v>
      </c>
      <c r="V223" s="8">
        <f>Table1[[#This Row],[Balls Scored From Trench]]+Table1[[#This Row],[Balls Scored from Mid]]+Table1[[#This Row],[Balls Scored From Alliance zone]]</f>
        <v>0</v>
      </c>
      <c r="W223" s="8">
        <f>Table1[[#This Row],[balls scored high]]+Table1[[#This Row],[balls scored low]]</f>
        <v>2</v>
      </c>
      <c r="X223" s="8">
        <f>Table1[[#This Row],[Control Panel Spun Time]]+Table1[[#This Row],[Control Panel Color Time]]</f>
        <v>0</v>
      </c>
      <c r="Y223" s="8">
        <f>Table1[[#This Row],[Control Panels Spun]]+Table1[[#This Row],[Control Panel Color]]</f>
        <v>0</v>
      </c>
      <c r="Z22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2</v>
      </c>
      <c r="AA223">
        <v>0</v>
      </c>
      <c r="AB223">
        <v>0</v>
      </c>
      <c r="AC223">
        <v>0</v>
      </c>
      <c r="AD223">
        <v>0</v>
      </c>
      <c r="AE223">
        <v>0</v>
      </c>
      <c r="AF223">
        <v>0</v>
      </c>
      <c r="AG223">
        <v>0</v>
      </c>
      <c r="AH223"/>
      <c r="AI223" t="s">
        <v>174</v>
      </c>
      <c r="AJ223" t="s">
        <v>223</v>
      </c>
      <c r="AK223" s="17">
        <f>(Table1[[#This Row],[Climbed]]*weighting!$B$18)+(Table1[[#This Row],[Adjustable Climber]]*weighting!$B$19)+(Table1[[#This Row],[Lift other Robot]]*weighting!$B$20)+(Table1[[#This Row],[Balanced]]*weighting!$B$21)</f>
        <v>0</v>
      </c>
      <c r="AL223" s="8">
        <f>+Table1[[#This Row],[Endgame our score]]+Table1[[#This Row],[teleop our score]]+Table1[[#This Row],[auton our score]]</f>
        <v>3</v>
      </c>
      <c r="AM223" s="20">
        <f t="shared" si="9"/>
        <v>1</v>
      </c>
      <c r="AN223" s="20">
        <f t="shared" si="10"/>
        <v>0</v>
      </c>
      <c r="AO223" s="20">
        <f t="shared" si="11"/>
        <v>0</v>
      </c>
      <c r="AP223" s="20">
        <f>Table1[[#This Row],[balls scored]]+Table1[[#This Row],[auton balls scored]]</f>
        <v>2</v>
      </c>
      <c r="AQ223" s="20">
        <f>Table1[[#This Row],[balls scored high]]+Table1[[#This Row],[Auton Scored High]]</f>
        <v>0</v>
      </c>
      <c r="AR223" s="20">
        <f>Table1[[#This Row],[balls scored low]]+Table1[[#This Row],[Auton Scored Low]]</f>
        <v>2</v>
      </c>
      <c r="AS223" s="50">
        <f>IF(Table1[[#This Row],[Control Panel Spun Time]]&gt;0,1,0)</f>
        <v>0</v>
      </c>
      <c r="AT223" s="20">
        <f>IF(Table1[[#This Row],[Control Panel Color Time]]&gt;0,1,0)</f>
        <v>0</v>
      </c>
    </row>
    <row r="224" spans="1:46" x14ac:dyDescent="0.25">
      <c r="A224">
        <v>7760</v>
      </c>
      <c r="B224">
        <v>1</v>
      </c>
      <c r="C224">
        <v>1</v>
      </c>
      <c r="D224">
        <v>0</v>
      </c>
      <c r="E224">
        <v>0</v>
      </c>
      <c r="F224">
        <v>0</v>
      </c>
      <c r="G224">
        <v>0</v>
      </c>
      <c r="H224">
        <v>1</v>
      </c>
      <c r="I224" s="8">
        <f>+Table1[[#This Row],[Auton ball picked up in our trench]]+Table1[[#This Row],[Auton Balls Picked Up in Mid]]+Table1[[#This Row],[Auton Balls Picked Up In Their Trench]]</f>
        <v>0</v>
      </c>
      <c r="J224" s="8">
        <f>+Table1[[#This Row],[Auton Scored High]]+Table1[[#This Row],[Auton Scored Low]]</f>
        <v>1</v>
      </c>
      <c r="K22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4</v>
      </c>
      <c r="L224">
        <v>0</v>
      </c>
      <c r="M224">
        <v>0</v>
      </c>
      <c r="N224">
        <v>0</v>
      </c>
      <c r="O224">
        <v>3</v>
      </c>
      <c r="P224">
        <v>0</v>
      </c>
      <c r="Q224">
        <v>0</v>
      </c>
      <c r="R224">
        <v>0</v>
      </c>
      <c r="S224">
        <v>0</v>
      </c>
      <c r="T224">
        <v>0</v>
      </c>
      <c r="U224">
        <v>0</v>
      </c>
      <c r="V224" s="8">
        <f>Table1[[#This Row],[Balls Scored From Trench]]+Table1[[#This Row],[Balls Scored from Mid]]+Table1[[#This Row],[Balls Scored From Alliance zone]]</f>
        <v>0</v>
      </c>
      <c r="W224" s="8">
        <f>Table1[[#This Row],[balls scored high]]+Table1[[#This Row],[balls scored low]]</f>
        <v>3</v>
      </c>
      <c r="X224" s="8">
        <f>Table1[[#This Row],[Control Panel Spun Time]]+Table1[[#This Row],[Control Panel Color Time]]</f>
        <v>0</v>
      </c>
      <c r="Y224" s="8">
        <f>Table1[[#This Row],[Control Panels Spun]]+Table1[[#This Row],[Control Panel Color]]</f>
        <v>0</v>
      </c>
      <c r="Z22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3</v>
      </c>
      <c r="AA224">
        <v>0</v>
      </c>
      <c r="AB224">
        <v>0</v>
      </c>
      <c r="AC224">
        <v>0</v>
      </c>
      <c r="AD224">
        <v>0</v>
      </c>
      <c r="AE224">
        <v>0</v>
      </c>
      <c r="AF224">
        <v>0</v>
      </c>
      <c r="AG224">
        <v>0</v>
      </c>
      <c r="AI224" t="s">
        <v>43</v>
      </c>
      <c r="AK224" s="17">
        <f>(Table1[[#This Row],[Climbed]]*weighting!$B$18)+(Table1[[#This Row],[Adjustable Climber]]*weighting!$B$19)+(Table1[[#This Row],[Lift other Robot]]*weighting!$B$20)+(Table1[[#This Row],[Balanced]]*weighting!$B$21)</f>
        <v>0</v>
      </c>
      <c r="AL224" s="8">
        <f>+Table1[[#This Row],[Endgame our score]]+Table1[[#This Row],[teleop our score]]+Table1[[#This Row],[auton our score]]</f>
        <v>7</v>
      </c>
      <c r="AM224" s="20">
        <f t="shared" si="9"/>
        <v>1</v>
      </c>
      <c r="AN224" s="20">
        <f t="shared" si="10"/>
        <v>0</v>
      </c>
      <c r="AO224" s="20">
        <f t="shared" si="11"/>
        <v>0</v>
      </c>
      <c r="AP224" s="20">
        <f>Table1[[#This Row],[balls scored]]+Table1[[#This Row],[auton balls scored]]</f>
        <v>4</v>
      </c>
      <c r="AQ224" s="20">
        <f>Table1[[#This Row],[balls scored high]]+Table1[[#This Row],[Auton Scored High]]</f>
        <v>1</v>
      </c>
      <c r="AR224" s="20">
        <f>Table1[[#This Row],[balls scored low]]+Table1[[#This Row],[Auton Scored Low]]</f>
        <v>3</v>
      </c>
      <c r="AS224" s="50">
        <f>IF(Table1[[#This Row],[Control Panel Spun Time]]&gt;0,1,0)</f>
        <v>0</v>
      </c>
      <c r="AT224" s="20">
        <f>IF(Table1[[#This Row],[Control Panel Color Time]]&gt;0,1,0)</f>
        <v>0</v>
      </c>
    </row>
    <row r="225" spans="1:46" s="2" customFormat="1" x14ac:dyDescent="0.25">
      <c r="A225">
        <v>7760</v>
      </c>
      <c r="B225">
        <v>1</v>
      </c>
      <c r="C225">
        <v>0</v>
      </c>
      <c r="D225">
        <v>0</v>
      </c>
      <c r="E225">
        <v>0</v>
      </c>
      <c r="F225">
        <v>0</v>
      </c>
      <c r="G225">
        <v>0</v>
      </c>
      <c r="H225">
        <v>1</v>
      </c>
      <c r="I225" s="8">
        <f>+Table1[[#This Row],[Auton ball picked up in our trench]]+Table1[[#This Row],[Auton Balls Picked Up in Mid]]+Table1[[#This Row],[Auton Balls Picked Up In Their Trench]]</f>
        <v>0</v>
      </c>
      <c r="J225" s="8">
        <f>+Table1[[#This Row],[Auton Scored High]]+Table1[[#This Row],[Auton Scored Low]]</f>
        <v>0</v>
      </c>
      <c r="K22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225">
        <v>0</v>
      </c>
      <c r="M225">
        <v>0</v>
      </c>
      <c r="N225">
        <v>0</v>
      </c>
      <c r="O225">
        <v>7</v>
      </c>
      <c r="P225">
        <v>0</v>
      </c>
      <c r="Q225">
        <v>0</v>
      </c>
      <c r="R225">
        <v>0</v>
      </c>
      <c r="S225">
        <v>0</v>
      </c>
      <c r="T225">
        <v>0</v>
      </c>
      <c r="U225">
        <v>0</v>
      </c>
      <c r="V225" s="8">
        <f>Table1[[#This Row],[Balls Scored From Trench]]+Table1[[#This Row],[Balls Scored from Mid]]+Table1[[#This Row],[Balls Scored From Alliance zone]]</f>
        <v>0</v>
      </c>
      <c r="W225" s="8">
        <f>Table1[[#This Row],[balls scored high]]+Table1[[#This Row],[balls scored low]]</f>
        <v>7</v>
      </c>
      <c r="X225" s="8">
        <f>Table1[[#This Row],[Control Panel Spun Time]]+Table1[[#This Row],[Control Panel Color Time]]</f>
        <v>0</v>
      </c>
      <c r="Y225" s="8">
        <f>Table1[[#This Row],[Control Panels Spun]]+Table1[[#This Row],[Control Panel Color]]</f>
        <v>0</v>
      </c>
      <c r="Z22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7</v>
      </c>
      <c r="AA225">
        <v>0</v>
      </c>
      <c r="AB225">
        <v>0</v>
      </c>
      <c r="AC225">
        <v>0</v>
      </c>
      <c r="AD225">
        <v>0</v>
      </c>
      <c r="AE225">
        <v>0</v>
      </c>
      <c r="AF225">
        <v>0</v>
      </c>
      <c r="AG225">
        <v>0</v>
      </c>
      <c r="AH225"/>
      <c r="AI225" t="s">
        <v>174</v>
      </c>
      <c r="AJ225"/>
      <c r="AK225" s="17">
        <f>(Table1[[#This Row],[Climbed]]*weighting!$B$18)+(Table1[[#This Row],[Adjustable Climber]]*weighting!$B$19)+(Table1[[#This Row],[Lift other Robot]]*weighting!$B$20)+(Table1[[#This Row],[Balanced]]*weighting!$B$21)</f>
        <v>0</v>
      </c>
      <c r="AL225" s="8">
        <f>+Table1[[#This Row],[Endgame our score]]+Table1[[#This Row],[teleop our score]]+Table1[[#This Row],[auton our score]]</f>
        <v>8</v>
      </c>
      <c r="AM225" s="20">
        <f t="shared" si="9"/>
        <v>1</v>
      </c>
      <c r="AN225" s="20">
        <f t="shared" si="10"/>
        <v>0</v>
      </c>
      <c r="AO225" s="20">
        <f t="shared" si="11"/>
        <v>0</v>
      </c>
      <c r="AP225" s="20">
        <f>Table1[[#This Row],[balls scored]]+Table1[[#This Row],[auton balls scored]]</f>
        <v>7</v>
      </c>
      <c r="AQ225" s="20">
        <f>Table1[[#This Row],[balls scored high]]+Table1[[#This Row],[Auton Scored High]]</f>
        <v>0</v>
      </c>
      <c r="AR225" s="20">
        <f>Table1[[#This Row],[balls scored low]]+Table1[[#This Row],[Auton Scored Low]]</f>
        <v>7</v>
      </c>
      <c r="AS225" s="50">
        <f>IF(Table1[[#This Row],[Control Panel Spun Time]]&gt;0,1,0)</f>
        <v>0</v>
      </c>
      <c r="AT225" s="20">
        <f>IF(Table1[[#This Row],[Control Panel Color Time]]&gt;0,1,0)</f>
        <v>0</v>
      </c>
    </row>
    <row r="226" spans="1:46" x14ac:dyDescent="0.25">
      <c r="A226">
        <v>7760</v>
      </c>
      <c r="B226">
        <v>1</v>
      </c>
      <c r="C226">
        <v>0</v>
      </c>
      <c r="D226">
        <v>0</v>
      </c>
      <c r="E226">
        <v>0</v>
      </c>
      <c r="F226">
        <v>0</v>
      </c>
      <c r="G226">
        <v>0</v>
      </c>
      <c r="H226">
        <v>1</v>
      </c>
      <c r="I226" s="8">
        <f>+Table1[[#This Row],[Auton ball picked up in our trench]]+Table1[[#This Row],[Auton Balls Picked Up in Mid]]+Table1[[#This Row],[Auton Balls Picked Up In Their Trench]]</f>
        <v>0</v>
      </c>
      <c r="J226" s="8">
        <f>+Table1[[#This Row],[Auton Scored High]]+Table1[[#This Row],[Auton Scored Low]]</f>
        <v>0</v>
      </c>
      <c r="K22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226">
        <v>0</v>
      </c>
      <c r="M226">
        <v>0</v>
      </c>
      <c r="N226">
        <v>0</v>
      </c>
      <c r="O226">
        <v>1</v>
      </c>
      <c r="P226">
        <v>0</v>
      </c>
      <c r="Q226">
        <v>0</v>
      </c>
      <c r="R226">
        <v>0</v>
      </c>
      <c r="S226">
        <v>0</v>
      </c>
      <c r="T226">
        <v>0</v>
      </c>
      <c r="U226">
        <v>0</v>
      </c>
      <c r="V226" s="8">
        <f>Table1[[#This Row],[Balls Scored From Trench]]+Table1[[#This Row],[Balls Scored from Mid]]+Table1[[#This Row],[Balls Scored From Alliance zone]]</f>
        <v>0</v>
      </c>
      <c r="W226" s="8">
        <f>Table1[[#This Row],[balls scored high]]+Table1[[#This Row],[balls scored low]]</f>
        <v>1</v>
      </c>
      <c r="X226" s="8">
        <f>Table1[[#This Row],[Control Panel Spun Time]]+Table1[[#This Row],[Control Panel Color Time]]</f>
        <v>0</v>
      </c>
      <c r="Y226" s="8">
        <f>Table1[[#This Row],[Control Panels Spun]]+Table1[[#This Row],[Control Panel Color]]</f>
        <v>0</v>
      </c>
      <c r="Z22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v>
      </c>
      <c r="AA226">
        <v>0</v>
      </c>
      <c r="AB226">
        <v>0</v>
      </c>
      <c r="AC226">
        <v>0</v>
      </c>
      <c r="AD226">
        <v>0</v>
      </c>
      <c r="AE226">
        <v>0</v>
      </c>
      <c r="AF226">
        <v>0</v>
      </c>
      <c r="AG226">
        <v>0</v>
      </c>
      <c r="AI226" t="s">
        <v>176</v>
      </c>
      <c r="AJ226" t="s">
        <v>333</v>
      </c>
      <c r="AK226" s="17">
        <f>(Table1[[#This Row],[Climbed]]*weighting!$B$18)+(Table1[[#This Row],[Adjustable Climber]]*weighting!$B$19)+(Table1[[#This Row],[Lift other Robot]]*weighting!$B$20)+(Table1[[#This Row],[Balanced]]*weighting!$B$21)</f>
        <v>0</v>
      </c>
      <c r="AL226" s="8">
        <f>+Table1[[#This Row],[Endgame our score]]+Table1[[#This Row],[teleop our score]]+Table1[[#This Row],[auton our score]]</f>
        <v>2</v>
      </c>
      <c r="AM226" s="20">
        <f t="shared" si="9"/>
        <v>1</v>
      </c>
      <c r="AN226" s="20">
        <f t="shared" si="10"/>
        <v>0</v>
      </c>
      <c r="AO226" s="20">
        <f t="shared" si="11"/>
        <v>0</v>
      </c>
      <c r="AP226" s="20">
        <f>Table1[[#This Row],[balls scored]]+Table1[[#This Row],[auton balls scored]]</f>
        <v>1</v>
      </c>
      <c r="AQ226" s="20">
        <f>Table1[[#This Row],[balls scored high]]+Table1[[#This Row],[Auton Scored High]]</f>
        <v>0</v>
      </c>
      <c r="AR226" s="20">
        <f>Table1[[#This Row],[balls scored low]]+Table1[[#This Row],[Auton Scored Low]]</f>
        <v>1</v>
      </c>
      <c r="AS226" s="50">
        <f>IF(Table1[[#This Row],[Control Panel Spun Time]]&gt;0,1,0)</f>
        <v>0</v>
      </c>
      <c r="AT226" s="20">
        <f>IF(Table1[[#This Row],[Control Panel Color Time]]&gt;0,1,0)</f>
        <v>0</v>
      </c>
    </row>
    <row r="227" spans="1:46" s="2" customFormat="1" x14ac:dyDescent="0.25">
      <c r="A227">
        <v>7760</v>
      </c>
      <c r="B227">
        <v>1</v>
      </c>
      <c r="C227">
        <v>0</v>
      </c>
      <c r="D227">
        <v>0</v>
      </c>
      <c r="E227">
        <v>0</v>
      </c>
      <c r="F227">
        <v>0</v>
      </c>
      <c r="G227">
        <v>0</v>
      </c>
      <c r="H227">
        <v>1</v>
      </c>
      <c r="I227" s="8">
        <f>+Table1[[#This Row],[Auton ball picked up in our trench]]+Table1[[#This Row],[Auton Balls Picked Up in Mid]]+Table1[[#This Row],[Auton Balls Picked Up In Their Trench]]</f>
        <v>0</v>
      </c>
      <c r="J227" s="8">
        <f>+Table1[[#This Row],[Auton Scored High]]+Table1[[#This Row],[Auton Scored Low]]</f>
        <v>0</v>
      </c>
      <c r="K22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227">
        <v>0</v>
      </c>
      <c r="M227">
        <v>0</v>
      </c>
      <c r="N227">
        <v>0</v>
      </c>
      <c r="O227">
        <v>0</v>
      </c>
      <c r="P227">
        <v>0</v>
      </c>
      <c r="Q227">
        <v>0</v>
      </c>
      <c r="R227">
        <v>0</v>
      </c>
      <c r="S227">
        <v>0</v>
      </c>
      <c r="T227">
        <v>0</v>
      </c>
      <c r="U227">
        <v>0</v>
      </c>
      <c r="V227" s="8">
        <f>Table1[[#This Row],[Balls Scored From Trench]]+Table1[[#This Row],[Balls Scored from Mid]]+Table1[[#This Row],[Balls Scored From Alliance zone]]</f>
        <v>0</v>
      </c>
      <c r="W227" s="8">
        <f>Table1[[#This Row],[balls scored high]]+Table1[[#This Row],[balls scored low]]</f>
        <v>0</v>
      </c>
      <c r="X227" s="8">
        <f>Table1[[#This Row],[Control Panel Spun Time]]+Table1[[#This Row],[Control Panel Color Time]]</f>
        <v>0</v>
      </c>
      <c r="Y227" s="8">
        <f>Table1[[#This Row],[Control Panels Spun]]+Table1[[#This Row],[Control Panel Color]]</f>
        <v>0</v>
      </c>
      <c r="Z22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27">
        <v>1</v>
      </c>
      <c r="AB227">
        <v>0</v>
      </c>
      <c r="AC227">
        <v>0</v>
      </c>
      <c r="AD227">
        <v>0</v>
      </c>
      <c r="AE227">
        <v>0</v>
      </c>
      <c r="AF227">
        <v>1</v>
      </c>
      <c r="AG227">
        <v>1</v>
      </c>
      <c r="AH227"/>
      <c r="AI227" t="s">
        <v>184</v>
      </c>
      <c r="AJ227" t="s">
        <v>334</v>
      </c>
      <c r="AK227" s="17">
        <f>(Table1[[#This Row],[Climbed]]*weighting!$B$18)+(Table1[[#This Row],[Adjustable Climber]]*weighting!$B$19)+(Table1[[#This Row],[Lift other Robot]]*weighting!$B$20)+(Table1[[#This Row],[Balanced]]*weighting!$B$21)</f>
        <v>25</v>
      </c>
      <c r="AL227" s="8">
        <f>+Table1[[#This Row],[Endgame our score]]+Table1[[#This Row],[teleop our score]]+Table1[[#This Row],[auton our score]]</f>
        <v>26</v>
      </c>
      <c r="AM227" s="20">
        <f t="shared" si="9"/>
        <v>1</v>
      </c>
      <c r="AN227" s="20">
        <f t="shared" si="10"/>
        <v>0</v>
      </c>
      <c r="AO227" s="20">
        <f t="shared" si="11"/>
        <v>0</v>
      </c>
      <c r="AP227" s="20">
        <f>Table1[[#This Row],[balls scored]]+Table1[[#This Row],[auton balls scored]]</f>
        <v>0</v>
      </c>
      <c r="AQ227" s="20">
        <f>Table1[[#This Row],[balls scored high]]+Table1[[#This Row],[Auton Scored High]]</f>
        <v>0</v>
      </c>
      <c r="AR227" s="20">
        <f>Table1[[#This Row],[balls scored low]]+Table1[[#This Row],[Auton Scored Low]]</f>
        <v>0</v>
      </c>
      <c r="AS227" s="50">
        <f>IF(Table1[[#This Row],[Control Panel Spun Time]]&gt;0,1,0)</f>
        <v>0</v>
      </c>
      <c r="AT227" s="20">
        <f>IF(Table1[[#This Row],[Control Panel Color Time]]&gt;0,1,0)</f>
        <v>0</v>
      </c>
    </row>
    <row r="228" spans="1:46" x14ac:dyDescent="0.25">
      <c r="A228">
        <v>8013</v>
      </c>
      <c r="B228">
        <v>1</v>
      </c>
      <c r="C228">
        <v>0</v>
      </c>
      <c r="D228">
        <v>0</v>
      </c>
      <c r="E228">
        <v>0</v>
      </c>
      <c r="F228">
        <v>0</v>
      </c>
      <c r="G228">
        <v>0</v>
      </c>
      <c r="H228">
        <v>1</v>
      </c>
      <c r="I228" s="8">
        <f>+Table1[[#This Row],[Auton ball picked up in our trench]]+Table1[[#This Row],[Auton Balls Picked Up in Mid]]+Table1[[#This Row],[Auton Balls Picked Up In Their Trench]]</f>
        <v>0</v>
      </c>
      <c r="J228" s="8">
        <f>+Table1[[#This Row],[Auton Scored High]]+Table1[[#This Row],[Auton Scored Low]]</f>
        <v>0</v>
      </c>
      <c r="K22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228">
        <v>0</v>
      </c>
      <c r="M228">
        <v>0</v>
      </c>
      <c r="N228">
        <v>0</v>
      </c>
      <c r="O228">
        <v>1</v>
      </c>
      <c r="P228">
        <v>0</v>
      </c>
      <c r="Q228">
        <v>0</v>
      </c>
      <c r="R228">
        <v>0</v>
      </c>
      <c r="S228">
        <v>0</v>
      </c>
      <c r="T228">
        <v>0</v>
      </c>
      <c r="U228">
        <v>0</v>
      </c>
      <c r="V228" s="8">
        <f>Table1[[#This Row],[Balls Scored From Trench]]+Table1[[#This Row],[Balls Scored from Mid]]+Table1[[#This Row],[Balls Scored From Alliance zone]]</f>
        <v>0</v>
      </c>
      <c r="W228" s="8">
        <f>Table1[[#This Row],[balls scored high]]+Table1[[#This Row],[balls scored low]]</f>
        <v>1</v>
      </c>
      <c r="X228" s="8">
        <f>Table1[[#This Row],[Control Panel Spun Time]]+Table1[[#This Row],[Control Panel Color Time]]</f>
        <v>0</v>
      </c>
      <c r="Y228" s="8">
        <f>Table1[[#This Row],[Control Panels Spun]]+Table1[[#This Row],[Control Panel Color]]</f>
        <v>0</v>
      </c>
      <c r="Z22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1</v>
      </c>
      <c r="AA228">
        <v>0</v>
      </c>
      <c r="AB228">
        <v>0</v>
      </c>
      <c r="AC228">
        <v>0</v>
      </c>
      <c r="AD228">
        <v>0</v>
      </c>
      <c r="AE228">
        <v>0</v>
      </c>
      <c r="AF228">
        <v>0</v>
      </c>
      <c r="AG228">
        <v>0</v>
      </c>
      <c r="AI228" t="s">
        <v>179</v>
      </c>
      <c r="AJ228" t="s">
        <v>208</v>
      </c>
      <c r="AK228" s="17">
        <f>(Table1[[#This Row],[Climbed]]*weighting!$B$18)+(Table1[[#This Row],[Adjustable Climber]]*weighting!$B$19)+(Table1[[#This Row],[Lift other Robot]]*weighting!$B$20)+(Table1[[#This Row],[Balanced]]*weighting!$B$21)</f>
        <v>0</v>
      </c>
      <c r="AL228" s="8">
        <f>+Table1[[#This Row],[Endgame our score]]+Table1[[#This Row],[teleop our score]]+Table1[[#This Row],[auton our score]]</f>
        <v>2</v>
      </c>
      <c r="AM228" s="20">
        <f t="shared" si="9"/>
        <v>1</v>
      </c>
      <c r="AN228" s="20">
        <f t="shared" si="10"/>
        <v>0</v>
      </c>
      <c r="AO228" s="20">
        <f t="shared" si="11"/>
        <v>0</v>
      </c>
      <c r="AP228" s="20">
        <f>Table1[[#This Row],[balls scored]]+Table1[[#This Row],[auton balls scored]]</f>
        <v>1</v>
      </c>
      <c r="AQ228" s="20">
        <f>Table1[[#This Row],[balls scored high]]+Table1[[#This Row],[Auton Scored High]]</f>
        <v>0</v>
      </c>
      <c r="AR228" s="20">
        <f>Table1[[#This Row],[balls scored low]]+Table1[[#This Row],[Auton Scored Low]]</f>
        <v>1</v>
      </c>
      <c r="AS228" s="50">
        <f>IF(Table1[[#This Row],[Control Panel Spun Time]]&gt;0,1,0)</f>
        <v>0</v>
      </c>
      <c r="AT228" s="20">
        <f>IF(Table1[[#This Row],[Control Panel Color Time]]&gt;0,1,0)</f>
        <v>0</v>
      </c>
    </row>
    <row r="229" spans="1:46" s="2" customFormat="1" x14ac:dyDescent="0.25">
      <c r="A229">
        <v>8013</v>
      </c>
      <c r="B229">
        <v>1</v>
      </c>
      <c r="C229">
        <v>0</v>
      </c>
      <c r="D229">
        <v>0</v>
      </c>
      <c r="E229">
        <v>0</v>
      </c>
      <c r="F229">
        <v>0</v>
      </c>
      <c r="G229">
        <v>0</v>
      </c>
      <c r="H229">
        <v>1</v>
      </c>
      <c r="I229" s="8">
        <f>+Table1[[#This Row],[Auton ball picked up in our trench]]+Table1[[#This Row],[Auton Balls Picked Up in Mid]]+Table1[[#This Row],[Auton Balls Picked Up In Their Trench]]</f>
        <v>0</v>
      </c>
      <c r="J229" s="8">
        <f>+Table1[[#This Row],[Auton Scored High]]+Table1[[#This Row],[Auton Scored Low]]</f>
        <v>0</v>
      </c>
      <c r="K22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229">
        <v>0</v>
      </c>
      <c r="M229">
        <v>0</v>
      </c>
      <c r="N229">
        <v>0</v>
      </c>
      <c r="O229">
        <v>8</v>
      </c>
      <c r="P229">
        <v>0</v>
      </c>
      <c r="Q229">
        <v>0</v>
      </c>
      <c r="R229">
        <v>0</v>
      </c>
      <c r="S229">
        <v>0</v>
      </c>
      <c r="T229">
        <v>0</v>
      </c>
      <c r="U229">
        <v>0</v>
      </c>
      <c r="V229" s="8">
        <f>Table1[[#This Row],[Balls Scored From Trench]]+Table1[[#This Row],[Balls Scored from Mid]]+Table1[[#This Row],[Balls Scored From Alliance zone]]</f>
        <v>0</v>
      </c>
      <c r="W229" s="8">
        <f>Table1[[#This Row],[balls scored high]]+Table1[[#This Row],[balls scored low]]</f>
        <v>8</v>
      </c>
      <c r="X229" s="8">
        <f>Table1[[#This Row],[Control Panel Spun Time]]+Table1[[#This Row],[Control Panel Color Time]]</f>
        <v>0</v>
      </c>
      <c r="Y229" s="8">
        <f>Table1[[#This Row],[Control Panels Spun]]+Table1[[#This Row],[Control Panel Color]]</f>
        <v>0</v>
      </c>
      <c r="Z22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8</v>
      </c>
      <c r="AA229">
        <v>0</v>
      </c>
      <c r="AB229">
        <v>0</v>
      </c>
      <c r="AC229">
        <v>0</v>
      </c>
      <c r="AD229">
        <v>0</v>
      </c>
      <c r="AE229">
        <v>0</v>
      </c>
      <c r="AF229">
        <v>0</v>
      </c>
      <c r="AG229">
        <v>0</v>
      </c>
      <c r="AH229"/>
      <c r="AI229" t="s">
        <v>43</v>
      </c>
      <c r="AJ229" t="s">
        <v>224</v>
      </c>
      <c r="AK229" s="17">
        <f>(Table1[[#This Row],[Climbed]]*weighting!$B$18)+(Table1[[#This Row],[Adjustable Climber]]*weighting!$B$19)+(Table1[[#This Row],[Lift other Robot]]*weighting!$B$20)+(Table1[[#This Row],[Balanced]]*weighting!$B$21)</f>
        <v>0</v>
      </c>
      <c r="AL229" s="8">
        <f>+Table1[[#This Row],[Endgame our score]]+Table1[[#This Row],[teleop our score]]+Table1[[#This Row],[auton our score]]</f>
        <v>9</v>
      </c>
      <c r="AM229" s="20">
        <f t="shared" si="9"/>
        <v>1</v>
      </c>
      <c r="AN229" s="20">
        <f t="shared" si="10"/>
        <v>0</v>
      </c>
      <c r="AO229" s="20">
        <f t="shared" si="11"/>
        <v>0</v>
      </c>
      <c r="AP229" s="20">
        <f>Table1[[#This Row],[balls scored]]+Table1[[#This Row],[auton balls scored]]</f>
        <v>8</v>
      </c>
      <c r="AQ229" s="20">
        <f>Table1[[#This Row],[balls scored high]]+Table1[[#This Row],[Auton Scored High]]</f>
        <v>0</v>
      </c>
      <c r="AR229" s="20">
        <f>Table1[[#This Row],[balls scored low]]+Table1[[#This Row],[Auton Scored Low]]</f>
        <v>8</v>
      </c>
      <c r="AS229" s="50">
        <f>IF(Table1[[#This Row],[Control Panel Spun Time]]&gt;0,1,0)</f>
        <v>0</v>
      </c>
      <c r="AT229" s="20">
        <f>IF(Table1[[#This Row],[Control Panel Color Time]]&gt;0,1,0)</f>
        <v>0</v>
      </c>
    </row>
    <row r="230" spans="1:46" x14ac:dyDescent="0.25">
      <c r="A230">
        <v>8013</v>
      </c>
      <c r="B230">
        <v>1</v>
      </c>
      <c r="C230">
        <v>0</v>
      </c>
      <c r="D230">
        <v>0</v>
      </c>
      <c r="E230">
        <v>0</v>
      </c>
      <c r="F230">
        <v>0</v>
      </c>
      <c r="G230">
        <v>0</v>
      </c>
      <c r="H230">
        <v>1</v>
      </c>
      <c r="I230" s="8">
        <f>+Table1[[#This Row],[Auton ball picked up in our trench]]+Table1[[#This Row],[Auton Balls Picked Up in Mid]]+Table1[[#This Row],[Auton Balls Picked Up In Their Trench]]</f>
        <v>0</v>
      </c>
      <c r="J230" s="8">
        <f>+Table1[[#This Row],[Auton Scored High]]+Table1[[#This Row],[Auton Scored Low]]</f>
        <v>0</v>
      </c>
      <c r="K23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230">
        <v>0</v>
      </c>
      <c r="M230">
        <v>0</v>
      </c>
      <c r="N230">
        <v>0</v>
      </c>
      <c r="O230">
        <v>6</v>
      </c>
      <c r="P230">
        <v>0</v>
      </c>
      <c r="Q230">
        <v>0</v>
      </c>
      <c r="R230">
        <v>0</v>
      </c>
      <c r="S230">
        <v>0</v>
      </c>
      <c r="T230">
        <v>0</v>
      </c>
      <c r="U230">
        <v>0</v>
      </c>
      <c r="V230" s="8">
        <f>Table1[[#This Row],[Balls Scored From Trench]]+Table1[[#This Row],[Balls Scored from Mid]]+Table1[[#This Row],[Balls Scored From Alliance zone]]</f>
        <v>0</v>
      </c>
      <c r="W230" s="8">
        <f>Table1[[#This Row],[balls scored high]]+Table1[[#This Row],[balls scored low]]</f>
        <v>6</v>
      </c>
      <c r="X230" s="8">
        <f>Table1[[#This Row],[Control Panel Spun Time]]+Table1[[#This Row],[Control Panel Color Time]]</f>
        <v>0</v>
      </c>
      <c r="Y230" s="8">
        <f>Table1[[#This Row],[Control Panels Spun]]+Table1[[#This Row],[Control Panel Color]]</f>
        <v>0</v>
      </c>
      <c r="Z23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6</v>
      </c>
      <c r="AA230">
        <v>0</v>
      </c>
      <c r="AB230">
        <v>0</v>
      </c>
      <c r="AC230">
        <v>0</v>
      </c>
      <c r="AD230">
        <v>0</v>
      </c>
      <c r="AE230">
        <v>0</v>
      </c>
      <c r="AF230">
        <v>0</v>
      </c>
      <c r="AG230">
        <v>0</v>
      </c>
      <c r="AI230" t="s">
        <v>184</v>
      </c>
      <c r="AJ230" t="s">
        <v>270</v>
      </c>
      <c r="AK230" s="17">
        <f>(Table1[[#This Row],[Climbed]]*weighting!$B$18)+(Table1[[#This Row],[Adjustable Climber]]*weighting!$B$19)+(Table1[[#This Row],[Lift other Robot]]*weighting!$B$20)+(Table1[[#This Row],[Balanced]]*weighting!$B$21)</f>
        <v>0</v>
      </c>
      <c r="AL230" s="8">
        <f>+Table1[[#This Row],[Endgame our score]]+Table1[[#This Row],[teleop our score]]+Table1[[#This Row],[auton our score]]</f>
        <v>7</v>
      </c>
      <c r="AM230" s="20">
        <f t="shared" si="9"/>
        <v>1</v>
      </c>
      <c r="AN230" s="20">
        <f t="shared" si="10"/>
        <v>0</v>
      </c>
      <c r="AO230" s="20">
        <f t="shared" si="11"/>
        <v>0</v>
      </c>
      <c r="AP230" s="20">
        <f>Table1[[#This Row],[balls scored]]+Table1[[#This Row],[auton balls scored]]</f>
        <v>6</v>
      </c>
      <c r="AQ230" s="20">
        <f>Table1[[#This Row],[balls scored high]]+Table1[[#This Row],[Auton Scored High]]</f>
        <v>0</v>
      </c>
      <c r="AR230" s="20">
        <f>Table1[[#This Row],[balls scored low]]+Table1[[#This Row],[Auton Scored Low]]</f>
        <v>6</v>
      </c>
      <c r="AS230" s="50">
        <f>IF(Table1[[#This Row],[Control Panel Spun Time]]&gt;0,1,0)</f>
        <v>0</v>
      </c>
      <c r="AT230" s="20">
        <f>IF(Table1[[#This Row],[Control Panel Color Time]]&gt;0,1,0)</f>
        <v>0</v>
      </c>
    </row>
    <row r="231" spans="1:46" s="2" customFormat="1" x14ac:dyDescent="0.25">
      <c r="A231">
        <v>8013</v>
      </c>
      <c r="B231">
        <v>2</v>
      </c>
      <c r="C231">
        <v>0</v>
      </c>
      <c r="D231">
        <v>0</v>
      </c>
      <c r="E231">
        <v>0</v>
      </c>
      <c r="F231">
        <v>0</v>
      </c>
      <c r="G231">
        <v>0</v>
      </c>
      <c r="H231">
        <v>1</v>
      </c>
      <c r="I231" s="8">
        <f>+Table1[[#This Row],[Auton ball picked up in our trench]]+Table1[[#This Row],[Auton Balls Picked Up in Mid]]+Table1[[#This Row],[Auton Balls Picked Up In Their Trench]]</f>
        <v>0</v>
      </c>
      <c r="J231" s="8">
        <f>+Table1[[#This Row],[Auton Scored High]]+Table1[[#This Row],[Auton Scored Low]]</f>
        <v>0</v>
      </c>
      <c r="K23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231">
        <v>0</v>
      </c>
      <c r="M231">
        <v>0</v>
      </c>
      <c r="N231">
        <v>0</v>
      </c>
      <c r="O231">
        <v>3</v>
      </c>
      <c r="P231">
        <v>0</v>
      </c>
      <c r="Q231">
        <v>0</v>
      </c>
      <c r="R231">
        <v>0</v>
      </c>
      <c r="S231">
        <v>0</v>
      </c>
      <c r="T231">
        <v>0</v>
      </c>
      <c r="U231">
        <v>0</v>
      </c>
      <c r="V231" s="8">
        <f>Table1[[#This Row],[Balls Scored From Trench]]+Table1[[#This Row],[Balls Scored from Mid]]+Table1[[#This Row],[Balls Scored From Alliance zone]]</f>
        <v>0</v>
      </c>
      <c r="W231" s="8">
        <f>Table1[[#This Row],[balls scored high]]+Table1[[#This Row],[balls scored low]]</f>
        <v>3</v>
      </c>
      <c r="X231" s="8">
        <f>Table1[[#This Row],[Control Panel Spun Time]]+Table1[[#This Row],[Control Panel Color Time]]</f>
        <v>0</v>
      </c>
      <c r="Y231" s="8">
        <f>Table1[[#This Row],[Control Panels Spun]]+Table1[[#This Row],[Control Panel Color]]</f>
        <v>0</v>
      </c>
      <c r="Z23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3</v>
      </c>
      <c r="AA231">
        <v>0</v>
      </c>
      <c r="AB231">
        <v>0</v>
      </c>
      <c r="AC231">
        <v>0</v>
      </c>
      <c r="AD231">
        <v>0</v>
      </c>
      <c r="AE231">
        <v>0</v>
      </c>
      <c r="AF231">
        <v>0</v>
      </c>
      <c r="AG231">
        <v>0</v>
      </c>
      <c r="AH231"/>
      <c r="AI231" t="s">
        <v>179</v>
      </c>
      <c r="AJ231"/>
      <c r="AK231" s="17">
        <f>(Table1[[#This Row],[Climbed]]*weighting!$B$18)+(Table1[[#This Row],[Adjustable Climber]]*weighting!$B$19)+(Table1[[#This Row],[Lift other Robot]]*weighting!$B$20)+(Table1[[#This Row],[Balanced]]*weighting!$B$21)</f>
        <v>0</v>
      </c>
      <c r="AL231" s="8">
        <f>+Table1[[#This Row],[Endgame our score]]+Table1[[#This Row],[teleop our score]]+Table1[[#This Row],[auton our score]]</f>
        <v>4</v>
      </c>
      <c r="AM231" s="20">
        <f t="shared" si="9"/>
        <v>0</v>
      </c>
      <c r="AN231" s="20">
        <f t="shared" si="10"/>
        <v>1</v>
      </c>
      <c r="AO231" s="20">
        <f t="shared" si="11"/>
        <v>0</v>
      </c>
      <c r="AP231" s="20">
        <f>Table1[[#This Row],[balls scored]]+Table1[[#This Row],[auton balls scored]]</f>
        <v>3</v>
      </c>
      <c r="AQ231" s="20">
        <f>Table1[[#This Row],[balls scored high]]+Table1[[#This Row],[Auton Scored High]]</f>
        <v>0</v>
      </c>
      <c r="AR231" s="20">
        <f>Table1[[#This Row],[balls scored low]]+Table1[[#This Row],[Auton Scored Low]]</f>
        <v>3</v>
      </c>
      <c r="AS231" s="50">
        <f>IF(Table1[[#This Row],[Control Panel Spun Time]]&gt;0,1,0)</f>
        <v>0</v>
      </c>
      <c r="AT231" s="20">
        <f>IF(Table1[[#This Row],[Control Panel Color Time]]&gt;0,1,0)</f>
        <v>0</v>
      </c>
    </row>
    <row r="232" spans="1:46" x14ac:dyDescent="0.25">
      <c r="A232">
        <v>8013</v>
      </c>
      <c r="B232">
        <v>1</v>
      </c>
      <c r="C232">
        <v>0</v>
      </c>
      <c r="D232">
        <v>0</v>
      </c>
      <c r="E232">
        <v>0</v>
      </c>
      <c r="F232">
        <v>0</v>
      </c>
      <c r="G232">
        <v>0</v>
      </c>
      <c r="H232">
        <v>0</v>
      </c>
      <c r="I232" s="8">
        <f>+Table1[[#This Row],[Auton ball picked up in our trench]]+Table1[[#This Row],[Auton Balls Picked Up in Mid]]+Table1[[#This Row],[Auton Balls Picked Up In Their Trench]]</f>
        <v>0</v>
      </c>
      <c r="J232" s="8">
        <f>+Table1[[#This Row],[Auton Scored High]]+Table1[[#This Row],[Auton Scored Low]]</f>
        <v>0</v>
      </c>
      <c r="K23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32">
        <v>0</v>
      </c>
      <c r="M232">
        <v>0</v>
      </c>
      <c r="N232">
        <v>0</v>
      </c>
      <c r="O232">
        <v>4</v>
      </c>
      <c r="P232">
        <v>0</v>
      </c>
      <c r="Q232">
        <v>0</v>
      </c>
      <c r="R232">
        <v>0</v>
      </c>
      <c r="S232">
        <v>0</v>
      </c>
      <c r="T232">
        <v>0</v>
      </c>
      <c r="U232">
        <v>0</v>
      </c>
      <c r="V232" s="8">
        <f>Table1[[#This Row],[Balls Scored From Trench]]+Table1[[#This Row],[Balls Scored from Mid]]+Table1[[#This Row],[Balls Scored From Alliance zone]]</f>
        <v>0</v>
      </c>
      <c r="W232" s="8">
        <f>Table1[[#This Row],[balls scored high]]+Table1[[#This Row],[balls scored low]]</f>
        <v>4</v>
      </c>
      <c r="X232" s="8">
        <f>Table1[[#This Row],[Control Panel Spun Time]]+Table1[[#This Row],[Control Panel Color Time]]</f>
        <v>0</v>
      </c>
      <c r="Y232" s="8">
        <f>Table1[[#This Row],[Control Panels Spun]]+Table1[[#This Row],[Control Panel Color]]</f>
        <v>0</v>
      </c>
      <c r="Z23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4</v>
      </c>
      <c r="AA232">
        <v>0</v>
      </c>
      <c r="AB232">
        <v>0</v>
      </c>
      <c r="AC232">
        <v>0</v>
      </c>
      <c r="AD232">
        <v>0</v>
      </c>
      <c r="AE232">
        <v>0</v>
      </c>
      <c r="AF232">
        <v>0</v>
      </c>
      <c r="AG232">
        <v>0</v>
      </c>
      <c r="AI232" t="s">
        <v>174</v>
      </c>
      <c r="AJ232" t="s">
        <v>271</v>
      </c>
      <c r="AK232" s="17">
        <f>(Table1[[#This Row],[Climbed]]*weighting!$B$18)+(Table1[[#This Row],[Adjustable Climber]]*weighting!$B$19)+(Table1[[#This Row],[Lift other Robot]]*weighting!$B$20)+(Table1[[#This Row],[Balanced]]*weighting!$B$21)</f>
        <v>0</v>
      </c>
      <c r="AL232" s="8">
        <f>+Table1[[#This Row],[Endgame our score]]+Table1[[#This Row],[teleop our score]]+Table1[[#This Row],[auton our score]]</f>
        <v>4</v>
      </c>
      <c r="AM232" s="20">
        <f t="shared" si="9"/>
        <v>1</v>
      </c>
      <c r="AN232" s="20">
        <f t="shared" si="10"/>
        <v>0</v>
      </c>
      <c r="AO232" s="20">
        <f t="shared" si="11"/>
        <v>0</v>
      </c>
      <c r="AP232" s="20">
        <f>Table1[[#This Row],[balls scored]]+Table1[[#This Row],[auton balls scored]]</f>
        <v>4</v>
      </c>
      <c r="AQ232" s="20">
        <f>Table1[[#This Row],[balls scored high]]+Table1[[#This Row],[Auton Scored High]]</f>
        <v>0</v>
      </c>
      <c r="AR232" s="20">
        <f>Table1[[#This Row],[balls scored low]]+Table1[[#This Row],[Auton Scored Low]]</f>
        <v>4</v>
      </c>
      <c r="AS232" s="50">
        <f>IF(Table1[[#This Row],[Control Panel Spun Time]]&gt;0,1,0)</f>
        <v>0</v>
      </c>
      <c r="AT232" s="20">
        <f>IF(Table1[[#This Row],[Control Panel Color Time]]&gt;0,1,0)</f>
        <v>0</v>
      </c>
    </row>
    <row r="233" spans="1:46" s="2" customFormat="1" x14ac:dyDescent="0.25">
      <c r="A233">
        <v>8013</v>
      </c>
      <c r="B233">
        <v>1</v>
      </c>
      <c r="C233">
        <v>0</v>
      </c>
      <c r="D233">
        <v>0</v>
      </c>
      <c r="E233">
        <v>0</v>
      </c>
      <c r="F233">
        <v>0</v>
      </c>
      <c r="G233">
        <v>0</v>
      </c>
      <c r="H233">
        <v>1</v>
      </c>
      <c r="I233" s="8">
        <f>+Table1[[#This Row],[Auton ball picked up in our trench]]+Table1[[#This Row],[Auton Balls Picked Up in Mid]]+Table1[[#This Row],[Auton Balls Picked Up In Their Trench]]</f>
        <v>0</v>
      </c>
      <c r="J233" s="8">
        <f>+Table1[[#This Row],[Auton Scored High]]+Table1[[#This Row],[Auton Scored Low]]</f>
        <v>0</v>
      </c>
      <c r="K23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233">
        <v>0</v>
      </c>
      <c r="M233">
        <v>0</v>
      </c>
      <c r="N233">
        <v>0</v>
      </c>
      <c r="O233">
        <v>2</v>
      </c>
      <c r="P233">
        <v>0</v>
      </c>
      <c r="Q233">
        <v>0</v>
      </c>
      <c r="R233">
        <v>0</v>
      </c>
      <c r="S233">
        <v>0</v>
      </c>
      <c r="T233">
        <v>0</v>
      </c>
      <c r="U233">
        <v>0</v>
      </c>
      <c r="V233" s="8">
        <f>Table1[[#This Row],[Balls Scored From Trench]]+Table1[[#This Row],[Balls Scored from Mid]]+Table1[[#This Row],[Balls Scored From Alliance zone]]</f>
        <v>0</v>
      </c>
      <c r="W233" s="8">
        <f>Table1[[#This Row],[balls scored high]]+Table1[[#This Row],[balls scored low]]</f>
        <v>2</v>
      </c>
      <c r="X233" s="8">
        <f>Table1[[#This Row],[Control Panel Spun Time]]+Table1[[#This Row],[Control Panel Color Time]]</f>
        <v>0</v>
      </c>
      <c r="Y233" s="8">
        <f>Table1[[#This Row],[Control Panels Spun]]+Table1[[#This Row],[Control Panel Color]]</f>
        <v>0</v>
      </c>
      <c r="Z23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2</v>
      </c>
      <c r="AA233">
        <v>0</v>
      </c>
      <c r="AB233">
        <v>0</v>
      </c>
      <c r="AC233">
        <v>0</v>
      </c>
      <c r="AD233">
        <v>0</v>
      </c>
      <c r="AE233">
        <v>0</v>
      </c>
      <c r="AF233">
        <v>0</v>
      </c>
      <c r="AG233">
        <v>0</v>
      </c>
      <c r="AH233"/>
      <c r="AI233" t="s">
        <v>176</v>
      </c>
      <c r="AJ233" t="s">
        <v>300</v>
      </c>
      <c r="AK233" s="17">
        <f>(Table1[[#This Row],[Climbed]]*weighting!$B$18)+(Table1[[#This Row],[Adjustable Climber]]*weighting!$B$19)+(Table1[[#This Row],[Lift other Robot]]*weighting!$B$20)+(Table1[[#This Row],[Balanced]]*weighting!$B$21)</f>
        <v>0</v>
      </c>
      <c r="AL233" s="8">
        <f>+Table1[[#This Row],[Endgame our score]]+Table1[[#This Row],[teleop our score]]+Table1[[#This Row],[auton our score]]</f>
        <v>3</v>
      </c>
      <c r="AM233" s="20">
        <f t="shared" si="9"/>
        <v>1</v>
      </c>
      <c r="AN233" s="20">
        <f t="shared" si="10"/>
        <v>0</v>
      </c>
      <c r="AO233" s="20">
        <f t="shared" si="11"/>
        <v>0</v>
      </c>
      <c r="AP233" s="20">
        <f>Table1[[#This Row],[balls scored]]+Table1[[#This Row],[auton balls scored]]</f>
        <v>2</v>
      </c>
      <c r="AQ233" s="20">
        <f>Table1[[#This Row],[balls scored high]]+Table1[[#This Row],[Auton Scored High]]</f>
        <v>0</v>
      </c>
      <c r="AR233" s="20">
        <f>Table1[[#This Row],[balls scored low]]+Table1[[#This Row],[Auton Scored Low]]</f>
        <v>2</v>
      </c>
      <c r="AS233" s="50">
        <f>IF(Table1[[#This Row],[Control Panel Spun Time]]&gt;0,1,0)</f>
        <v>0</v>
      </c>
      <c r="AT233" s="20">
        <f>IF(Table1[[#This Row],[Control Panel Color Time]]&gt;0,1,0)</f>
        <v>0</v>
      </c>
    </row>
    <row r="234" spans="1:46" x14ac:dyDescent="0.25">
      <c r="A234">
        <v>8013</v>
      </c>
      <c r="B234">
        <v>1</v>
      </c>
      <c r="C234">
        <v>0</v>
      </c>
      <c r="D234">
        <v>0</v>
      </c>
      <c r="E234">
        <v>0</v>
      </c>
      <c r="F234">
        <v>0</v>
      </c>
      <c r="G234">
        <v>0</v>
      </c>
      <c r="H234">
        <v>1</v>
      </c>
      <c r="I234" s="8">
        <f>+Table1[[#This Row],[Auton ball picked up in our trench]]+Table1[[#This Row],[Auton Balls Picked Up in Mid]]+Table1[[#This Row],[Auton Balls Picked Up In Their Trench]]</f>
        <v>0</v>
      </c>
      <c r="J234" s="8">
        <f>+Table1[[#This Row],[Auton Scored High]]+Table1[[#This Row],[Auton Scored Low]]</f>
        <v>0</v>
      </c>
      <c r="K23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1</v>
      </c>
      <c r="L234">
        <v>0</v>
      </c>
      <c r="M234">
        <v>0</v>
      </c>
      <c r="N234">
        <v>0</v>
      </c>
      <c r="O234">
        <v>0</v>
      </c>
      <c r="P234">
        <v>0</v>
      </c>
      <c r="Q234">
        <v>0</v>
      </c>
      <c r="R234">
        <v>0</v>
      </c>
      <c r="S234">
        <v>0</v>
      </c>
      <c r="T234">
        <v>0</v>
      </c>
      <c r="U234">
        <v>0</v>
      </c>
      <c r="V234" s="8">
        <f>Table1[[#This Row],[Balls Scored From Trench]]+Table1[[#This Row],[Balls Scored from Mid]]+Table1[[#This Row],[Balls Scored From Alliance zone]]</f>
        <v>0</v>
      </c>
      <c r="W234" s="8">
        <f>Table1[[#This Row],[balls scored high]]+Table1[[#This Row],[balls scored low]]</f>
        <v>0</v>
      </c>
      <c r="X234" s="8">
        <f>Table1[[#This Row],[Control Panel Spun Time]]+Table1[[#This Row],[Control Panel Color Time]]</f>
        <v>0</v>
      </c>
      <c r="Y234" s="8">
        <f>Table1[[#This Row],[Control Panels Spun]]+Table1[[#This Row],[Control Panel Color]]</f>
        <v>0</v>
      </c>
      <c r="Z23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34">
        <v>0</v>
      </c>
      <c r="AB234">
        <v>0</v>
      </c>
      <c r="AC234">
        <v>0</v>
      </c>
      <c r="AD234">
        <v>0</v>
      </c>
      <c r="AE234">
        <v>0</v>
      </c>
      <c r="AF234">
        <v>0</v>
      </c>
      <c r="AG234">
        <v>0</v>
      </c>
      <c r="AI234" t="s">
        <v>43</v>
      </c>
      <c r="AJ234" t="s">
        <v>335</v>
      </c>
      <c r="AK234" s="17">
        <f>(Table1[[#This Row],[Climbed]]*weighting!$B$18)+(Table1[[#This Row],[Adjustable Climber]]*weighting!$B$19)+(Table1[[#This Row],[Lift other Robot]]*weighting!$B$20)+(Table1[[#This Row],[Balanced]]*weighting!$B$21)</f>
        <v>0</v>
      </c>
      <c r="AL234" s="8">
        <f>+Table1[[#This Row],[Endgame our score]]+Table1[[#This Row],[teleop our score]]+Table1[[#This Row],[auton our score]]</f>
        <v>1</v>
      </c>
      <c r="AM234" s="20">
        <f t="shared" si="9"/>
        <v>1</v>
      </c>
      <c r="AN234" s="20">
        <f t="shared" si="10"/>
        <v>0</v>
      </c>
      <c r="AO234" s="20">
        <f t="shared" si="11"/>
        <v>0</v>
      </c>
      <c r="AP234" s="20">
        <f>Table1[[#This Row],[balls scored]]+Table1[[#This Row],[auton balls scored]]</f>
        <v>0</v>
      </c>
      <c r="AQ234" s="20">
        <f>Table1[[#This Row],[balls scored high]]+Table1[[#This Row],[Auton Scored High]]</f>
        <v>0</v>
      </c>
      <c r="AR234" s="20">
        <f>Table1[[#This Row],[balls scored low]]+Table1[[#This Row],[Auton Scored Low]]</f>
        <v>0</v>
      </c>
      <c r="AS234" s="50">
        <f>IF(Table1[[#This Row],[Control Panel Spun Time]]&gt;0,1,0)</f>
        <v>0</v>
      </c>
      <c r="AT234" s="20">
        <f>IF(Table1[[#This Row],[Control Panel Color Time]]&gt;0,1,0)</f>
        <v>0</v>
      </c>
    </row>
    <row r="235" spans="1:46" s="2" customFormat="1" x14ac:dyDescent="0.25">
      <c r="A235"/>
      <c r="B235"/>
      <c r="C235"/>
      <c r="D235"/>
      <c r="E235"/>
      <c r="F235"/>
      <c r="G235"/>
      <c r="H235"/>
      <c r="I235" s="8">
        <f>+Table1[[#This Row],[Auton ball picked up in our trench]]+Table1[[#This Row],[Auton Balls Picked Up in Mid]]+Table1[[#This Row],[Auton Balls Picked Up In Their Trench]]</f>
        <v>0</v>
      </c>
      <c r="J235" s="8">
        <f>+Table1[[#This Row],[Auton Scored High]]+Table1[[#This Row],[Auton Scored Low]]</f>
        <v>0</v>
      </c>
      <c r="K23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35"/>
      <c r="M235"/>
      <c r="N235"/>
      <c r="O235"/>
      <c r="P235"/>
      <c r="Q235"/>
      <c r="R235"/>
      <c r="S235"/>
      <c r="T235"/>
      <c r="U235"/>
      <c r="V235" s="8">
        <f>Table1[[#This Row],[Balls Scored From Trench]]+Table1[[#This Row],[Balls Scored from Mid]]+Table1[[#This Row],[Balls Scored From Alliance zone]]</f>
        <v>0</v>
      </c>
      <c r="W235" s="8">
        <f>Table1[[#This Row],[balls scored high]]+Table1[[#This Row],[balls scored low]]</f>
        <v>0</v>
      </c>
      <c r="X235" s="8">
        <f>Table1[[#This Row],[Control Panel Spun Time]]+Table1[[#This Row],[Control Panel Color Time]]</f>
        <v>0</v>
      </c>
      <c r="Y235" s="8">
        <f>Table1[[#This Row],[Control Panels Spun]]+Table1[[#This Row],[Control Panel Color]]</f>
        <v>0</v>
      </c>
      <c r="Z23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35"/>
      <c r="AB235"/>
      <c r="AC235"/>
      <c r="AD235"/>
      <c r="AE235"/>
      <c r="AF235"/>
      <c r="AG235"/>
      <c r="AH235"/>
      <c r="AI235"/>
      <c r="AJ235"/>
      <c r="AK235" s="17">
        <f>(Table1[[#This Row],[Climbed]]*weighting!$B$18)+(Table1[[#This Row],[Adjustable Climber]]*weighting!$B$19)+(Table1[[#This Row],[Lift other Robot]]*weighting!$B$20)+(Table1[[#This Row],[Balanced]]*weighting!$B$21)</f>
        <v>0</v>
      </c>
      <c r="AL235" s="8">
        <f>+Table1[[#This Row],[Endgame our score]]+Table1[[#This Row],[teleop our score]]+Table1[[#This Row],[auton our score]]</f>
        <v>0</v>
      </c>
      <c r="AM235" s="20">
        <f t="shared" si="9"/>
        <v>0</v>
      </c>
      <c r="AN235" s="20">
        <f t="shared" si="10"/>
        <v>0</v>
      </c>
      <c r="AO235" s="20">
        <f t="shared" si="11"/>
        <v>0</v>
      </c>
      <c r="AP235" s="20">
        <f>Table1[[#This Row],[balls scored]]+Table1[[#This Row],[auton balls scored]]</f>
        <v>0</v>
      </c>
      <c r="AQ235" s="20">
        <f>Table1[[#This Row],[balls scored high]]+Table1[[#This Row],[Auton Scored High]]</f>
        <v>0</v>
      </c>
      <c r="AR235" s="20">
        <f>Table1[[#This Row],[balls scored low]]+Table1[[#This Row],[Auton Scored Low]]</f>
        <v>0</v>
      </c>
      <c r="AS235" s="50">
        <f>IF(Table1[[#This Row],[Control Panel Spun Time]]&gt;0,1,0)</f>
        <v>0</v>
      </c>
      <c r="AT235" s="20">
        <f>IF(Table1[[#This Row],[Control Panel Color Time]]&gt;0,1,0)</f>
        <v>0</v>
      </c>
    </row>
    <row r="236" spans="1:46" x14ac:dyDescent="0.25">
      <c r="A236"/>
      <c r="I236" s="8">
        <f>+Table1[[#This Row],[Auton ball picked up in our trench]]+Table1[[#This Row],[Auton Balls Picked Up in Mid]]+Table1[[#This Row],[Auton Balls Picked Up In Their Trench]]</f>
        <v>0</v>
      </c>
      <c r="J236" s="8">
        <f>+Table1[[#This Row],[Auton Scored High]]+Table1[[#This Row],[Auton Scored Low]]</f>
        <v>0</v>
      </c>
      <c r="K23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236" s="8">
        <f>Table1[[#This Row],[Balls Scored From Trench]]+Table1[[#This Row],[Balls Scored from Mid]]+Table1[[#This Row],[Balls Scored From Alliance zone]]</f>
        <v>0</v>
      </c>
      <c r="W236" s="8">
        <f>Table1[[#This Row],[balls scored high]]+Table1[[#This Row],[balls scored low]]</f>
        <v>0</v>
      </c>
      <c r="X236" s="8">
        <f>Table1[[#This Row],[Control Panel Spun Time]]+Table1[[#This Row],[Control Panel Color Time]]</f>
        <v>0</v>
      </c>
      <c r="Y236" s="8">
        <f>Table1[[#This Row],[Control Panels Spun]]+Table1[[#This Row],[Control Panel Color]]</f>
        <v>0</v>
      </c>
      <c r="Z23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236" s="17">
        <f>(Table1[[#This Row],[Climbed]]*weighting!$B$18)+(Table1[[#This Row],[Adjustable Climber]]*weighting!$B$19)+(Table1[[#This Row],[Lift other Robot]]*weighting!$B$20)+(Table1[[#This Row],[Balanced]]*weighting!$B$21)</f>
        <v>0</v>
      </c>
      <c r="AL236" s="8">
        <f>+Table1[[#This Row],[Endgame our score]]+Table1[[#This Row],[teleop our score]]+Table1[[#This Row],[auton our score]]</f>
        <v>0</v>
      </c>
      <c r="AM236" s="20">
        <f t="shared" si="9"/>
        <v>0</v>
      </c>
      <c r="AN236" s="20">
        <f t="shared" si="10"/>
        <v>0</v>
      </c>
      <c r="AO236" s="20">
        <f t="shared" si="11"/>
        <v>0</v>
      </c>
      <c r="AP236" s="20">
        <f>Table1[[#This Row],[balls scored]]+Table1[[#This Row],[auton balls scored]]</f>
        <v>0</v>
      </c>
      <c r="AQ236" s="20">
        <f>Table1[[#This Row],[balls scored high]]+Table1[[#This Row],[Auton Scored High]]</f>
        <v>0</v>
      </c>
      <c r="AR236" s="20">
        <f>Table1[[#This Row],[balls scored low]]+Table1[[#This Row],[Auton Scored Low]]</f>
        <v>0</v>
      </c>
      <c r="AS236" s="50">
        <f>IF(Table1[[#This Row],[Control Panel Spun Time]]&gt;0,1,0)</f>
        <v>0</v>
      </c>
      <c r="AT236" s="20">
        <f>IF(Table1[[#This Row],[Control Panel Color Time]]&gt;0,1,0)</f>
        <v>0</v>
      </c>
    </row>
    <row r="237" spans="1:46" s="2" customFormat="1" x14ac:dyDescent="0.25">
      <c r="A237"/>
      <c r="B237"/>
      <c r="C237"/>
      <c r="D237"/>
      <c r="E237"/>
      <c r="F237"/>
      <c r="G237"/>
      <c r="H237"/>
      <c r="I237" s="8">
        <f>+Table1[[#This Row],[Auton ball picked up in our trench]]+Table1[[#This Row],[Auton Balls Picked Up in Mid]]+Table1[[#This Row],[Auton Balls Picked Up In Their Trench]]</f>
        <v>0</v>
      </c>
      <c r="J237" s="8">
        <f>+Table1[[#This Row],[Auton Scored High]]+Table1[[#This Row],[Auton Scored Low]]</f>
        <v>0</v>
      </c>
      <c r="K23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37"/>
      <c r="M237"/>
      <c r="N237"/>
      <c r="O237"/>
      <c r="P237"/>
      <c r="Q237"/>
      <c r="R237"/>
      <c r="S237"/>
      <c r="T237"/>
      <c r="U237"/>
      <c r="V237" s="8">
        <f>Table1[[#This Row],[Balls Scored From Trench]]+Table1[[#This Row],[Balls Scored from Mid]]+Table1[[#This Row],[Balls Scored From Alliance zone]]</f>
        <v>0</v>
      </c>
      <c r="W237" s="8">
        <f>Table1[[#This Row],[balls scored high]]+Table1[[#This Row],[balls scored low]]</f>
        <v>0</v>
      </c>
      <c r="X237" s="8">
        <f>Table1[[#This Row],[Control Panel Spun Time]]+Table1[[#This Row],[Control Panel Color Time]]</f>
        <v>0</v>
      </c>
      <c r="Y237" s="8">
        <f>Table1[[#This Row],[Control Panels Spun]]+Table1[[#This Row],[Control Panel Color]]</f>
        <v>0</v>
      </c>
      <c r="Z23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37"/>
      <c r="AB237"/>
      <c r="AC237"/>
      <c r="AD237"/>
      <c r="AE237"/>
      <c r="AF237"/>
      <c r="AG237"/>
      <c r="AH237"/>
      <c r="AI237"/>
      <c r="AJ237"/>
      <c r="AK237" s="17">
        <f>(Table1[[#This Row],[Climbed]]*weighting!$B$18)+(Table1[[#This Row],[Adjustable Climber]]*weighting!$B$19)+(Table1[[#This Row],[Lift other Robot]]*weighting!$B$20)+(Table1[[#This Row],[Balanced]]*weighting!$B$21)</f>
        <v>0</v>
      </c>
      <c r="AL237" s="8">
        <f>+Table1[[#This Row],[Endgame our score]]+Table1[[#This Row],[teleop our score]]+Table1[[#This Row],[auton our score]]</f>
        <v>0</v>
      </c>
      <c r="AM237" s="20">
        <f t="shared" si="9"/>
        <v>0</v>
      </c>
      <c r="AN237" s="20">
        <f t="shared" si="10"/>
        <v>0</v>
      </c>
      <c r="AO237" s="20">
        <f t="shared" si="11"/>
        <v>0</v>
      </c>
      <c r="AP237" s="20">
        <f>Table1[[#This Row],[balls scored]]+Table1[[#This Row],[auton balls scored]]</f>
        <v>0</v>
      </c>
      <c r="AQ237" s="20">
        <f>Table1[[#This Row],[balls scored high]]+Table1[[#This Row],[Auton Scored High]]</f>
        <v>0</v>
      </c>
      <c r="AR237" s="20">
        <f>Table1[[#This Row],[balls scored low]]+Table1[[#This Row],[Auton Scored Low]]</f>
        <v>0</v>
      </c>
      <c r="AS237" s="50">
        <f>IF(Table1[[#This Row],[Control Panel Spun Time]]&gt;0,1,0)</f>
        <v>0</v>
      </c>
      <c r="AT237" s="20">
        <f>IF(Table1[[#This Row],[Control Panel Color Time]]&gt;0,1,0)</f>
        <v>0</v>
      </c>
    </row>
    <row r="238" spans="1:46" x14ac:dyDescent="0.25">
      <c r="A238"/>
      <c r="I238" s="8">
        <f>+Table1[[#This Row],[Auton ball picked up in our trench]]+Table1[[#This Row],[Auton Balls Picked Up in Mid]]+Table1[[#This Row],[Auton Balls Picked Up In Their Trench]]</f>
        <v>0</v>
      </c>
      <c r="J238" s="8">
        <f>+Table1[[#This Row],[Auton Scored High]]+Table1[[#This Row],[Auton Scored Low]]</f>
        <v>0</v>
      </c>
      <c r="K23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238" s="8">
        <f>Table1[[#This Row],[Balls Scored From Trench]]+Table1[[#This Row],[Balls Scored from Mid]]+Table1[[#This Row],[Balls Scored From Alliance zone]]</f>
        <v>0</v>
      </c>
      <c r="W238" s="8">
        <f>Table1[[#This Row],[balls scored high]]+Table1[[#This Row],[balls scored low]]</f>
        <v>0</v>
      </c>
      <c r="X238" s="8">
        <f>Table1[[#This Row],[Control Panel Spun Time]]+Table1[[#This Row],[Control Panel Color Time]]</f>
        <v>0</v>
      </c>
      <c r="Y238" s="8">
        <f>Table1[[#This Row],[Control Panels Spun]]+Table1[[#This Row],[Control Panel Color]]</f>
        <v>0</v>
      </c>
      <c r="Z23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238" s="17">
        <f>(Table1[[#This Row],[Climbed]]*weighting!$B$18)+(Table1[[#This Row],[Adjustable Climber]]*weighting!$B$19)+(Table1[[#This Row],[Lift other Robot]]*weighting!$B$20)+(Table1[[#This Row],[Balanced]]*weighting!$B$21)</f>
        <v>0</v>
      </c>
      <c r="AL238" s="8">
        <f>+Table1[[#This Row],[Endgame our score]]+Table1[[#This Row],[teleop our score]]+Table1[[#This Row],[auton our score]]</f>
        <v>0</v>
      </c>
      <c r="AM238" s="20">
        <f t="shared" si="9"/>
        <v>0</v>
      </c>
      <c r="AN238" s="20">
        <f t="shared" si="10"/>
        <v>0</v>
      </c>
      <c r="AO238" s="20">
        <f t="shared" si="11"/>
        <v>0</v>
      </c>
      <c r="AP238" s="20">
        <f>Table1[[#This Row],[balls scored]]+Table1[[#This Row],[auton balls scored]]</f>
        <v>0</v>
      </c>
      <c r="AQ238" s="20">
        <f>Table1[[#This Row],[balls scored high]]+Table1[[#This Row],[Auton Scored High]]</f>
        <v>0</v>
      </c>
      <c r="AR238" s="20">
        <f>Table1[[#This Row],[balls scored low]]+Table1[[#This Row],[Auton Scored Low]]</f>
        <v>0</v>
      </c>
      <c r="AS238" s="50">
        <f>IF(Table1[[#This Row],[Control Panel Spun Time]]&gt;0,1,0)</f>
        <v>0</v>
      </c>
      <c r="AT238" s="20">
        <f>IF(Table1[[#This Row],[Control Panel Color Time]]&gt;0,1,0)</f>
        <v>0</v>
      </c>
    </row>
    <row r="239" spans="1:46" s="2" customFormat="1" x14ac:dyDescent="0.25">
      <c r="A239"/>
      <c r="B239"/>
      <c r="C239"/>
      <c r="D239"/>
      <c r="E239"/>
      <c r="F239"/>
      <c r="G239"/>
      <c r="H239"/>
      <c r="I239" s="8">
        <f>+Table1[[#This Row],[Auton ball picked up in our trench]]+Table1[[#This Row],[Auton Balls Picked Up in Mid]]+Table1[[#This Row],[Auton Balls Picked Up In Their Trench]]</f>
        <v>0</v>
      </c>
      <c r="J239" s="8">
        <f>+Table1[[#This Row],[Auton Scored High]]+Table1[[#This Row],[Auton Scored Low]]</f>
        <v>0</v>
      </c>
      <c r="K23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39"/>
      <c r="M239"/>
      <c r="N239"/>
      <c r="O239"/>
      <c r="P239"/>
      <c r="Q239"/>
      <c r="R239"/>
      <c r="S239"/>
      <c r="T239"/>
      <c r="U239"/>
      <c r="V239" s="8">
        <f>Table1[[#This Row],[Balls Scored From Trench]]+Table1[[#This Row],[Balls Scored from Mid]]+Table1[[#This Row],[Balls Scored From Alliance zone]]</f>
        <v>0</v>
      </c>
      <c r="W239" s="8">
        <f>Table1[[#This Row],[balls scored high]]+Table1[[#This Row],[balls scored low]]</f>
        <v>0</v>
      </c>
      <c r="X239" s="8">
        <f>Table1[[#This Row],[Control Panel Spun Time]]+Table1[[#This Row],[Control Panel Color Time]]</f>
        <v>0</v>
      </c>
      <c r="Y239" s="8">
        <f>Table1[[#This Row],[Control Panels Spun]]+Table1[[#This Row],[Control Panel Color]]</f>
        <v>0</v>
      </c>
      <c r="Z23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39"/>
      <c r="AB239"/>
      <c r="AC239"/>
      <c r="AD239"/>
      <c r="AE239"/>
      <c r="AF239"/>
      <c r="AG239"/>
      <c r="AH239"/>
      <c r="AI239"/>
      <c r="AJ239"/>
      <c r="AK239" s="17">
        <f>(Table1[[#This Row],[Climbed]]*weighting!$B$18)+(Table1[[#This Row],[Adjustable Climber]]*weighting!$B$19)+(Table1[[#This Row],[Lift other Robot]]*weighting!$B$20)+(Table1[[#This Row],[Balanced]]*weighting!$B$21)</f>
        <v>0</v>
      </c>
      <c r="AL239" s="8">
        <f>+Table1[[#This Row],[Endgame our score]]+Table1[[#This Row],[teleop our score]]+Table1[[#This Row],[auton our score]]</f>
        <v>0</v>
      </c>
      <c r="AM239" s="20">
        <f t="shared" si="9"/>
        <v>0</v>
      </c>
      <c r="AN239" s="20">
        <f t="shared" si="10"/>
        <v>0</v>
      </c>
      <c r="AO239" s="20">
        <f t="shared" si="11"/>
        <v>0</v>
      </c>
      <c r="AP239" s="20">
        <f>Table1[[#This Row],[balls scored]]+Table1[[#This Row],[auton balls scored]]</f>
        <v>0</v>
      </c>
      <c r="AQ239" s="20">
        <f>Table1[[#This Row],[balls scored high]]+Table1[[#This Row],[Auton Scored High]]</f>
        <v>0</v>
      </c>
      <c r="AR239" s="20">
        <f>Table1[[#This Row],[balls scored low]]+Table1[[#This Row],[Auton Scored Low]]</f>
        <v>0</v>
      </c>
      <c r="AS239" s="50">
        <f>IF(Table1[[#This Row],[Control Panel Spun Time]]&gt;0,1,0)</f>
        <v>0</v>
      </c>
      <c r="AT239" s="20">
        <f>IF(Table1[[#This Row],[Control Panel Color Time]]&gt;0,1,0)</f>
        <v>0</v>
      </c>
    </row>
    <row r="240" spans="1:46" x14ac:dyDescent="0.25">
      <c r="A240"/>
      <c r="I240" s="8">
        <f>+Table1[[#This Row],[Auton ball picked up in our trench]]+Table1[[#This Row],[Auton Balls Picked Up in Mid]]+Table1[[#This Row],[Auton Balls Picked Up In Their Trench]]</f>
        <v>0</v>
      </c>
      <c r="J240" s="8">
        <f>+Table1[[#This Row],[Auton Scored High]]+Table1[[#This Row],[Auton Scored Low]]</f>
        <v>0</v>
      </c>
      <c r="K24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240" s="8">
        <f>Table1[[#This Row],[Balls Scored From Trench]]+Table1[[#This Row],[Balls Scored from Mid]]+Table1[[#This Row],[Balls Scored From Alliance zone]]</f>
        <v>0</v>
      </c>
      <c r="W240" s="8">
        <f>Table1[[#This Row],[balls scored high]]+Table1[[#This Row],[balls scored low]]</f>
        <v>0</v>
      </c>
      <c r="X240" s="8">
        <f>Table1[[#This Row],[Control Panel Spun Time]]+Table1[[#This Row],[Control Panel Color Time]]</f>
        <v>0</v>
      </c>
      <c r="Y240" s="8">
        <f>Table1[[#This Row],[Control Panels Spun]]+Table1[[#This Row],[Control Panel Color]]</f>
        <v>0</v>
      </c>
      <c r="Z24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240" s="17">
        <f>(Table1[[#This Row],[Climbed]]*weighting!$B$18)+(Table1[[#This Row],[Adjustable Climber]]*weighting!$B$19)+(Table1[[#This Row],[Lift other Robot]]*weighting!$B$20)+(Table1[[#This Row],[Balanced]]*weighting!$B$21)</f>
        <v>0</v>
      </c>
      <c r="AL240" s="8">
        <f>+Table1[[#This Row],[Endgame our score]]+Table1[[#This Row],[teleop our score]]+Table1[[#This Row],[auton our score]]</f>
        <v>0</v>
      </c>
      <c r="AM240" s="20">
        <f t="shared" si="9"/>
        <v>0</v>
      </c>
      <c r="AN240" s="20">
        <f t="shared" si="10"/>
        <v>0</v>
      </c>
      <c r="AO240" s="20">
        <f t="shared" si="11"/>
        <v>0</v>
      </c>
      <c r="AP240" s="20">
        <f>Table1[[#This Row],[balls scored]]+Table1[[#This Row],[auton balls scored]]</f>
        <v>0</v>
      </c>
      <c r="AQ240" s="20">
        <f>Table1[[#This Row],[balls scored high]]+Table1[[#This Row],[Auton Scored High]]</f>
        <v>0</v>
      </c>
      <c r="AR240" s="20">
        <f>Table1[[#This Row],[balls scored low]]+Table1[[#This Row],[Auton Scored Low]]</f>
        <v>0</v>
      </c>
      <c r="AS240" s="50">
        <f>IF(Table1[[#This Row],[Control Panel Spun Time]]&gt;0,1,0)</f>
        <v>0</v>
      </c>
      <c r="AT240" s="20">
        <f>IF(Table1[[#This Row],[Control Panel Color Time]]&gt;0,1,0)</f>
        <v>0</v>
      </c>
    </row>
    <row r="241" spans="1:46" s="2" customFormat="1" x14ac:dyDescent="0.25">
      <c r="A241"/>
      <c r="B241"/>
      <c r="C241"/>
      <c r="D241"/>
      <c r="E241"/>
      <c r="F241"/>
      <c r="G241"/>
      <c r="H241"/>
      <c r="I241" s="8">
        <f>+Table1[[#This Row],[Auton ball picked up in our trench]]+Table1[[#This Row],[Auton Balls Picked Up in Mid]]+Table1[[#This Row],[Auton Balls Picked Up In Their Trench]]</f>
        <v>0</v>
      </c>
      <c r="J241" s="8">
        <f>+Table1[[#This Row],[Auton Scored High]]+Table1[[#This Row],[Auton Scored Low]]</f>
        <v>0</v>
      </c>
      <c r="K24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41"/>
      <c r="M241"/>
      <c r="N241"/>
      <c r="O241"/>
      <c r="P241"/>
      <c r="Q241"/>
      <c r="R241"/>
      <c r="S241"/>
      <c r="T241"/>
      <c r="U241"/>
      <c r="V241" s="8">
        <f>Table1[[#This Row],[Balls Scored From Trench]]+Table1[[#This Row],[Balls Scored from Mid]]+Table1[[#This Row],[Balls Scored From Alliance zone]]</f>
        <v>0</v>
      </c>
      <c r="W241" s="8">
        <f>Table1[[#This Row],[balls scored high]]+Table1[[#This Row],[balls scored low]]</f>
        <v>0</v>
      </c>
      <c r="X241" s="8">
        <f>Table1[[#This Row],[Control Panel Spun Time]]+Table1[[#This Row],[Control Panel Color Time]]</f>
        <v>0</v>
      </c>
      <c r="Y241" s="8">
        <f>Table1[[#This Row],[Control Panels Spun]]+Table1[[#This Row],[Control Panel Color]]</f>
        <v>0</v>
      </c>
      <c r="Z24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41"/>
      <c r="AB241"/>
      <c r="AC241"/>
      <c r="AD241"/>
      <c r="AE241"/>
      <c r="AF241"/>
      <c r="AG241"/>
      <c r="AH241"/>
      <c r="AI241"/>
      <c r="AJ241"/>
      <c r="AK241" s="17">
        <f>(Table1[[#This Row],[Climbed]]*weighting!$B$18)+(Table1[[#This Row],[Adjustable Climber]]*weighting!$B$19)+(Table1[[#This Row],[Lift other Robot]]*weighting!$B$20)+(Table1[[#This Row],[Balanced]]*weighting!$B$21)</f>
        <v>0</v>
      </c>
      <c r="AL241" s="8">
        <f>+Table1[[#This Row],[Endgame our score]]+Table1[[#This Row],[teleop our score]]+Table1[[#This Row],[auton our score]]</f>
        <v>0</v>
      </c>
      <c r="AM241" s="20">
        <f t="shared" si="9"/>
        <v>0</v>
      </c>
      <c r="AN241" s="20">
        <f t="shared" si="10"/>
        <v>0</v>
      </c>
      <c r="AO241" s="20">
        <f t="shared" si="11"/>
        <v>0</v>
      </c>
      <c r="AP241" s="20">
        <f>Table1[[#This Row],[balls scored]]+Table1[[#This Row],[auton balls scored]]</f>
        <v>0</v>
      </c>
      <c r="AQ241" s="20">
        <f>Table1[[#This Row],[balls scored high]]+Table1[[#This Row],[Auton Scored High]]</f>
        <v>0</v>
      </c>
      <c r="AR241" s="20">
        <f>Table1[[#This Row],[balls scored low]]+Table1[[#This Row],[Auton Scored Low]]</f>
        <v>0</v>
      </c>
      <c r="AS241" s="50">
        <f>IF(Table1[[#This Row],[Control Panel Spun Time]]&gt;0,1,0)</f>
        <v>0</v>
      </c>
      <c r="AT241" s="20">
        <f>IF(Table1[[#This Row],[Control Panel Color Time]]&gt;0,1,0)</f>
        <v>0</v>
      </c>
    </row>
    <row r="242" spans="1:46" x14ac:dyDescent="0.25">
      <c r="A242"/>
      <c r="I242" s="8">
        <f>+Table1[[#This Row],[Auton ball picked up in our trench]]+Table1[[#This Row],[Auton Balls Picked Up in Mid]]+Table1[[#This Row],[Auton Balls Picked Up In Their Trench]]</f>
        <v>0</v>
      </c>
      <c r="J242" s="8">
        <f>+Table1[[#This Row],[Auton Scored High]]+Table1[[#This Row],[Auton Scored Low]]</f>
        <v>0</v>
      </c>
      <c r="K24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242" s="8">
        <f>Table1[[#This Row],[Balls Scored From Trench]]+Table1[[#This Row],[Balls Scored from Mid]]+Table1[[#This Row],[Balls Scored From Alliance zone]]</f>
        <v>0</v>
      </c>
      <c r="W242" s="8">
        <f>Table1[[#This Row],[balls scored high]]+Table1[[#This Row],[balls scored low]]</f>
        <v>0</v>
      </c>
      <c r="X242" s="8">
        <f>Table1[[#This Row],[Control Panel Spun Time]]+Table1[[#This Row],[Control Panel Color Time]]</f>
        <v>0</v>
      </c>
      <c r="Y242" s="8">
        <f>Table1[[#This Row],[Control Panels Spun]]+Table1[[#This Row],[Control Panel Color]]</f>
        <v>0</v>
      </c>
      <c r="Z24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242" s="17">
        <f>(Table1[[#This Row],[Climbed]]*weighting!$B$18)+(Table1[[#This Row],[Adjustable Climber]]*weighting!$B$19)+(Table1[[#This Row],[Lift other Robot]]*weighting!$B$20)+(Table1[[#This Row],[Balanced]]*weighting!$B$21)</f>
        <v>0</v>
      </c>
      <c r="AL242" s="8">
        <f>+Table1[[#This Row],[Endgame our score]]+Table1[[#This Row],[teleop our score]]+Table1[[#This Row],[auton our score]]</f>
        <v>0</v>
      </c>
      <c r="AM242" s="20">
        <f t="shared" si="9"/>
        <v>0</v>
      </c>
      <c r="AN242" s="20">
        <f t="shared" si="10"/>
        <v>0</v>
      </c>
      <c r="AO242" s="20">
        <f t="shared" si="11"/>
        <v>0</v>
      </c>
      <c r="AP242" s="20">
        <f>Table1[[#This Row],[balls scored]]+Table1[[#This Row],[auton balls scored]]</f>
        <v>0</v>
      </c>
      <c r="AQ242" s="20">
        <f>Table1[[#This Row],[balls scored high]]+Table1[[#This Row],[Auton Scored High]]</f>
        <v>0</v>
      </c>
      <c r="AR242" s="20">
        <f>Table1[[#This Row],[balls scored low]]+Table1[[#This Row],[Auton Scored Low]]</f>
        <v>0</v>
      </c>
      <c r="AS242" s="50">
        <f>IF(Table1[[#This Row],[Control Panel Spun Time]]&gt;0,1,0)</f>
        <v>0</v>
      </c>
      <c r="AT242" s="20">
        <f>IF(Table1[[#This Row],[Control Panel Color Time]]&gt;0,1,0)</f>
        <v>0</v>
      </c>
    </row>
    <row r="243" spans="1:46" s="2" customFormat="1" x14ac:dyDescent="0.25">
      <c r="A243"/>
      <c r="B243"/>
      <c r="C243"/>
      <c r="D243"/>
      <c r="E243"/>
      <c r="F243"/>
      <c r="G243"/>
      <c r="H243"/>
      <c r="I243" s="8">
        <f>+Table1[[#This Row],[Auton ball picked up in our trench]]+Table1[[#This Row],[Auton Balls Picked Up in Mid]]+Table1[[#This Row],[Auton Balls Picked Up In Their Trench]]</f>
        <v>0</v>
      </c>
      <c r="J243" s="8">
        <f>+Table1[[#This Row],[Auton Scored High]]+Table1[[#This Row],[Auton Scored Low]]</f>
        <v>0</v>
      </c>
      <c r="K24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43"/>
      <c r="M243"/>
      <c r="N243"/>
      <c r="O243"/>
      <c r="P243"/>
      <c r="Q243"/>
      <c r="R243"/>
      <c r="S243"/>
      <c r="T243"/>
      <c r="U243"/>
      <c r="V243" s="8">
        <f>Table1[[#This Row],[Balls Scored From Trench]]+Table1[[#This Row],[Balls Scored from Mid]]+Table1[[#This Row],[Balls Scored From Alliance zone]]</f>
        <v>0</v>
      </c>
      <c r="W243" s="8">
        <f>Table1[[#This Row],[balls scored high]]+Table1[[#This Row],[balls scored low]]</f>
        <v>0</v>
      </c>
      <c r="X243" s="8">
        <f>Table1[[#This Row],[Control Panel Spun Time]]+Table1[[#This Row],[Control Panel Color Time]]</f>
        <v>0</v>
      </c>
      <c r="Y243" s="8">
        <f>Table1[[#This Row],[Control Panels Spun]]+Table1[[#This Row],[Control Panel Color]]</f>
        <v>0</v>
      </c>
      <c r="Z24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43"/>
      <c r="AB243"/>
      <c r="AC243"/>
      <c r="AD243"/>
      <c r="AE243"/>
      <c r="AF243"/>
      <c r="AG243"/>
      <c r="AH243"/>
      <c r="AI243"/>
      <c r="AJ243"/>
      <c r="AK243" s="17">
        <f>(Table1[[#This Row],[Climbed]]*weighting!$B$18)+(Table1[[#This Row],[Adjustable Climber]]*weighting!$B$19)+(Table1[[#This Row],[Lift other Robot]]*weighting!$B$20)+(Table1[[#This Row],[Balanced]]*weighting!$B$21)</f>
        <v>0</v>
      </c>
      <c r="AL243" s="8">
        <f>+Table1[[#This Row],[Endgame our score]]+Table1[[#This Row],[teleop our score]]+Table1[[#This Row],[auton our score]]</f>
        <v>0</v>
      </c>
      <c r="AM243" s="20">
        <f t="shared" si="9"/>
        <v>0</v>
      </c>
      <c r="AN243" s="20">
        <f t="shared" si="10"/>
        <v>0</v>
      </c>
      <c r="AO243" s="20">
        <f t="shared" si="11"/>
        <v>0</v>
      </c>
      <c r="AP243" s="20">
        <f>Table1[[#This Row],[balls scored]]+Table1[[#This Row],[auton balls scored]]</f>
        <v>0</v>
      </c>
      <c r="AQ243" s="20">
        <f>Table1[[#This Row],[balls scored high]]+Table1[[#This Row],[Auton Scored High]]</f>
        <v>0</v>
      </c>
      <c r="AR243" s="20">
        <f>Table1[[#This Row],[balls scored low]]+Table1[[#This Row],[Auton Scored Low]]</f>
        <v>0</v>
      </c>
      <c r="AS243" s="50">
        <f>IF(Table1[[#This Row],[Control Panel Spun Time]]&gt;0,1,0)</f>
        <v>0</v>
      </c>
      <c r="AT243" s="20">
        <f>IF(Table1[[#This Row],[Control Panel Color Time]]&gt;0,1,0)</f>
        <v>0</v>
      </c>
    </row>
    <row r="244" spans="1:46" x14ac:dyDescent="0.25">
      <c r="A244"/>
      <c r="I244" s="8">
        <f>+Table1[[#This Row],[Auton ball picked up in our trench]]+Table1[[#This Row],[Auton Balls Picked Up in Mid]]+Table1[[#This Row],[Auton Balls Picked Up In Their Trench]]</f>
        <v>0</v>
      </c>
      <c r="J244" s="8">
        <f>+Table1[[#This Row],[Auton Scored High]]+Table1[[#This Row],[Auton Scored Low]]</f>
        <v>0</v>
      </c>
      <c r="K24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244" s="8">
        <f>Table1[[#This Row],[Balls Scored From Trench]]+Table1[[#This Row],[Balls Scored from Mid]]+Table1[[#This Row],[Balls Scored From Alliance zone]]</f>
        <v>0</v>
      </c>
      <c r="W244" s="8">
        <f>Table1[[#This Row],[balls scored high]]+Table1[[#This Row],[balls scored low]]</f>
        <v>0</v>
      </c>
      <c r="X244" s="8">
        <f>Table1[[#This Row],[Control Panel Spun Time]]+Table1[[#This Row],[Control Panel Color Time]]</f>
        <v>0</v>
      </c>
      <c r="Y244" s="8">
        <f>Table1[[#This Row],[Control Panels Spun]]+Table1[[#This Row],[Control Panel Color]]</f>
        <v>0</v>
      </c>
      <c r="Z24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244" s="17">
        <f>(Table1[[#This Row],[Climbed]]*weighting!$B$18)+(Table1[[#This Row],[Adjustable Climber]]*weighting!$B$19)+(Table1[[#This Row],[Lift other Robot]]*weighting!$B$20)+(Table1[[#This Row],[Balanced]]*weighting!$B$21)</f>
        <v>0</v>
      </c>
      <c r="AL244" s="8">
        <f>+Table1[[#This Row],[Endgame our score]]+Table1[[#This Row],[teleop our score]]+Table1[[#This Row],[auton our score]]</f>
        <v>0</v>
      </c>
      <c r="AM244" s="20">
        <f t="shared" si="9"/>
        <v>0</v>
      </c>
      <c r="AN244" s="20">
        <f t="shared" si="10"/>
        <v>0</v>
      </c>
      <c r="AO244" s="20">
        <f t="shared" si="11"/>
        <v>0</v>
      </c>
      <c r="AP244" s="20">
        <f>Table1[[#This Row],[balls scored]]+Table1[[#This Row],[auton balls scored]]</f>
        <v>0</v>
      </c>
      <c r="AQ244" s="20">
        <f>Table1[[#This Row],[balls scored high]]+Table1[[#This Row],[Auton Scored High]]</f>
        <v>0</v>
      </c>
      <c r="AR244" s="20">
        <f>Table1[[#This Row],[balls scored low]]+Table1[[#This Row],[Auton Scored Low]]</f>
        <v>0</v>
      </c>
      <c r="AS244" s="50">
        <f>IF(Table1[[#This Row],[Control Panel Spun Time]]&gt;0,1,0)</f>
        <v>0</v>
      </c>
      <c r="AT244" s="20">
        <f>IF(Table1[[#This Row],[Control Panel Color Time]]&gt;0,1,0)</f>
        <v>0</v>
      </c>
    </row>
    <row r="245" spans="1:46" s="2" customFormat="1" x14ac:dyDescent="0.25">
      <c r="A245"/>
      <c r="B245"/>
      <c r="C245"/>
      <c r="D245"/>
      <c r="E245"/>
      <c r="F245"/>
      <c r="G245"/>
      <c r="H245"/>
      <c r="I245" s="8">
        <f>+Table1[[#This Row],[Auton ball picked up in our trench]]+Table1[[#This Row],[Auton Balls Picked Up in Mid]]+Table1[[#This Row],[Auton Balls Picked Up In Their Trench]]</f>
        <v>0</v>
      </c>
      <c r="J245" s="8">
        <f>+Table1[[#This Row],[Auton Scored High]]+Table1[[#This Row],[Auton Scored Low]]</f>
        <v>0</v>
      </c>
      <c r="K24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45"/>
      <c r="M245"/>
      <c r="N245"/>
      <c r="O245"/>
      <c r="P245"/>
      <c r="Q245"/>
      <c r="R245"/>
      <c r="S245"/>
      <c r="T245"/>
      <c r="U245"/>
      <c r="V245" s="8">
        <f>Table1[[#This Row],[Balls Scored From Trench]]+Table1[[#This Row],[Balls Scored from Mid]]+Table1[[#This Row],[Balls Scored From Alliance zone]]</f>
        <v>0</v>
      </c>
      <c r="W245" s="8">
        <f>Table1[[#This Row],[balls scored high]]+Table1[[#This Row],[balls scored low]]</f>
        <v>0</v>
      </c>
      <c r="X245" s="8">
        <f>Table1[[#This Row],[Control Panel Spun Time]]+Table1[[#This Row],[Control Panel Color Time]]</f>
        <v>0</v>
      </c>
      <c r="Y245" s="8">
        <f>Table1[[#This Row],[Control Panels Spun]]+Table1[[#This Row],[Control Panel Color]]</f>
        <v>0</v>
      </c>
      <c r="Z24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45"/>
      <c r="AB245"/>
      <c r="AC245"/>
      <c r="AD245"/>
      <c r="AE245"/>
      <c r="AF245"/>
      <c r="AG245"/>
      <c r="AH245"/>
      <c r="AI245"/>
      <c r="AJ245"/>
      <c r="AK245" s="17">
        <f>(Table1[[#This Row],[Climbed]]*weighting!$B$18)+(Table1[[#This Row],[Adjustable Climber]]*weighting!$B$19)+(Table1[[#This Row],[Lift other Robot]]*weighting!$B$20)+(Table1[[#This Row],[Balanced]]*weighting!$B$21)</f>
        <v>0</v>
      </c>
      <c r="AL245" s="8">
        <f>+Table1[[#This Row],[Endgame our score]]+Table1[[#This Row],[teleop our score]]+Table1[[#This Row],[auton our score]]</f>
        <v>0</v>
      </c>
      <c r="AM245" s="20">
        <f t="shared" si="9"/>
        <v>0</v>
      </c>
      <c r="AN245" s="20">
        <f t="shared" si="10"/>
        <v>0</v>
      </c>
      <c r="AO245" s="20">
        <f t="shared" si="11"/>
        <v>0</v>
      </c>
      <c r="AP245" s="20">
        <f>Table1[[#This Row],[balls scored]]+Table1[[#This Row],[auton balls scored]]</f>
        <v>0</v>
      </c>
      <c r="AQ245" s="20">
        <f>Table1[[#This Row],[balls scored high]]+Table1[[#This Row],[Auton Scored High]]</f>
        <v>0</v>
      </c>
      <c r="AR245" s="20">
        <f>Table1[[#This Row],[balls scored low]]+Table1[[#This Row],[Auton Scored Low]]</f>
        <v>0</v>
      </c>
      <c r="AS245" s="50">
        <f>IF(Table1[[#This Row],[Control Panel Spun Time]]&gt;0,1,0)</f>
        <v>0</v>
      </c>
      <c r="AT245" s="20">
        <f>IF(Table1[[#This Row],[Control Panel Color Time]]&gt;0,1,0)</f>
        <v>0</v>
      </c>
    </row>
    <row r="246" spans="1:46" x14ac:dyDescent="0.25">
      <c r="A246"/>
      <c r="I246" s="8">
        <f>+Table1[[#This Row],[Auton ball picked up in our trench]]+Table1[[#This Row],[Auton Balls Picked Up in Mid]]+Table1[[#This Row],[Auton Balls Picked Up In Their Trench]]</f>
        <v>0</v>
      </c>
      <c r="J246" s="8">
        <f>+Table1[[#This Row],[Auton Scored High]]+Table1[[#This Row],[Auton Scored Low]]</f>
        <v>0</v>
      </c>
      <c r="K24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246" s="8">
        <f>Table1[[#This Row],[Balls Scored From Trench]]+Table1[[#This Row],[Balls Scored from Mid]]+Table1[[#This Row],[Balls Scored From Alliance zone]]</f>
        <v>0</v>
      </c>
      <c r="W246" s="8">
        <f>Table1[[#This Row],[balls scored high]]+Table1[[#This Row],[balls scored low]]</f>
        <v>0</v>
      </c>
      <c r="X246" s="8">
        <f>Table1[[#This Row],[Control Panel Spun Time]]+Table1[[#This Row],[Control Panel Color Time]]</f>
        <v>0</v>
      </c>
      <c r="Y246" s="8">
        <f>Table1[[#This Row],[Control Panels Spun]]+Table1[[#This Row],[Control Panel Color]]</f>
        <v>0</v>
      </c>
      <c r="Z24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246" s="17">
        <f>(Table1[[#This Row],[Climbed]]*weighting!$B$18)+(Table1[[#This Row],[Adjustable Climber]]*weighting!$B$19)+(Table1[[#This Row],[Lift other Robot]]*weighting!$B$20)+(Table1[[#This Row],[Balanced]]*weighting!$B$21)</f>
        <v>0</v>
      </c>
      <c r="AL246" s="8">
        <f>+Table1[[#This Row],[Endgame our score]]+Table1[[#This Row],[teleop our score]]+Table1[[#This Row],[auton our score]]</f>
        <v>0</v>
      </c>
      <c r="AM246" s="20">
        <f t="shared" si="9"/>
        <v>0</v>
      </c>
      <c r="AN246" s="20">
        <f t="shared" si="10"/>
        <v>0</v>
      </c>
      <c r="AO246" s="20">
        <f t="shared" si="11"/>
        <v>0</v>
      </c>
      <c r="AP246" s="20">
        <f>Table1[[#This Row],[balls scored]]+Table1[[#This Row],[auton balls scored]]</f>
        <v>0</v>
      </c>
      <c r="AQ246" s="20">
        <f>Table1[[#This Row],[balls scored high]]+Table1[[#This Row],[Auton Scored High]]</f>
        <v>0</v>
      </c>
      <c r="AR246" s="20">
        <f>Table1[[#This Row],[balls scored low]]+Table1[[#This Row],[Auton Scored Low]]</f>
        <v>0</v>
      </c>
      <c r="AS246" s="50">
        <f>IF(Table1[[#This Row],[Control Panel Spun Time]]&gt;0,1,0)</f>
        <v>0</v>
      </c>
      <c r="AT246" s="20">
        <f>IF(Table1[[#This Row],[Control Panel Color Time]]&gt;0,1,0)</f>
        <v>0</v>
      </c>
    </row>
    <row r="247" spans="1:46" s="2" customFormat="1" x14ac:dyDescent="0.25">
      <c r="A247"/>
      <c r="B247"/>
      <c r="C247"/>
      <c r="D247"/>
      <c r="E247"/>
      <c r="F247"/>
      <c r="G247"/>
      <c r="H247"/>
      <c r="I247" s="8">
        <f>+Table1[[#This Row],[Auton ball picked up in our trench]]+Table1[[#This Row],[Auton Balls Picked Up in Mid]]+Table1[[#This Row],[Auton Balls Picked Up In Their Trench]]</f>
        <v>0</v>
      </c>
      <c r="J247" s="8">
        <f>+Table1[[#This Row],[Auton Scored High]]+Table1[[#This Row],[Auton Scored Low]]</f>
        <v>0</v>
      </c>
      <c r="K24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47"/>
      <c r="M247"/>
      <c r="N247"/>
      <c r="O247"/>
      <c r="P247"/>
      <c r="Q247"/>
      <c r="R247"/>
      <c r="S247"/>
      <c r="T247"/>
      <c r="U247"/>
      <c r="V247" s="8">
        <f>Table1[[#This Row],[Balls Scored From Trench]]+Table1[[#This Row],[Balls Scored from Mid]]+Table1[[#This Row],[Balls Scored From Alliance zone]]</f>
        <v>0</v>
      </c>
      <c r="W247" s="8">
        <f>Table1[[#This Row],[balls scored high]]+Table1[[#This Row],[balls scored low]]</f>
        <v>0</v>
      </c>
      <c r="X247" s="8">
        <f>Table1[[#This Row],[Control Panel Spun Time]]+Table1[[#This Row],[Control Panel Color Time]]</f>
        <v>0</v>
      </c>
      <c r="Y247" s="8">
        <f>Table1[[#This Row],[Control Panels Spun]]+Table1[[#This Row],[Control Panel Color]]</f>
        <v>0</v>
      </c>
      <c r="Z24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47"/>
      <c r="AB247"/>
      <c r="AC247"/>
      <c r="AD247"/>
      <c r="AE247"/>
      <c r="AF247"/>
      <c r="AG247"/>
      <c r="AH247"/>
      <c r="AI247"/>
      <c r="AJ247"/>
      <c r="AK247" s="17">
        <f>(Table1[[#This Row],[Climbed]]*weighting!$B$18)+(Table1[[#This Row],[Adjustable Climber]]*weighting!$B$19)+(Table1[[#This Row],[Lift other Robot]]*weighting!$B$20)+(Table1[[#This Row],[Balanced]]*weighting!$B$21)</f>
        <v>0</v>
      </c>
      <c r="AL247" s="8">
        <f>+Table1[[#This Row],[Endgame our score]]+Table1[[#This Row],[teleop our score]]+Table1[[#This Row],[auton our score]]</f>
        <v>0</v>
      </c>
      <c r="AM247" s="20">
        <f t="shared" si="9"/>
        <v>0</v>
      </c>
      <c r="AN247" s="20">
        <f t="shared" si="10"/>
        <v>0</v>
      </c>
      <c r="AO247" s="20">
        <f t="shared" si="11"/>
        <v>0</v>
      </c>
      <c r="AP247" s="20">
        <f>Table1[[#This Row],[balls scored]]+Table1[[#This Row],[auton balls scored]]</f>
        <v>0</v>
      </c>
      <c r="AQ247" s="20">
        <f>Table1[[#This Row],[balls scored high]]+Table1[[#This Row],[Auton Scored High]]</f>
        <v>0</v>
      </c>
      <c r="AR247" s="20">
        <f>Table1[[#This Row],[balls scored low]]+Table1[[#This Row],[Auton Scored Low]]</f>
        <v>0</v>
      </c>
      <c r="AS247" s="50">
        <f>IF(Table1[[#This Row],[Control Panel Spun Time]]&gt;0,1,0)</f>
        <v>0</v>
      </c>
      <c r="AT247" s="20">
        <f>IF(Table1[[#This Row],[Control Panel Color Time]]&gt;0,1,0)</f>
        <v>0</v>
      </c>
    </row>
    <row r="248" spans="1:46" x14ac:dyDescent="0.25">
      <c r="A248"/>
      <c r="I248" s="8">
        <f>+Table1[[#This Row],[Auton ball picked up in our trench]]+Table1[[#This Row],[Auton Balls Picked Up in Mid]]+Table1[[#This Row],[Auton Balls Picked Up In Their Trench]]</f>
        <v>0</v>
      </c>
      <c r="J248" s="8">
        <f>+Table1[[#This Row],[Auton Scored High]]+Table1[[#This Row],[Auton Scored Low]]</f>
        <v>0</v>
      </c>
      <c r="K24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248" s="8">
        <f>Table1[[#This Row],[Balls Scored From Trench]]+Table1[[#This Row],[Balls Scored from Mid]]+Table1[[#This Row],[Balls Scored From Alliance zone]]</f>
        <v>0</v>
      </c>
      <c r="W248" s="8">
        <f>Table1[[#This Row],[balls scored high]]+Table1[[#This Row],[balls scored low]]</f>
        <v>0</v>
      </c>
      <c r="X248" s="8">
        <f>Table1[[#This Row],[Control Panel Spun Time]]+Table1[[#This Row],[Control Panel Color Time]]</f>
        <v>0</v>
      </c>
      <c r="Y248" s="8">
        <f>Table1[[#This Row],[Control Panels Spun]]+Table1[[#This Row],[Control Panel Color]]</f>
        <v>0</v>
      </c>
      <c r="Z24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248" s="17">
        <f>(Table1[[#This Row],[Climbed]]*weighting!$B$18)+(Table1[[#This Row],[Adjustable Climber]]*weighting!$B$19)+(Table1[[#This Row],[Lift other Robot]]*weighting!$B$20)+(Table1[[#This Row],[Balanced]]*weighting!$B$21)</f>
        <v>0</v>
      </c>
      <c r="AL248" s="8">
        <f>+Table1[[#This Row],[Endgame our score]]+Table1[[#This Row],[teleop our score]]+Table1[[#This Row],[auton our score]]</f>
        <v>0</v>
      </c>
      <c r="AM248" s="20">
        <f t="shared" si="9"/>
        <v>0</v>
      </c>
      <c r="AN248" s="20">
        <f t="shared" si="10"/>
        <v>0</v>
      </c>
      <c r="AO248" s="20">
        <f t="shared" si="11"/>
        <v>0</v>
      </c>
      <c r="AP248" s="20">
        <f>Table1[[#This Row],[balls scored]]+Table1[[#This Row],[auton balls scored]]</f>
        <v>0</v>
      </c>
      <c r="AQ248" s="20">
        <f>Table1[[#This Row],[balls scored high]]+Table1[[#This Row],[Auton Scored High]]</f>
        <v>0</v>
      </c>
      <c r="AR248" s="20">
        <f>Table1[[#This Row],[balls scored low]]+Table1[[#This Row],[Auton Scored Low]]</f>
        <v>0</v>
      </c>
      <c r="AS248" s="50">
        <f>IF(Table1[[#This Row],[Control Panel Spun Time]]&gt;0,1,0)</f>
        <v>0</v>
      </c>
      <c r="AT248" s="20">
        <f>IF(Table1[[#This Row],[Control Panel Color Time]]&gt;0,1,0)</f>
        <v>0</v>
      </c>
    </row>
    <row r="249" spans="1:46" s="2" customFormat="1" x14ac:dyDescent="0.25">
      <c r="A249"/>
      <c r="B249"/>
      <c r="C249"/>
      <c r="D249"/>
      <c r="E249"/>
      <c r="F249"/>
      <c r="G249"/>
      <c r="H249"/>
      <c r="I249" s="8">
        <f>+Table1[[#This Row],[Auton ball picked up in our trench]]+Table1[[#This Row],[Auton Balls Picked Up in Mid]]+Table1[[#This Row],[Auton Balls Picked Up In Their Trench]]</f>
        <v>0</v>
      </c>
      <c r="J249" s="8">
        <f>+Table1[[#This Row],[Auton Scored High]]+Table1[[#This Row],[Auton Scored Low]]</f>
        <v>0</v>
      </c>
      <c r="K24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49"/>
      <c r="M249"/>
      <c r="N249"/>
      <c r="O249"/>
      <c r="P249"/>
      <c r="Q249"/>
      <c r="R249"/>
      <c r="S249"/>
      <c r="T249"/>
      <c r="U249"/>
      <c r="V249" s="8">
        <f>Table1[[#This Row],[Balls Scored From Trench]]+Table1[[#This Row],[Balls Scored from Mid]]+Table1[[#This Row],[Balls Scored From Alliance zone]]</f>
        <v>0</v>
      </c>
      <c r="W249" s="8">
        <f>Table1[[#This Row],[balls scored high]]+Table1[[#This Row],[balls scored low]]</f>
        <v>0</v>
      </c>
      <c r="X249" s="8">
        <f>Table1[[#This Row],[Control Panel Spun Time]]+Table1[[#This Row],[Control Panel Color Time]]</f>
        <v>0</v>
      </c>
      <c r="Y249" s="8">
        <f>Table1[[#This Row],[Control Panels Spun]]+Table1[[#This Row],[Control Panel Color]]</f>
        <v>0</v>
      </c>
      <c r="Z24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49"/>
      <c r="AB249"/>
      <c r="AC249"/>
      <c r="AD249"/>
      <c r="AE249"/>
      <c r="AF249"/>
      <c r="AG249"/>
      <c r="AH249"/>
      <c r="AI249"/>
      <c r="AJ249"/>
      <c r="AK249" s="17">
        <f>(Table1[[#This Row],[Climbed]]*weighting!$B$18)+(Table1[[#This Row],[Adjustable Climber]]*weighting!$B$19)+(Table1[[#This Row],[Lift other Robot]]*weighting!$B$20)+(Table1[[#This Row],[Balanced]]*weighting!$B$21)</f>
        <v>0</v>
      </c>
      <c r="AL249" s="8">
        <f>+Table1[[#This Row],[Endgame our score]]+Table1[[#This Row],[teleop our score]]+Table1[[#This Row],[auton our score]]</f>
        <v>0</v>
      </c>
      <c r="AM249" s="20">
        <f t="shared" si="9"/>
        <v>0</v>
      </c>
      <c r="AN249" s="20">
        <f t="shared" si="10"/>
        <v>0</v>
      </c>
      <c r="AO249" s="20">
        <f t="shared" si="11"/>
        <v>0</v>
      </c>
      <c r="AP249" s="20">
        <f>Table1[[#This Row],[balls scored]]+Table1[[#This Row],[auton balls scored]]</f>
        <v>0</v>
      </c>
      <c r="AQ249" s="20">
        <f>Table1[[#This Row],[balls scored high]]+Table1[[#This Row],[Auton Scored High]]</f>
        <v>0</v>
      </c>
      <c r="AR249" s="20">
        <f>Table1[[#This Row],[balls scored low]]+Table1[[#This Row],[Auton Scored Low]]</f>
        <v>0</v>
      </c>
      <c r="AS249" s="50">
        <f>IF(Table1[[#This Row],[Control Panel Spun Time]]&gt;0,1,0)</f>
        <v>0</v>
      </c>
      <c r="AT249" s="20">
        <f>IF(Table1[[#This Row],[Control Panel Color Time]]&gt;0,1,0)</f>
        <v>0</v>
      </c>
    </row>
    <row r="250" spans="1:46" x14ac:dyDescent="0.25">
      <c r="A250"/>
      <c r="I250" s="8">
        <f>+Table1[[#This Row],[Auton ball picked up in our trench]]+Table1[[#This Row],[Auton Balls Picked Up in Mid]]+Table1[[#This Row],[Auton Balls Picked Up In Their Trench]]</f>
        <v>0</v>
      </c>
      <c r="J250" s="8">
        <f>+Table1[[#This Row],[Auton Scored High]]+Table1[[#This Row],[Auton Scored Low]]</f>
        <v>0</v>
      </c>
      <c r="K25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250" s="8">
        <f>Table1[[#This Row],[Balls Scored From Trench]]+Table1[[#This Row],[Balls Scored from Mid]]+Table1[[#This Row],[Balls Scored From Alliance zone]]</f>
        <v>0</v>
      </c>
      <c r="W250" s="8">
        <f>Table1[[#This Row],[balls scored high]]+Table1[[#This Row],[balls scored low]]</f>
        <v>0</v>
      </c>
      <c r="X250" s="8">
        <f>Table1[[#This Row],[Control Panel Spun Time]]+Table1[[#This Row],[Control Panel Color Time]]</f>
        <v>0</v>
      </c>
      <c r="Y250" s="8">
        <f>Table1[[#This Row],[Control Panels Spun]]+Table1[[#This Row],[Control Panel Color]]</f>
        <v>0</v>
      </c>
      <c r="Z25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250" s="17">
        <f>(Table1[[#This Row],[Climbed]]*weighting!$B$18)+(Table1[[#This Row],[Adjustable Climber]]*weighting!$B$19)+(Table1[[#This Row],[Lift other Robot]]*weighting!$B$20)+(Table1[[#This Row],[Balanced]]*weighting!$B$21)</f>
        <v>0</v>
      </c>
      <c r="AL250" s="8">
        <f>+Table1[[#This Row],[Endgame our score]]+Table1[[#This Row],[teleop our score]]+Table1[[#This Row],[auton our score]]</f>
        <v>0</v>
      </c>
      <c r="AM250" s="20">
        <f t="shared" si="9"/>
        <v>0</v>
      </c>
      <c r="AN250" s="20">
        <f t="shared" si="10"/>
        <v>0</v>
      </c>
      <c r="AO250" s="20">
        <f t="shared" si="11"/>
        <v>0</v>
      </c>
      <c r="AP250" s="20">
        <f>Table1[[#This Row],[balls scored]]+Table1[[#This Row],[auton balls scored]]</f>
        <v>0</v>
      </c>
      <c r="AQ250" s="20">
        <f>Table1[[#This Row],[balls scored high]]+Table1[[#This Row],[Auton Scored High]]</f>
        <v>0</v>
      </c>
      <c r="AR250" s="20">
        <f>Table1[[#This Row],[balls scored low]]+Table1[[#This Row],[Auton Scored Low]]</f>
        <v>0</v>
      </c>
      <c r="AS250" s="50">
        <f>IF(Table1[[#This Row],[Control Panel Spun Time]]&gt;0,1,0)</f>
        <v>0</v>
      </c>
      <c r="AT250" s="20">
        <f>IF(Table1[[#This Row],[Control Panel Color Time]]&gt;0,1,0)</f>
        <v>0</v>
      </c>
    </row>
    <row r="251" spans="1:46" s="2" customFormat="1" x14ac:dyDescent="0.25">
      <c r="A251"/>
      <c r="B251"/>
      <c r="C251"/>
      <c r="D251"/>
      <c r="E251"/>
      <c r="F251"/>
      <c r="G251"/>
      <c r="H251"/>
      <c r="I251" s="8">
        <f>+Table1[[#This Row],[Auton ball picked up in our trench]]+Table1[[#This Row],[Auton Balls Picked Up in Mid]]+Table1[[#This Row],[Auton Balls Picked Up In Their Trench]]</f>
        <v>0</v>
      </c>
      <c r="J251" s="8">
        <f>+Table1[[#This Row],[Auton Scored High]]+Table1[[#This Row],[Auton Scored Low]]</f>
        <v>0</v>
      </c>
      <c r="K25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51"/>
      <c r="M251"/>
      <c r="N251"/>
      <c r="O251"/>
      <c r="P251"/>
      <c r="Q251"/>
      <c r="R251"/>
      <c r="S251"/>
      <c r="T251"/>
      <c r="U251"/>
      <c r="V251" s="8">
        <f>Table1[[#This Row],[Balls Scored From Trench]]+Table1[[#This Row],[Balls Scored from Mid]]+Table1[[#This Row],[Balls Scored From Alliance zone]]</f>
        <v>0</v>
      </c>
      <c r="W251" s="8">
        <f>Table1[[#This Row],[balls scored high]]+Table1[[#This Row],[balls scored low]]</f>
        <v>0</v>
      </c>
      <c r="X251" s="8">
        <f>Table1[[#This Row],[Control Panel Spun Time]]+Table1[[#This Row],[Control Panel Color Time]]</f>
        <v>0</v>
      </c>
      <c r="Y251" s="8">
        <f>Table1[[#This Row],[Control Panels Spun]]+Table1[[#This Row],[Control Panel Color]]</f>
        <v>0</v>
      </c>
      <c r="Z25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51"/>
      <c r="AB251"/>
      <c r="AC251"/>
      <c r="AD251"/>
      <c r="AE251"/>
      <c r="AF251"/>
      <c r="AG251"/>
      <c r="AH251"/>
      <c r="AI251"/>
      <c r="AJ251"/>
      <c r="AK251" s="17">
        <f>(Table1[[#This Row],[Climbed]]*weighting!$B$18)+(Table1[[#This Row],[Adjustable Climber]]*weighting!$B$19)+(Table1[[#This Row],[Lift other Robot]]*weighting!$B$20)+(Table1[[#This Row],[Balanced]]*weighting!$B$21)</f>
        <v>0</v>
      </c>
      <c r="AL251" s="8">
        <f>+Table1[[#This Row],[Endgame our score]]+Table1[[#This Row],[teleop our score]]+Table1[[#This Row],[auton our score]]</f>
        <v>0</v>
      </c>
      <c r="AM251" s="20">
        <f t="shared" si="9"/>
        <v>0</v>
      </c>
      <c r="AN251" s="20">
        <f t="shared" si="10"/>
        <v>0</v>
      </c>
      <c r="AO251" s="20">
        <f t="shared" si="11"/>
        <v>0</v>
      </c>
      <c r="AP251" s="20">
        <f>Table1[[#This Row],[balls scored]]+Table1[[#This Row],[auton balls scored]]</f>
        <v>0</v>
      </c>
      <c r="AQ251" s="20">
        <f>Table1[[#This Row],[balls scored high]]+Table1[[#This Row],[Auton Scored High]]</f>
        <v>0</v>
      </c>
      <c r="AR251" s="20">
        <f>Table1[[#This Row],[balls scored low]]+Table1[[#This Row],[Auton Scored Low]]</f>
        <v>0</v>
      </c>
      <c r="AS251" s="50">
        <f>IF(Table1[[#This Row],[Control Panel Spun Time]]&gt;0,1,0)</f>
        <v>0</v>
      </c>
      <c r="AT251" s="20">
        <f>IF(Table1[[#This Row],[Control Panel Color Time]]&gt;0,1,0)</f>
        <v>0</v>
      </c>
    </row>
    <row r="252" spans="1:46" x14ac:dyDescent="0.25">
      <c r="A252"/>
      <c r="I252" s="8">
        <f>+Table1[[#This Row],[Auton ball picked up in our trench]]+Table1[[#This Row],[Auton Balls Picked Up in Mid]]+Table1[[#This Row],[Auton Balls Picked Up In Their Trench]]</f>
        <v>0</v>
      </c>
      <c r="J252" s="8">
        <f>+Table1[[#This Row],[Auton Scored High]]+Table1[[#This Row],[Auton Scored Low]]</f>
        <v>0</v>
      </c>
      <c r="K25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252" s="8">
        <f>Table1[[#This Row],[Balls Scored From Trench]]+Table1[[#This Row],[Balls Scored from Mid]]+Table1[[#This Row],[Balls Scored From Alliance zone]]</f>
        <v>0</v>
      </c>
      <c r="W252" s="8">
        <f>Table1[[#This Row],[balls scored high]]+Table1[[#This Row],[balls scored low]]</f>
        <v>0</v>
      </c>
      <c r="X252" s="8">
        <f>Table1[[#This Row],[Control Panel Spun Time]]+Table1[[#This Row],[Control Panel Color Time]]</f>
        <v>0</v>
      </c>
      <c r="Y252" s="8">
        <f>Table1[[#This Row],[Control Panels Spun]]+Table1[[#This Row],[Control Panel Color]]</f>
        <v>0</v>
      </c>
      <c r="Z25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252" s="17">
        <f>(Table1[[#This Row],[Climbed]]*weighting!$B$18)+(Table1[[#This Row],[Adjustable Climber]]*weighting!$B$19)+(Table1[[#This Row],[Lift other Robot]]*weighting!$B$20)+(Table1[[#This Row],[Balanced]]*weighting!$B$21)</f>
        <v>0</v>
      </c>
      <c r="AL252" s="8">
        <f>+Table1[[#This Row],[Endgame our score]]+Table1[[#This Row],[teleop our score]]+Table1[[#This Row],[auton our score]]</f>
        <v>0</v>
      </c>
      <c r="AM252" s="20">
        <f t="shared" si="9"/>
        <v>0</v>
      </c>
      <c r="AN252" s="20">
        <f t="shared" si="10"/>
        <v>0</v>
      </c>
      <c r="AO252" s="20">
        <f t="shared" si="11"/>
        <v>0</v>
      </c>
      <c r="AP252" s="20">
        <f>Table1[[#This Row],[balls scored]]+Table1[[#This Row],[auton balls scored]]</f>
        <v>0</v>
      </c>
      <c r="AQ252" s="20">
        <f>Table1[[#This Row],[balls scored high]]+Table1[[#This Row],[Auton Scored High]]</f>
        <v>0</v>
      </c>
      <c r="AR252" s="20">
        <f>Table1[[#This Row],[balls scored low]]+Table1[[#This Row],[Auton Scored Low]]</f>
        <v>0</v>
      </c>
      <c r="AS252" s="50">
        <f>IF(Table1[[#This Row],[Control Panel Spun Time]]&gt;0,1,0)</f>
        <v>0</v>
      </c>
      <c r="AT252" s="20">
        <f>IF(Table1[[#This Row],[Control Panel Color Time]]&gt;0,1,0)</f>
        <v>0</v>
      </c>
    </row>
    <row r="253" spans="1:46" s="2" customFormat="1" x14ac:dyDescent="0.25">
      <c r="A253"/>
      <c r="B253"/>
      <c r="C253"/>
      <c r="D253"/>
      <c r="E253"/>
      <c r="F253"/>
      <c r="G253"/>
      <c r="H253"/>
      <c r="I253" s="8">
        <f>+Table1[[#This Row],[Auton ball picked up in our trench]]+Table1[[#This Row],[Auton Balls Picked Up in Mid]]+Table1[[#This Row],[Auton Balls Picked Up In Their Trench]]</f>
        <v>0</v>
      </c>
      <c r="J253" s="8">
        <f>+Table1[[#This Row],[Auton Scored High]]+Table1[[#This Row],[Auton Scored Low]]</f>
        <v>0</v>
      </c>
      <c r="K25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53"/>
      <c r="M253"/>
      <c r="N253"/>
      <c r="O253"/>
      <c r="P253"/>
      <c r="Q253"/>
      <c r="R253"/>
      <c r="S253"/>
      <c r="T253"/>
      <c r="U253"/>
      <c r="V253" s="8">
        <f>Table1[[#This Row],[Balls Scored From Trench]]+Table1[[#This Row],[Balls Scored from Mid]]+Table1[[#This Row],[Balls Scored From Alliance zone]]</f>
        <v>0</v>
      </c>
      <c r="W253" s="8">
        <f>Table1[[#This Row],[balls scored high]]+Table1[[#This Row],[balls scored low]]</f>
        <v>0</v>
      </c>
      <c r="X253" s="8">
        <f>Table1[[#This Row],[Control Panel Spun Time]]+Table1[[#This Row],[Control Panel Color Time]]</f>
        <v>0</v>
      </c>
      <c r="Y253" s="8">
        <f>Table1[[#This Row],[Control Panels Spun]]+Table1[[#This Row],[Control Panel Color]]</f>
        <v>0</v>
      </c>
      <c r="Z25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53"/>
      <c r="AB253"/>
      <c r="AC253"/>
      <c r="AD253"/>
      <c r="AE253"/>
      <c r="AF253"/>
      <c r="AG253"/>
      <c r="AH253"/>
      <c r="AI253"/>
      <c r="AJ253"/>
      <c r="AK253" s="17">
        <f>(Table1[[#This Row],[Climbed]]*weighting!$B$18)+(Table1[[#This Row],[Adjustable Climber]]*weighting!$B$19)+(Table1[[#This Row],[Lift other Robot]]*weighting!$B$20)+(Table1[[#This Row],[Balanced]]*weighting!$B$21)</f>
        <v>0</v>
      </c>
      <c r="AL253" s="8">
        <f>+Table1[[#This Row],[Endgame our score]]+Table1[[#This Row],[teleop our score]]+Table1[[#This Row],[auton our score]]</f>
        <v>0</v>
      </c>
      <c r="AM253" s="20">
        <f t="shared" si="9"/>
        <v>0</v>
      </c>
      <c r="AN253" s="20">
        <f t="shared" si="10"/>
        <v>0</v>
      </c>
      <c r="AO253" s="20">
        <f t="shared" si="11"/>
        <v>0</v>
      </c>
      <c r="AP253" s="20">
        <f>Table1[[#This Row],[balls scored]]+Table1[[#This Row],[auton balls scored]]</f>
        <v>0</v>
      </c>
      <c r="AQ253" s="20">
        <f>Table1[[#This Row],[balls scored high]]+Table1[[#This Row],[Auton Scored High]]</f>
        <v>0</v>
      </c>
      <c r="AR253" s="20">
        <f>Table1[[#This Row],[balls scored low]]+Table1[[#This Row],[Auton Scored Low]]</f>
        <v>0</v>
      </c>
      <c r="AS253" s="50">
        <f>IF(Table1[[#This Row],[Control Panel Spun Time]]&gt;0,1,0)</f>
        <v>0</v>
      </c>
      <c r="AT253" s="20">
        <f>IF(Table1[[#This Row],[Control Panel Color Time]]&gt;0,1,0)</f>
        <v>0</v>
      </c>
    </row>
    <row r="254" spans="1:46" x14ac:dyDescent="0.25">
      <c r="A254"/>
      <c r="I254" s="8">
        <f>+Table1[[#This Row],[Auton ball picked up in our trench]]+Table1[[#This Row],[Auton Balls Picked Up in Mid]]+Table1[[#This Row],[Auton Balls Picked Up In Their Trench]]</f>
        <v>0</v>
      </c>
      <c r="J254" s="8">
        <f>+Table1[[#This Row],[Auton Scored High]]+Table1[[#This Row],[Auton Scored Low]]</f>
        <v>0</v>
      </c>
      <c r="K25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254" s="8">
        <f>Table1[[#This Row],[Balls Scored From Trench]]+Table1[[#This Row],[Balls Scored from Mid]]+Table1[[#This Row],[Balls Scored From Alliance zone]]</f>
        <v>0</v>
      </c>
      <c r="W254" s="8">
        <f>Table1[[#This Row],[balls scored high]]+Table1[[#This Row],[balls scored low]]</f>
        <v>0</v>
      </c>
      <c r="X254" s="8">
        <f>Table1[[#This Row],[Control Panel Spun Time]]+Table1[[#This Row],[Control Panel Color Time]]</f>
        <v>0</v>
      </c>
      <c r="Y254" s="8">
        <f>Table1[[#This Row],[Control Panels Spun]]+Table1[[#This Row],[Control Panel Color]]</f>
        <v>0</v>
      </c>
      <c r="Z25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254" s="17">
        <f>(Table1[[#This Row],[Climbed]]*weighting!$B$18)+(Table1[[#This Row],[Adjustable Climber]]*weighting!$B$19)+(Table1[[#This Row],[Lift other Robot]]*weighting!$B$20)+(Table1[[#This Row],[Balanced]]*weighting!$B$21)</f>
        <v>0</v>
      </c>
      <c r="AL254" s="8">
        <f>+Table1[[#This Row],[Endgame our score]]+Table1[[#This Row],[teleop our score]]+Table1[[#This Row],[auton our score]]</f>
        <v>0</v>
      </c>
      <c r="AM254" s="20">
        <f t="shared" si="9"/>
        <v>0</v>
      </c>
      <c r="AN254" s="20">
        <f t="shared" si="10"/>
        <v>0</v>
      </c>
      <c r="AO254" s="20">
        <f t="shared" si="11"/>
        <v>0</v>
      </c>
      <c r="AP254" s="20">
        <f>Table1[[#This Row],[balls scored]]+Table1[[#This Row],[auton balls scored]]</f>
        <v>0</v>
      </c>
      <c r="AQ254" s="20">
        <f>Table1[[#This Row],[balls scored high]]+Table1[[#This Row],[Auton Scored High]]</f>
        <v>0</v>
      </c>
      <c r="AR254" s="20">
        <f>Table1[[#This Row],[balls scored low]]+Table1[[#This Row],[Auton Scored Low]]</f>
        <v>0</v>
      </c>
      <c r="AS254" s="50">
        <f>IF(Table1[[#This Row],[Control Panel Spun Time]]&gt;0,1,0)</f>
        <v>0</v>
      </c>
      <c r="AT254" s="20">
        <f>IF(Table1[[#This Row],[Control Panel Color Time]]&gt;0,1,0)</f>
        <v>0</v>
      </c>
    </row>
    <row r="255" spans="1:46" s="2" customFormat="1" x14ac:dyDescent="0.25">
      <c r="A255"/>
      <c r="B255"/>
      <c r="C255"/>
      <c r="D255"/>
      <c r="E255"/>
      <c r="F255"/>
      <c r="G255"/>
      <c r="H255"/>
      <c r="I255" s="8">
        <f>+Table1[[#This Row],[Auton ball picked up in our trench]]+Table1[[#This Row],[Auton Balls Picked Up in Mid]]+Table1[[#This Row],[Auton Balls Picked Up In Their Trench]]</f>
        <v>0</v>
      </c>
      <c r="J255" s="8">
        <f>+Table1[[#This Row],[Auton Scored High]]+Table1[[#This Row],[Auton Scored Low]]</f>
        <v>0</v>
      </c>
      <c r="K25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55"/>
      <c r="M255"/>
      <c r="N255"/>
      <c r="O255"/>
      <c r="P255"/>
      <c r="Q255"/>
      <c r="R255"/>
      <c r="S255"/>
      <c r="T255"/>
      <c r="U255"/>
      <c r="V255" s="8">
        <f>Table1[[#This Row],[Balls Scored From Trench]]+Table1[[#This Row],[Balls Scored from Mid]]+Table1[[#This Row],[Balls Scored From Alliance zone]]</f>
        <v>0</v>
      </c>
      <c r="W255" s="8">
        <f>Table1[[#This Row],[balls scored high]]+Table1[[#This Row],[balls scored low]]</f>
        <v>0</v>
      </c>
      <c r="X255" s="8">
        <f>Table1[[#This Row],[Control Panel Spun Time]]+Table1[[#This Row],[Control Panel Color Time]]</f>
        <v>0</v>
      </c>
      <c r="Y255" s="8">
        <f>Table1[[#This Row],[Control Panels Spun]]+Table1[[#This Row],[Control Panel Color]]</f>
        <v>0</v>
      </c>
      <c r="Z25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55"/>
      <c r="AB255"/>
      <c r="AC255"/>
      <c r="AD255"/>
      <c r="AE255"/>
      <c r="AF255"/>
      <c r="AG255"/>
      <c r="AH255"/>
      <c r="AI255"/>
      <c r="AJ255"/>
      <c r="AK255" s="17">
        <f>(Table1[[#This Row],[Climbed]]*weighting!$B$18)+(Table1[[#This Row],[Adjustable Climber]]*weighting!$B$19)+(Table1[[#This Row],[Lift other Robot]]*weighting!$B$20)+(Table1[[#This Row],[Balanced]]*weighting!$B$21)</f>
        <v>0</v>
      </c>
      <c r="AL255" s="8">
        <f>+Table1[[#This Row],[Endgame our score]]+Table1[[#This Row],[teleop our score]]+Table1[[#This Row],[auton our score]]</f>
        <v>0</v>
      </c>
      <c r="AM255" s="20">
        <f t="shared" si="9"/>
        <v>0</v>
      </c>
      <c r="AN255" s="20">
        <f t="shared" si="10"/>
        <v>0</v>
      </c>
      <c r="AO255" s="20">
        <f t="shared" si="11"/>
        <v>0</v>
      </c>
      <c r="AP255" s="20">
        <f>Table1[[#This Row],[balls scored]]+Table1[[#This Row],[auton balls scored]]</f>
        <v>0</v>
      </c>
      <c r="AQ255" s="20">
        <f>Table1[[#This Row],[balls scored high]]+Table1[[#This Row],[Auton Scored High]]</f>
        <v>0</v>
      </c>
      <c r="AR255" s="20">
        <f>Table1[[#This Row],[balls scored low]]+Table1[[#This Row],[Auton Scored Low]]</f>
        <v>0</v>
      </c>
      <c r="AS255" s="50">
        <f>IF(Table1[[#This Row],[Control Panel Spun Time]]&gt;0,1,0)</f>
        <v>0</v>
      </c>
      <c r="AT255" s="20">
        <f>IF(Table1[[#This Row],[Control Panel Color Time]]&gt;0,1,0)</f>
        <v>0</v>
      </c>
    </row>
    <row r="256" spans="1:46" x14ac:dyDescent="0.25">
      <c r="A256"/>
      <c r="I256" s="8">
        <f>+Table1[[#This Row],[Auton ball picked up in our trench]]+Table1[[#This Row],[Auton Balls Picked Up in Mid]]+Table1[[#This Row],[Auton Balls Picked Up In Their Trench]]</f>
        <v>0</v>
      </c>
      <c r="J256" s="8">
        <f>+Table1[[#This Row],[Auton Scored High]]+Table1[[#This Row],[Auton Scored Low]]</f>
        <v>0</v>
      </c>
      <c r="K25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256" s="8">
        <f>Table1[[#This Row],[Balls Scored From Trench]]+Table1[[#This Row],[Balls Scored from Mid]]+Table1[[#This Row],[Balls Scored From Alliance zone]]</f>
        <v>0</v>
      </c>
      <c r="W256" s="8">
        <f>Table1[[#This Row],[balls scored high]]+Table1[[#This Row],[balls scored low]]</f>
        <v>0</v>
      </c>
      <c r="X256" s="8">
        <f>Table1[[#This Row],[Control Panel Spun Time]]+Table1[[#This Row],[Control Panel Color Time]]</f>
        <v>0</v>
      </c>
      <c r="Y256" s="8">
        <f>Table1[[#This Row],[Control Panels Spun]]+Table1[[#This Row],[Control Panel Color]]</f>
        <v>0</v>
      </c>
      <c r="Z25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256" s="17">
        <f>(Table1[[#This Row],[Climbed]]*weighting!$B$18)+(Table1[[#This Row],[Adjustable Climber]]*weighting!$B$19)+(Table1[[#This Row],[Lift other Robot]]*weighting!$B$20)+(Table1[[#This Row],[Balanced]]*weighting!$B$21)</f>
        <v>0</v>
      </c>
      <c r="AL256" s="8">
        <f>+Table1[[#This Row],[Endgame our score]]+Table1[[#This Row],[teleop our score]]+Table1[[#This Row],[auton our score]]</f>
        <v>0</v>
      </c>
      <c r="AM256" s="20">
        <f t="shared" si="9"/>
        <v>0</v>
      </c>
      <c r="AN256" s="20">
        <f t="shared" si="10"/>
        <v>0</v>
      </c>
      <c r="AO256" s="20">
        <f t="shared" si="11"/>
        <v>0</v>
      </c>
      <c r="AP256" s="20">
        <f>Table1[[#This Row],[balls scored]]+Table1[[#This Row],[auton balls scored]]</f>
        <v>0</v>
      </c>
      <c r="AQ256" s="20">
        <f>Table1[[#This Row],[balls scored high]]+Table1[[#This Row],[Auton Scored High]]</f>
        <v>0</v>
      </c>
      <c r="AR256" s="20">
        <f>Table1[[#This Row],[balls scored low]]+Table1[[#This Row],[Auton Scored Low]]</f>
        <v>0</v>
      </c>
      <c r="AS256" s="50">
        <f>IF(Table1[[#This Row],[Control Panel Spun Time]]&gt;0,1,0)</f>
        <v>0</v>
      </c>
      <c r="AT256" s="20">
        <f>IF(Table1[[#This Row],[Control Panel Color Time]]&gt;0,1,0)</f>
        <v>0</v>
      </c>
    </row>
    <row r="257" spans="1:46" s="2" customFormat="1" x14ac:dyDescent="0.25">
      <c r="A257"/>
      <c r="B257"/>
      <c r="C257"/>
      <c r="D257"/>
      <c r="E257"/>
      <c r="F257"/>
      <c r="G257"/>
      <c r="H257"/>
      <c r="I257" s="8">
        <f>+Table1[[#This Row],[Auton ball picked up in our trench]]+Table1[[#This Row],[Auton Balls Picked Up in Mid]]+Table1[[#This Row],[Auton Balls Picked Up In Their Trench]]</f>
        <v>0</v>
      </c>
      <c r="J257" s="8">
        <f>+Table1[[#This Row],[Auton Scored High]]+Table1[[#This Row],[Auton Scored Low]]</f>
        <v>0</v>
      </c>
      <c r="K25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57"/>
      <c r="M257"/>
      <c r="N257"/>
      <c r="O257"/>
      <c r="P257"/>
      <c r="Q257"/>
      <c r="R257"/>
      <c r="S257"/>
      <c r="T257"/>
      <c r="U257"/>
      <c r="V257" s="8">
        <f>Table1[[#This Row],[Balls Scored From Trench]]+Table1[[#This Row],[Balls Scored from Mid]]+Table1[[#This Row],[Balls Scored From Alliance zone]]</f>
        <v>0</v>
      </c>
      <c r="W257" s="8">
        <f>Table1[[#This Row],[balls scored high]]+Table1[[#This Row],[balls scored low]]</f>
        <v>0</v>
      </c>
      <c r="X257" s="8">
        <f>Table1[[#This Row],[Control Panel Spun Time]]+Table1[[#This Row],[Control Panel Color Time]]</f>
        <v>0</v>
      </c>
      <c r="Y257" s="8">
        <f>Table1[[#This Row],[Control Panels Spun]]+Table1[[#This Row],[Control Panel Color]]</f>
        <v>0</v>
      </c>
      <c r="Z25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57"/>
      <c r="AB257"/>
      <c r="AC257"/>
      <c r="AD257"/>
      <c r="AE257"/>
      <c r="AF257"/>
      <c r="AG257"/>
      <c r="AH257"/>
      <c r="AI257"/>
      <c r="AJ257"/>
      <c r="AK257" s="17">
        <f>(Table1[[#This Row],[Climbed]]*weighting!$B$18)+(Table1[[#This Row],[Adjustable Climber]]*weighting!$B$19)+(Table1[[#This Row],[Lift other Robot]]*weighting!$B$20)+(Table1[[#This Row],[Balanced]]*weighting!$B$21)</f>
        <v>0</v>
      </c>
      <c r="AL257" s="8">
        <f>+Table1[[#This Row],[Endgame our score]]+Table1[[#This Row],[teleop our score]]+Table1[[#This Row],[auton our score]]</f>
        <v>0</v>
      </c>
      <c r="AM257" s="20">
        <f t="shared" si="9"/>
        <v>0</v>
      </c>
      <c r="AN257" s="20">
        <f t="shared" si="10"/>
        <v>0</v>
      </c>
      <c r="AO257" s="20">
        <f t="shared" si="11"/>
        <v>0</v>
      </c>
      <c r="AP257" s="20">
        <f>Table1[[#This Row],[balls scored]]+Table1[[#This Row],[auton balls scored]]</f>
        <v>0</v>
      </c>
      <c r="AQ257" s="20">
        <f>Table1[[#This Row],[balls scored high]]+Table1[[#This Row],[Auton Scored High]]</f>
        <v>0</v>
      </c>
      <c r="AR257" s="20">
        <f>Table1[[#This Row],[balls scored low]]+Table1[[#This Row],[Auton Scored Low]]</f>
        <v>0</v>
      </c>
      <c r="AS257" s="50">
        <f>IF(Table1[[#This Row],[Control Panel Spun Time]]&gt;0,1,0)</f>
        <v>0</v>
      </c>
      <c r="AT257" s="20">
        <f>IF(Table1[[#This Row],[Control Panel Color Time]]&gt;0,1,0)</f>
        <v>0</v>
      </c>
    </row>
    <row r="258" spans="1:46" x14ac:dyDescent="0.25">
      <c r="A258"/>
      <c r="I258" s="8">
        <f>+Table1[[#This Row],[Auton ball picked up in our trench]]+Table1[[#This Row],[Auton Balls Picked Up in Mid]]+Table1[[#This Row],[Auton Balls Picked Up In Their Trench]]</f>
        <v>0</v>
      </c>
      <c r="J258" s="8">
        <f>+Table1[[#This Row],[Auton Scored High]]+Table1[[#This Row],[Auton Scored Low]]</f>
        <v>0</v>
      </c>
      <c r="K25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258" s="8">
        <f>Table1[[#This Row],[Balls Scored From Trench]]+Table1[[#This Row],[Balls Scored from Mid]]+Table1[[#This Row],[Balls Scored From Alliance zone]]</f>
        <v>0</v>
      </c>
      <c r="W258" s="8">
        <f>Table1[[#This Row],[balls scored high]]+Table1[[#This Row],[balls scored low]]</f>
        <v>0</v>
      </c>
      <c r="X258" s="8">
        <f>Table1[[#This Row],[Control Panel Spun Time]]+Table1[[#This Row],[Control Panel Color Time]]</f>
        <v>0</v>
      </c>
      <c r="Y258" s="8">
        <f>Table1[[#This Row],[Control Panels Spun]]+Table1[[#This Row],[Control Panel Color]]</f>
        <v>0</v>
      </c>
      <c r="Z25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258" s="17">
        <f>(Table1[[#This Row],[Climbed]]*weighting!$B$18)+(Table1[[#This Row],[Adjustable Climber]]*weighting!$B$19)+(Table1[[#This Row],[Lift other Robot]]*weighting!$B$20)+(Table1[[#This Row],[Balanced]]*weighting!$B$21)</f>
        <v>0</v>
      </c>
      <c r="AL258" s="8">
        <f>+Table1[[#This Row],[Endgame our score]]+Table1[[#This Row],[teleop our score]]+Table1[[#This Row],[auton our score]]</f>
        <v>0</v>
      </c>
      <c r="AM258" s="20">
        <f t="shared" ref="AM258:AM321" si="12">IF(B258=1,1,0)</f>
        <v>0</v>
      </c>
      <c r="AN258" s="20">
        <f t="shared" ref="AN258:AN321" si="13">IF(B258=2,1,0)</f>
        <v>0</v>
      </c>
      <c r="AO258" s="20">
        <f t="shared" ref="AO258:AO321" si="14">IF(B258=3,1,0)</f>
        <v>0</v>
      </c>
      <c r="AP258" s="20">
        <f>Table1[[#This Row],[balls scored]]+Table1[[#This Row],[auton balls scored]]</f>
        <v>0</v>
      </c>
      <c r="AQ258" s="20">
        <f>Table1[[#This Row],[balls scored high]]+Table1[[#This Row],[Auton Scored High]]</f>
        <v>0</v>
      </c>
      <c r="AR258" s="20">
        <f>Table1[[#This Row],[balls scored low]]+Table1[[#This Row],[Auton Scored Low]]</f>
        <v>0</v>
      </c>
      <c r="AS258" s="50">
        <f>IF(Table1[[#This Row],[Control Panel Spun Time]]&gt;0,1,0)</f>
        <v>0</v>
      </c>
      <c r="AT258" s="20">
        <f>IF(Table1[[#This Row],[Control Panel Color Time]]&gt;0,1,0)</f>
        <v>0</v>
      </c>
    </row>
    <row r="259" spans="1:46" s="2" customFormat="1" x14ac:dyDescent="0.25">
      <c r="A259"/>
      <c r="B259"/>
      <c r="C259"/>
      <c r="D259"/>
      <c r="E259"/>
      <c r="F259"/>
      <c r="G259"/>
      <c r="H259"/>
      <c r="I259" s="8">
        <f>+Table1[[#This Row],[Auton ball picked up in our trench]]+Table1[[#This Row],[Auton Balls Picked Up in Mid]]+Table1[[#This Row],[Auton Balls Picked Up In Their Trench]]</f>
        <v>0</v>
      </c>
      <c r="J259" s="8">
        <f>+Table1[[#This Row],[Auton Scored High]]+Table1[[#This Row],[Auton Scored Low]]</f>
        <v>0</v>
      </c>
      <c r="K25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59"/>
      <c r="M259"/>
      <c r="N259"/>
      <c r="O259"/>
      <c r="P259"/>
      <c r="Q259"/>
      <c r="R259"/>
      <c r="S259"/>
      <c r="T259"/>
      <c r="U259"/>
      <c r="V259" s="8">
        <f>Table1[[#This Row],[Balls Scored From Trench]]+Table1[[#This Row],[Balls Scored from Mid]]+Table1[[#This Row],[Balls Scored From Alliance zone]]</f>
        <v>0</v>
      </c>
      <c r="W259" s="8">
        <f>Table1[[#This Row],[balls scored high]]+Table1[[#This Row],[balls scored low]]</f>
        <v>0</v>
      </c>
      <c r="X259" s="8">
        <f>Table1[[#This Row],[Control Panel Spun Time]]+Table1[[#This Row],[Control Panel Color Time]]</f>
        <v>0</v>
      </c>
      <c r="Y259" s="8">
        <f>Table1[[#This Row],[Control Panels Spun]]+Table1[[#This Row],[Control Panel Color]]</f>
        <v>0</v>
      </c>
      <c r="Z25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59"/>
      <c r="AB259"/>
      <c r="AC259"/>
      <c r="AD259"/>
      <c r="AE259"/>
      <c r="AF259"/>
      <c r="AG259"/>
      <c r="AH259"/>
      <c r="AI259"/>
      <c r="AJ259"/>
      <c r="AK259" s="17">
        <f>(Table1[[#This Row],[Climbed]]*weighting!$B$18)+(Table1[[#This Row],[Adjustable Climber]]*weighting!$B$19)+(Table1[[#This Row],[Lift other Robot]]*weighting!$B$20)+(Table1[[#This Row],[Balanced]]*weighting!$B$21)</f>
        <v>0</v>
      </c>
      <c r="AL259" s="8">
        <f>+Table1[[#This Row],[Endgame our score]]+Table1[[#This Row],[teleop our score]]+Table1[[#This Row],[auton our score]]</f>
        <v>0</v>
      </c>
      <c r="AM259" s="20">
        <f t="shared" si="12"/>
        <v>0</v>
      </c>
      <c r="AN259" s="20">
        <f t="shared" si="13"/>
        <v>0</v>
      </c>
      <c r="AO259" s="20">
        <f t="shared" si="14"/>
        <v>0</v>
      </c>
      <c r="AP259" s="20">
        <f>Table1[[#This Row],[balls scored]]+Table1[[#This Row],[auton balls scored]]</f>
        <v>0</v>
      </c>
      <c r="AQ259" s="20">
        <f>Table1[[#This Row],[balls scored high]]+Table1[[#This Row],[Auton Scored High]]</f>
        <v>0</v>
      </c>
      <c r="AR259" s="20">
        <f>Table1[[#This Row],[balls scored low]]+Table1[[#This Row],[Auton Scored Low]]</f>
        <v>0</v>
      </c>
      <c r="AS259" s="50">
        <f>IF(Table1[[#This Row],[Control Panel Spun Time]]&gt;0,1,0)</f>
        <v>0</v>
      </c>
      <c r="AT259" s="20">
        <f>IF(Table1[[#This Row],[Control Panel Color Time]]&gt;0,1,0)</f>
        <v>0</v>
      </c>
    </row>
    <row r="260" spans="1:46" x14ac:dyDescent="0.25">
      <c r="A260"/>
      <c r="I260" s="8">
        <f>+Table1[[#This Row],[Auton ball picked up in our trench]]+Table1[[#This Row],[Auton Balls Picked Up in Mid]]+Table1[[#This Row],[Auton Balls Picked Up In Their Trench]]</f>
        <v>0</v>
      </c>
      <c r="J260" s="8">
        <f>+Table1[[#This Row],[Auton Scored High]]+Table1[[#This Row],[Auton Scored Low]]</f>
        <v>0</v>
      </c>
      <c r="K26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260" s="8">
        <f>Table1[[#This Row],[Balls Scored From Trench]]+Table1[[#This Row],[Balls Scored from Mid]]+Table1[[#This Row],[Balls Scored From Alliance zone]]</f>
        <v>0</v>
      </c>
      <c r="W260" s="8">
        <f>Table1[[#This Row],[balls scored high]]+Table1[[#This Row],[balls scored low]]</f>
        <v>0</v>
      </c>
      <c r="X260" s="8">
        <f>Table1[[#This Row],[Control Panel Spun Time]]+Table1[[#This Row],[Control Panel Color Time]]</f>
        <v>0</v>
      </c>
      <c r="Y260" s="8">
        <f>Table1[[#This Row],[Control Panels Spun]]+Table1[[#This Row],[Control Panel Color]]</f>
        <v>0</v>
      </c>
      <c r="Z26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260" s="17">
        <f>(Table1[[#This Row],[Climbed]]*weighting!$B$18)+(Table1[[#This Row],[Adjustable Climber]]*weighting!$B$19)+(Table1[[#This Row],[Lift other Robot]]*weighting!$B$20)+(Table1[[#This Row],[Balanced]]*weighting!$B$21)</f>
        <v>0</v>
      </c>
      <c r="AL260" s="8">
        <f>+Table1[[#This Row],[Endgame our score]]+Table1[[#This Row],[teleop our score]]+Table1[[#This Row],[auton our score]]</f>
        <v>0</v>
      </c>
      <c r="AM260" s="20">
        <f t="shared" si="12"/>
        <v>0</v>
      </c>
      <c r="AN260" s="20">
        <f t="shared" si="13"/>
        <v>0</v>
      </c>
      <c r="AO260" s="20">
        <f t="shared" si="14"/>
        <v>0</v>
      </c>
      <c r="AP260" s="20">
        <f>Table1[[#This Row],[balls scored]]+Table1[[#This Row],[auton balls scored]]</f>
        <v>0</v>
      </c>
      <c r="AQ260" s="20">
        <f>Table1[[#This Row],[balls scored high]]+Table1[[#This Row],[Auton Scored High]]</f>
        <v>0</v>
      </c>
      <c r="AR260" s="20">
        <f>Table1[[#This Row],[balls scored low]]+Table1[[#This Row],[Auton Scored Low]]</f>
        <v>0</v>
      </c>
      <c r="AS260" s="50">
        <f>IF(Table1[[#This Row],[Control Panel Spun Time]]&gt;0,1,0)</f>
        <v>0</v>
      </c>
      <c r="AT260" s="20">
        <f>IF(Table1[[#This Row],[Control Panel Color Time]]&gt;0,1,0)</f>
        <v>0</v>
      </c>
    </row>
    <row r="261" spans="1:46" s="2" customFormat="1" x14ac:dyDescent="0.25">
      <c r="A261"/>
      <c r="B261"/>
      <c r="C261"/>
      <c r="D261"/>
      <c r="E261"/>
      <c r="F261"/>
      <c r="G261"/>
      <c r="H261"/>
      <c r="I261" s="8">
        <f>+Table1[[#This Row],[Auton ball picked up in our trench]]+Table1[[#This Row],[Auton Balls Picked Up in Mid]]+Table1[[#This Row],[Auton Balls Picked Up In Their Trench]]</f>
        <v>0</v>
      </c>
      <c r="J261" s="8">
        <f>+Table1[[#This Row],[Auton Scored High]]+Table1[[#This Row],[Auton Scored Low]]</f>
        <v>0</v>
      </c>
      <c r="K26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61"/>
      <c r="M261"/>
      <c r="N261"/>
      <c r="O261"/>
      <c r="P261"/>
      <c r="Q261"/>
      <c r="R261"/>
      <c r="S261"/>
      <c r="T261"/>
      <c r="U261"/>
      <c r="V261" s="8">
        <f>Table1[[#This Row],[Balls Scored From Trench]]+Table1[[#This Row],[Balls Scored from Mid]]+Table1[[#This Row],[Balls Scored From Alliance zone]]</f>
        <v>0</v>
      </c>
      <c r="W261" s="8">
        <f>Table1[[#This Row],[balls scored high]]+Table1[[#This Row],[balls scored low]]</f>
        <v>0</v>
      </c>
      <c r="X261" s="8">
        <f>Table1[[#This Row],[Control Panel Spun Time]]+Table1[[#This Row],[Control Panel Color Time]]</f>
        <v>0</v>
      </c>
      <c r="Y261" s="8">
        <f>Table1[[#This Row],[Control Panels Spun]]+Table1[[#This Row],[Control Panel Color]]</f>
        <v>0</v>
      </c>
      <c r="Z26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61"/>
      <c r="AB261"/>
      <c r="AC261"/>
      <c r="AD261"/>
      <c r="AE261"/>
      <c r="AF261"/>
      <c r="AG261"/>
      <c r="AH261"/>
      <c r="AI261"/>
      <c r="AJ261"/>
      <c r="AK261" s="17">
        <f>(Table1[[#This Row],[Climbed]]*weighting!$B$18)+(Table1[[#This Row],[Adjustable Climber]]*weighting!$B$19)+(Table1[[#This Row],[Lift other Robot]]*weighting!$B$20)+(Table1[[#This Row],[Balanced]]*weighting!$B$21)</f>
        <v>0</v>
      </c>
      <c r="AL261" s="8">
        <f>+Table1[[#This Row],[Endgame our score]]+Table1[[#This Row],[teleop our score]]+Table1[[#This Row],[auton our score]]</f>
        <v>0</v>
      </c>
      <c r="AM261" s="20">
        <f t="shared" si="12"/>
        <v>0</v>
      </c>
      <c r="AN261" s="20">
        <f t="shared" si="13"/>
        <v>0</v>
      </c>
      <c r="AO261" s="20">
        <f t="shared" si="14"/>
        <v>0</v>
      </c>
      <c r="AP261" s="20">
        <f>Table1[[#This Row],[balls scored]]+Table1[[#This Row],[auton balls scored]]</f>
        <v>0</v>
      </c>
      <c r="AQ261" s="20">
        <f>Table1[[#This Row],[balls scored high]]+Table1[[#This Row],[Auton Scored High]]</f>
        <v>0</v>
      </c>
      <c r="AR261" s="20">
        <f>Table1[[#This Row],[balls scored low]]+Table1[[#This Row],[Auton Scored Low]]</f>
        <v>0</v>
      </c>
      <c r="AS261" s="50">
        <f>IF(Table1[[#This Row],[Control Panel Spun Time]]&gt;0,1,0)</f>
        <v>0</v>
      </c>
      <c r="AT261" s="20">
        <f>IF(Table1[[#This Row],[Control Panel Color Time]]&gt;0,1,0)</f>
        <v>0</v>
      </c>
    </row>
    <row r="262" spans="1:46" x14ac:dyDescent="0.25">
      <c r="A262"/>
      <c r="I262" s="8">
        <f>+Table1[[#This Row],[Auton ball picked up in our trench]]+Table1[[#This Row],[Auton Balls Picked Up in Mid]]+Table1[[#This Row],[Auton Balls Picked Up In Their Trench]]</f>
        <v>0</v>
      </c>
      <c r="J262" s="8">
        <f>+Table1[[#This Row],[Auton Scored High]]+Table1[[#This Row],[Auton Scored Low]]</f>
        <v>0</v>
      </c>
      <c r="K26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262" s="8">
        <f>Table1[[#This Row],[Balls Scored From Trench]]+Table1[[#This Row],[Balls Scored from Mid]]+Table1[[#This Row],[Balls Scored From Alliance zone]]</f>
        <v>0</v>
      </c>
      <c r="W262" s="8">
        <f>Table1[[#This Row],[balls scored high]]+Table1[[#This Row],[balls scored low]]</f>
        <v>0</v>
      </c>
      <c r="X262" s="8">
        <f>Table1[[#This Row],[Control Panel Spun Time]]+Table1[[#This Row],[Control Panel Color Time]]</f>
        <v>0</v>
      </c>
      <c r="Y262" s="8">
        <f>Table1[[#This Row],[Control Panels Spun]]+Table1[[#This Row],[Control Panel Color]]</f>
        <v>0</v>
      </c>
      <c r="Z26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262" s="17">
        <f>(Table1[[#This Row],[Climbed]]*weighting!$B$18)+(Table1[[#This Row],[Adjustable Climber]]*weighting!$B$19)+(Table1[[#This Row],[Lift other Robot]]*weighting!$B$20)+(Table1[[#This Row],[Balanced]]*weighting!$B$21)</f>
        <v>0</v>
      </c>
      <c r="AL262" s="8">
        <f>+Table1[[#This Row],[Endgame our score]]+Table1[[#This Row],[teleop our score]]+Table1[[#This Row],[auton our score]]</f>
        <v>0</v>
      </c>
      <c r="AM262" s="20">
        <f t="shared" si="12"/>
        <v>0</v>
      </c>
      <c r="AN262" s="20">
        <f t="shared" si="13"/>
        <v>0</v>
      </c>
      <c r="AO262" s="20">
        <f t="shared" si="14"/>
        <v>0</v>
      </c>
      <c r="AP262" s="20">
        <f>Table1[[#This Row],[balls scored]]+Table1[[#This Row],[auton balls scored]]</f>
        <v>0</v>
      </c>
      <c r="AQ262" s="20">
        <f>Table1[[#This Row],[balls scored high]]+Table1[[#This Row],[Auton Scored High]]</f>
        <v>0</v>
      </c>
      <c r="AR262" s="20">
        <f>Table1[[#This Row],[balls scored low]]+Table1[[#This Row],[Auton Scored Low]]</f>
        <v>0</v>
      </c>
      <c r="AS262" s="50">
        <f>IF(Table1[[#This Row],[Control Panel Spun Time]]&gt;0,1,0)</f>
        <v>0</v>
      </c>
      <c r="AT262" s="20">
        <f>IF(Table1[[#This Row],[Control Panel Color Time]]&gt;0,1,0)</f>
        <v>0</v>
      </c>
    </row>
    <row r="263" spans="1:46" s="2" customFormat="1" x14ac:dyDescent="0.25">
      <c r="A263"/>
      <c r="B263"/>
      <c r="C263"/>
      <c r="D263"/>
      <c r="E263"/>
      <c r="F263"/>
      <c r="G263"/>
      <c r="H263"/>
      <c r="I263" s="8">
        <f>+Table1[[#This Row],[Auton ball picked up in our trench]]+Table1[[#This Row],[Auton Balls Picked Up in Mid]]+Table1[[#This Row],[Auton Balls Picked Up In Their Trench]]</f>
        <v>0</v>
      </c>
      <c r="J263" s="8">
        <f>+Table1[[#This Row],[Auton Scored High]]+Table1[[#This Row],[Auton Scored Low]]</f>
        <v>0</v>
      </c>
      <c r="K26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63"/>
      <c r="M263"/>
      <c r="N263"/>
      <c r="O263"/>
      <c r="P263"/>
      <c r="Q263"/>
      <c r="R263"/>
      <c r="S263"/>
      <c r="T263"/>
      <c r="U263"/>
      <c r="V263" s="8">
        <f>Table1[[#This Row],[Balls Scored From Trench]]+Table1[[#This Row],[Balls Scored from Mid]]+Table1[[#This Row],[Balls Scored From Alliance zone]]</f>
        <v>0</v>
      </c>
      <c r="W263" s="8">
        <f>Table1[[#This Row],[balls scored high]]+Table1[[#This Row],[balls scored low]]</f>
        <v>0</v>
      </c>
      <c r="X263" s="8">
        <f>Table1[[#This Row],[Control Panel Spun Time]]+Table1[[#This Row],[Control Panel Color Time]]</f>
        <v>0</v>
      </c>
      <c r="Y263" s="8">
        <f>Table1[[#This Row],[Control Panels Spun]]+Table1[[#This Row],[Control Panel Color]]</f>
        <v>0</v>
      </c>
      <c r="Z26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63"/>
      <c r="AB263"/>
      <c r="AC263"/>
      <c r="AD263"/>
      <c r="AE263"/>
      <c r="AF263"/>
      <c r="AG263"/>
      <c r="AH263"/>
      <c r="AI263"/>
      <c r="AJ263"/>
      <c r="AK263" s="17">
        <f>(Table1[[#This Row],[Climbed]]*weighting!$B$18)+(Table1[[#This Row],[Adjustable Climber]]*weighting!$B$19)+(Table1[[#This Row],[Lift other Robot]]*weighting!$B$20)+(Table1[[#This Row],[Balanced]]*weighting!$B$21)</f>
        <v>0</v>
      </c>
      <c r="AL263" s="8">
        <f>+Table1[[#This Row],[Endgame our score]]+Table1[[#This Row],[teleop our score]]+Table1[[#This Row],[auton our score]]</f>
        <v>0</v>
      </c>
      <c r="AM263" s="20">
        <f t="shared" si="12"/>
        <v>0</v>
      </c>
      <c r="AN263" s="20">
        <f t="shared" si="13"/>
        <v>0</v>
      </c>
      <c r="AO263" s="20">
        <f t="shared" si="14"/>
        <v>0</v>
      </c>
      <c r="AP263" s="20">
        <f>Table1[[#This Row],[balls scored]]+Table1[[#This Row],[auton balls scored]]</f>
        <v>0</v>
      </c>
      <c r="AQ263" s="20">
        <f>Table1[[#This Row],[balls scored high]]+Table1[[#This Row],[Auton Scored High]]</f>
        <v>0</v>
      </c>
      <c r="AR263" s="20">
        <f>Table1[[#This Row],[balls scored low]]+Table1[[#This Row],[Auton Scored Low]]</f>
        <v>0</v>
      </c>
      <c r="AS263" s="50">
        <f>IF(Table1[[#This Row],[Control Panel Spun Time]]&gt;0,1,0)</f>
        <v>0</v>
      </c>
      <c r="AT263" s="20">
        <f>IF(Table1[[#This Row],[Control Panel Color Time]]&gt;0,1,0)</f>
        <v>0</v>
      </c>
    </row>
    <row r="264" spans="1:46" x14ac:dyDescent="0.25">
      <c r="A264"/>
      <c r="I264" s="8">
        <f>+Table1[[#This Row],[Auton ball picked up in our trench]]+Table1[[#This Row],[Auton Balls Picked Up in Mid]]+Table1[[#This Row],[Auton Balls Picked Up In Their Trench]]</f>
        <v>0</v>
      </c>
      <c r="J264" s="8">
        <f>+Table1[[#This Row],[Auton Scored High]]+Table1[[#This Row],[Auton Scored Low]]</f>
        <v>0</v>
      </c>
      <c r="K26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264" s="8">
        <f>Table1[[#This Row],[Balls Scored From Trench]]+Table1[[#This Row],[Balls Scored from Mid]]+Table1[[#This Row],[Balls Scored From Alliance zone]]</f>
        <v>0</v>
      </c>
      <c r="W264" s="8">
        <f>Table1[[#This Row],[balls scored high]]+Table1[[#This Row],[balls scored low]]</f>
        <v>0</v>
      </c>
      <c r="X264" s="8">
        <f>Table1[[#This Row],[Control Panel Spun Time]]+Table1[[#This Row],[Control Panel Color Time]]</f>
        <v>0</v>
      </c>
      <c r="Y264" s="8">
        <f>Table1[[#This Row],[Control Panels Spun]]+Table1[[#This Row],[Control Panel Color]]</f>
        <v>0</v>
      </c>
      <c r="Z26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264" s="17">
        <f>(Table1[[#This Row],[Climbed]]*weighting!$B$18)+(Table1[[#This Row],[Adjustable Climber]]*weighting!$B$19)+(Table1[[#This Row],[Lift other Robot]]*weighting!$B$20)+(Table1[[#This Row],[Balanced]]*weighting!$B$21)</f>
        <v>0</v>
      </c>
      <c r="AL264" s="8">
        <f>+Table1[[#This Row],[Endgame our score]]+Table1[[#This Row],[teleop our score]]+Table1[[#This Row],[auton our score]]</f>
        <v>0</v>
      </c>
      <c r="AM264" s="20">
        <f t="shared" si="12"/>
        <v>0</v>
      </c>
      <c r="AN264" s="20">
        <f t="shared" si="13"/>
        <v>0</v>
      </c>
      <c r="AO264" s="20">
        <f t="shared" si="14"/>
        <v>0</v>
      </c>
      <c r="AP264" s="20">
        <f>Table1[[#This Row],[balls scored]]+Table1[[#This Row],[auton balls scored]]</f>
        <v>0</v>
      </c>
      <c r="AQ264" s="20">
        <f>Table1[[#This Row],[balls scored high]]+Table1[[#This Row],[Auton Scored High]]</f>
        <v>0</v>
      </c>
      <c r="AR264" s="20">
        <f>Table1[[#This Row],[balls scored low]]+Table1[[#This Row],[Auton Scored Low]]</f>
        <v>0</v>
      </c>
      <c r="AS264" s="50">
        <f>IF(Table1[[#This Row],[Control Panel Spun Time]]&gt;0,1,0)</f>
        <v>0</v>
      </c>
      <c r="AT264" s="20">
        <f>IF(Table1[[#This Row],[Control Panel Color Time]]&gt;0,1,0)</f>
        <v>0</v>
      </c>
    </row>
    <row r="265" spans="1:46" s="2" customFormat="1" x14ac:dyDescent="0.25">
      <c r="A265"/>
      <c r="B265"/>
      <c r="C265"/>
      <c r="D265"/>
      <c r="E265"/>
      <c r="F265"/>
      <c r="G265"/>
      <c r="H265"/>
      <c r="I265" s="8">
        <f>+Table1[[#This Row],[Auton ball picked up in our trench]]+Table1[[#This Row],[Auton Balls Picked Up in Mid]]+Table1[[#This Row],[Auton Balls Picked Up In Their Trench]]</f>
        <v>0</v>
      </c>
      <c r="J265" s="8">
        <f>+Table1[[#This Row],[Auton Scored High]]+Table1[[#This Row],[Auton Scored Low]]</f>
        <v>0</v>
      </c>
      <c r="K26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65"/>
      <c r="M265"/>
      <c r="N265"/>
      <c r="O265"/>
      <c r="P265"/>
      <c r="Q265"/>
      <c r="R265"/>
      <c r="S265"/>
      <c r="T265"/>
      <c r="U265"/>
      <c r="V265" s="8">
        <f>Table1[[#This Row],[Balls Scored From Trench]]+Table1[[#This Row],[Balls Scored from Mid]]+Table1[[#This Row],[Balls Scored From Alliance zone]]</f>
        <v>0</v>
      </c>
      <c r="W265" s="8">
        <f>Table1[[#This Row],[balls scored high]]+Table1[[#This Row],[balls scored low]]</f>
        <v>0</v>
      </c>
      <c r="X265" s="8">
        <f>Table1[[#This Row],[Control Panel Spun Time]]+Table1[[#This Row],[Control Panel Color Time]]</f>
        <v>0</v>
      </c>
      <c r="Y265" s="8">
        <f>Table1[[#This Row],[Control Panels Spun]]+Table1[[#This Row],[Control Panel Color]]</f>
        <v>0</v>
      </c>
      <c r="Z26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65"/>
      <c r="AB265"/>
      <c r="AC265"/>
      <c r="AD265"/>
      <c r="AE265"/>
      <c r="AF265"/>
      <c r="AG265"/>
      <c r="AH265"/>
      <c r="AI265"/>
      <c r="AJ265"/>
      <c r="AK265" s="17">
        <f>(Table1[[#This Row],[Climbed]]*weighting!$B$18)+(Table1[[#This Row],[Adjustable Climber]]*weighting!$B$19)+(Table1[[#This Row],[Lift other Robot]]*weighting!$B$20)+(Table1[[#This Row],[Balanced]]*weighting!$B$21)</f>
        <v>0</v>
      </c>
      <c r="AL265" s="8">
        <f>+Table1[[#This Row],[Endgame our score]]+Table1[[#This Row],[teleop our score]]+Table1[[#This Row],[auton our score]]</f>
        <v>0</v>
      </c>
      <c r="AM265" s="20">
        <f t="shared" si="12"/>
        <v>0</v>
      </c>
      <c r="AN265" s="20">
        <f t="shared" si="13"/>
        <v>0</v>
      </c>
      <c r="AO265" s="20">
        <f t="shared" si="14"/>
        <v>0</v>
      </c>
      <c r="AP265" s="20">
        <f>Table1[[#This Row],[balls scored]]+Table1[[#This Row],[auton balls scored]]</f>
        <v>0</v>
      </c>
      <c r="AQ265" s="20">
        <f>Table1[[#This Row],[balls scored high]]+Table1[[#This Row],[Auton Scored High]]</f>
        <v>0</v>
      </c>
      <c r="AR265" s="20">
        <f>Table1[[#This Row],[balls scored low]]+Table1[[#This Row],[Auton Scored Low]]</f>
        <v>0</v>
      </c>
      <c r="AS265" s="50">
        <f>IF(Table1[[#This Row],[Control Panel Spun Time]]&gt;0,1,0)</f>
        <v>0</v>
      </c>
      <c r="AT265" s="20">
        <f>IF(Table1[[#This Row],[Control Panel Color Time]]&gt;0,1,0)</f>
        <v>0</v>
      </c>
    </row>
    <row r="266" spans="1:46" x14ac:dyDescent="0.25">
      <c r="A266"/>
      <c r="I266" s="8">
        <f>+Table1[[#This Row],[Auton ball picked up in our trench]]+Table1[[#This Row],[Auton Balls Picked Up in Mid]]+Table1[[#This Row],[Auton Balls Picked Up In Their Trench]]</f>
        <v>0</v>
      </c>
      <c r="J266" s="8">
        <f>+Table1[[#This Row],[Auton Scored High]]+Table1[[#This Row],[Auton Scored Low]]</f>
        <v>0</v>
      </c>
      <c r="K26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266" s="8">
        <f>Table1[[#This Row],[Balls Scored From Trench]]+Table1[[#This Row],[Balls Scored from Mid]]+Table1[[#This Row],[Balls Scored From Alliance zone]]</f>
        <v>0</v>
      </c>
      <c r="W266" s="8">
        <f>Table1[[#This Row],[balls scored high]]+Table1[[#This Row],[balls scored low]]</f>
        <v>0</v>
      </c>
      <c r="X266" s="8">
        <f>Table1[[#This Row],[Control Panel Spun Time]]+Table1[[#This Row],[Control Panel Color Time]]</f>
        <v>0</v>
      </c>
      <c r="Y266" s="8">
        <f>Table1[[#This Row],[Control Panels Spun]]+Table1[[#This Row],[Control Panel Color]]</f>
        <v>0</v>
      </c>
      <c r="Z26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266" s="17">
        <f>(Table1[[#This Row],[Climbed]]*weighting!$B$18)+(Table1[[#This Row],[Adjustable Climber]]*weighting!$B$19)+(Table1[[#This Row],[Lift other Robot]]*weighting!$B$20)+(Table1[[#This Row],[Balanced]]*weighting!$B$21)</f>
        <v>0</v>
      </c>
      <c r="AL266" s="8">
        <f>+Table1[[#This Row],[Endgame our score]]+Table1[[#This Row],[teleop our score]]+Table1[[#This Row],[auton our score]]</f>
        <v>0</v>
      </c>
      <c r="AM266" s="20">
        <f t="shared" si="12"/>
        <v>0</v>
      </c>
      <c r="AN266" s="20">
        <f t="shared" si="13"/>
        <v>0</v>
      </c>
      <c r="AO266" s="20">
        <f t="shared" si="14"/>
        <v>0</v>
      </c>
      <c r="AP266" s="20">
        <f>Table1[[#This Row],[balls scored]]+Table1[[#This Row],[auton balls scored]]</f>
        <v>0</v>
      </c>
      <c r="AQ266" s="20">
        <f>Table1[[#This Row],[balls scored high]]+Table1[[#This Row],[Auton Scored High]]</f>
        <v>0</v>
      </c>
      <c r="AR266" s="20">
        <f>Table1[[#This Row],[balls scored low]]+Table1[[#This Row],[Auton Scored Low]]</f>
        <v>0</v>
      </c>
      <c r="AS266" s="50">
        <f>IF(Table1[[#This Row],[Control Panel Spun Time]]&gt;0,1,0)</f>
        <v>0</v>
      </c>
      <c r="AT266" s="20">
        <f>IF(Table1[[#This Row],[Control Panel Color Time]]&gt;0,1,0)</f>
        <v>0</v>
      </c>
    </row>
    <row r="267" spans="1:46" s="2" customFormat="1" x14ac:dyDescent="0.25">
      <c r="A267"/>
      <c r="B267"/>
      <c r="C267"/>
      <c r="D267"/>
      <c r="E267"/>
      <c r="F267"/>
      <c r="G267"/>
      <c r="H267"/>
      <c r="I267" s="8">
        <f>+Table1[[#This Row],[Auton ball picked up in our trench]]+Table1[[#This Row],[Auton Balls Picked Up in Mid]]+Table1[[#This Row],[Auton Balls Picked Up In Their Trench]]</f>
        <v>0</v>
      </c>
      <c r="J267" s="8">
        <f>+Table1[[#This Row],[Auton Scored High]]+Table1[[#This Row],[Auton Scored Low]]</f>
        <v>0</v>
      </c>
      <c r="K26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67"/>
      <c r="M267"/>
      <c r="N267"/>
      <c r="O267"/>
      <c r="P267"/>
      <c r="Q267"/>
      <c r="R267"/>
      <c r="S267"/>
      <c r="T267"/>
      <c r="U267"/>
      <c r="V267" s="8">
        <f>Table1[[#This Row],[Balls Scored From Trench]]+Table1[[#This Row],[Balls Scored from Mid]]+Table1[[#This Row],[Balls Scored From Alliance zone]]</f>
        <v>0</v>
      </c>
      <c r="W267" s="8">
        <f>Table1[[#This Row],[balls scored high]]+Table1[[#This Row],[balls scored low]]</f>
        <v>0</v>
      </c>
      <c r="X267" s="8">
        <f>Table1[[#This Row],[Control Panel Spun Time]]+Table1[[#This Row],[Control Panel Color Time]]</f>
        <v>0</v>
      </c>
      <c r="Y267" s="8">
        <f>Table1[[#This Row],[Control Panels Spun]]+Table1[[#This Row],[Control Panel Color]]</f>
        <v>0</v>
      </c>
      <c r="Z26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67"/>
      <c r="AB267"/>
      <c r="AC267"/>
      <c r="AD267"/>
      <c r="AE267"/>
      <c r="AF267"/>
      <c r="AG267"/>
      <c r="AH267"/>
      <c r="AI267"/>
      <c r="AJ267"/>
      <c r="AK267" s="17">
        <f>(Table1[[#This Row],[Climbed]]*weighting!$B$18)+(Table1[[#This Row],[Adjustable Climber]]*weighting!$B$19)+(Table1[[#This Row],[Lift other Robot]]*weighting!$B$20)+(Table1[[#This Row],[Balanced]]*weighting!$B$21)</f>
        <v>0</v>
      </c>
      <c r="AL267" s="8">
        <f>+Table1[[#This Row],[Endgame our score]]+Table1[[#This Row],[teleop our score]]+Table1[[#This Row],[auton our score]]</f>
        <v>0</v>
      </c>
      <c r="AM267" s="20">
        <f t="shared" si="12"/>
        <v>0</v>
      </c>
      <c r="AN267" s="20">
        <f t="shared" si="13"/>
        <v>0</v>
      </c>
      <c r="AO267" s="20">
        <f t="shared" si="14"/>
        <v>0</v>
      </c>
      <c r="AP267" s="20">
        <f>Table1[[#This Row],[balls scored]]+Table1[[#This Row],[auton balls scored]]</f>
        <v>0</v>
      </c>
      <c r="AQ267" s="20">
        <f>Table1[[#This Row],[balls scored high]]+Table1[[#This Row],[Auton Scored High]]</f>
        <v>0</v>
      </c>
      <c r="AR267" s="20">
        <f>Table1[[#This Row],[balls scored low]]+Table1[[#This Row],[Auton Scored Low]]</f>
        <v>0</v>
      </c>
      <c r="AS267" s="50">
        <f>IF(Table1[[#This Row],[Control Panel Spun Time]]&gt;0,1,0)</f>
        <v>0</v>
      </c>
      <c r="AT267" s="20">
        <f>IF(Table1[[#This Row],[Control Panel Color Time]]&gt;0,1,0)</f>
        <v>0</v>
      </c>
    </row>
    <row r="268" spans="1:46" x14ac:dyDescent="0.25">
      <c r="A268"/>
      <c r="I268" s="8">
        <f>+Table1[[#This Row],[Auton ball picked up in our trench]]+Table1[[#This Row],[Auton Balls Picked Up in Mid]]+Table1[[#This Row],[Auton Balls Picked Up In Their Trench]]</f>
        <v>0</v>
      </c>
      <c r="J268" s="8">
        <f>+Table1[[#This Row],[Auton Scored High]]+Table1[[#This Row],[Auton Scored Low]]</f>
        <v>0</v>
      </c>
      <c r="K26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268" s="8">
        <f>Table1[[#This Row],[Balls Scored From Trench]]+Table1[[#This Row],[Balls Scored from Mid]]+Table1[[#This Row],[Balls Scored From Alliance zone]]</f>
        <v>0</v>
      </c>
      <c r="W268" s="8">
        <f>Table1[[#This Row],[balls scored high]]+Table1[[#This Row],[balls scored low]]</f>
        <v>0</v>
      </c>
      <c r="X268" s="8">
        <f>Table1[[#This Row],[Control Panel Spun Time]]+Table1[[#This Row],[Control Panel Color Time]]</f>
        <v>0</v>
      </c>
      <c r="Y268" s="8">
        <f>Table1[[#This Row],[Control Panels Spun]]+Table1[[#This Row],[Control Panel Color]]</f>
        <v>0</v>
      </c>
      <c r="Z26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268" s="17">
        <f>(Table1[[#This Row],[Climbed]]*weighting!$B$18)+(Table1[[#This Row],[Adjustable Climber]]*weighting!$B$19)+(Table1[[#This Row],[Lift other Robot]]*weighting!$B$20)+(Table1[[#This Row],[Balanced]]*weighting!$B$21)</f>
        <v>0</v>
      </c>
      <c r="AL268" s="8">
        <f>+Table1[[#This Row],[Endgame our score]]+Table1[[#This Row],[teleop our score]]+Table1[[#This Row],[auton our score]]</f>
        <v>0</v>
      </c>
      <c r="AM268" s="20">
        <f t="shared" si="12"/>
        <v>0</v>
      </c>
      <c r="AN268" s="20">
        <f t="shared" si="13"/>
        <v>0</v>
      </c>
      <c r="AO268" s="20">
        <f t="shared" si="14"/>
        <v>0</v>
      </c>
      <c r="AP268" s="20">
        <f>Table1[[#This Row],[balls scored]]+Table1[[#This Row],[auton balls scored]]</f>
        <v>0</v>
      </c>
      <c r="AQ268" s="20">
        <f>Table1[[#This Row],[balls scored high]]+Table1[[#This Row],[Auton Scored High]]</f>
        <v>0</v>
      </c>
      <c r="AR268" s="20">
        <f>Table1[[#This Row],[balls scored low]]+Table1[[#This Row],[Auton Scored Low]]</f>
        <v>0</v>
      </c>
      <c r="AS268" s="50">
        <f>IF(Table1[[#This Row],[Control Panel Spun Time]]&gt;0,1,0)</f>
        <v>0</v>
      </c>
      <c r="AT268" s="20">
        <f>IF(Table1[[#This Row],[Control Panel Color Time]]&gt;0,1,0)</f>
        <v>0</v>
      </c>
    </row>
    <row r="269" spans="1:46" s="2" customFormat="1" x14ac:dyDescent="0.25">
      <c r="A269"/>
      <c r="B269"/>
      <c r="C269"/>
      <c r="D269"/>
      <c r="E269"/>
      <c r="F269"/>
      <c r="G269"/>
      <c r="H269"/>
      <c r="I269" s="8">
        <f>+Table1[[#This Row],[Auton ball picked up in our trench]]+Table1[[#This Row],[Auton Balls Picked Up in Mid]]+Table1[[#This Row],[Auton Balls Picked Up In Their Trench]]</f>
        <v>0</v>
      </c>
      <c r="J269" s="8">
        <f>+Table1[[#This Row],[Auton Scored High]]+Table1[[#This Row],[Auton Scored Low]]</f>
        <v>0</v>
      </c>
      <c r="K26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69"/>
      <c r="M269"/>
      <c r="N269"/>
      <c r="O269"/>
      <c r="P269"/>
      <c r="Q269"/>
      <c r="R269"/>
      <c r="S269"/>
      <c r="T269"/>
      <c r="U269"/>
      <c r="V269" s="8">
        <f>Table1[[#This Row],[Balls Scored From Trench]]+Table1[[#This Row],[Balls Scored from Mid]]+Table1[[#This Row],[Balls Scored From Alliance zone]]</f>
        <v>0</v>
      </c>
      <c r="W269" s="8">
        <f>Table1[[#This Row],[balls scored high]]+Table1[[#This Row],[balls scored low]]</f>
        <v>0</v>
      </c>
      <c r="X269" s="8">
        <f>Table1[[#This Row],[Control Panel Spun Time]]+Table1[[#This Row],[Control Panel Color Time]]</f>
        <v>0</v>
      </c>
      <c r="Y269" s="8">
        <f>Table1[[#This Row],[Control Panels Spun]]+Table1[[#This Row],[Control Panel Color]]</f>
        <v>0</v>
      </c>
      <c r="Z26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69"/>
      <c r="AB269"/>
      <c r="AC269"/>
      <c r="AD269"/>
      <c r="AE269"/>
      <c r="AF269"/>
      <c r="AG269"/>
      <c r="AH269"/>
      <c r="AI269"/>
      <c r="AJ269"/>
      <c r="AK269" s="17">
        <f>(Table1[[#This Row],[Climbed]]*weighting!$B$18)+(Table1[[#This Row],[Adjustable Climber]]*weighting!$B$19)+(Table1[[#This Row],[Lift other Robot]]*weighting!$B$20)+(Table1[[#This Row],[Balanced]]*weighting!$B$21)</f>
        <v>0</v>
      </c>
      <c r="AL269" s="8">
        <f>+Table1[[#This Row],[Endgame our score]]+Table1[[#This Row],[teleop our score]]+Table1[[#This Row],[auton our score]]</f>
        <v>0</v>
      </c>
      <c r="AM269" s="20">
        <f t="shared" si="12"/>
        <v>0</v>
      </c>
      <c r="AN269" s="20">
        <f t="shared" si="13"/>
        <v>0</v>
      </c>
      <c r="AO269" s="20">
        <f t="shared" si="14"/>
        <v>0</v>
      </c>
      <c r="AP269" s="20">
        <f>Table1[[#This Row],[balls scored]]+Table1[[#This Row],[auton balls scored]]</f>
        <v>0</v>
      </c>
      <c r="AQ269" s="20">
        <f>Table1[[#This Row],[balls scored high]]+Table1[[#This Row],[Auton Scored High]]</f>
        <v>0</v>
      </c>
      <c r="AR269" s="20">
        <f>Table1[[#This Row],[balls scored low]]+Table1[[#This Row],[Auton Scored Low]]</f>
        <v>0</v>
      </c>
      <c r="AS269" s="50">
        <f>IF(Table1[[#This Row],[Control Panel Spun Time]]&gt;0,1,0)</f>
        <v>0</v>
      </c>
      <c r="AT269" s="20">
        <f>IF(Table1[[#This Row],[Control Panel Color Time]]&gt;0,1,0)</f>
        <v>0</v>
      </c>
    </row>
    <row r="270" spans="1:46" x14ac:dyDescent="0.25">
      <c r="A270"/>
      <c r="I270" s="8">
        <f>+Table1[[#This Row],[Auton ball picked up in our trench]]+Table1[[#This Row],[Auton Balls Picked Up in Mid]]+Table1[[#This Row],[Auton Balls Picked Up In Their Trench]]</f>
        <v>0</v>
      </c>
      <c r="J270" s="8">
        <f>+Table1[[#This Row],[Auton Scored High]]+Table1[[#This Row],[Auton Scored Low]]</f>
        <v>0</v>
      </c>
      <c r="K27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270" s="8">
        <f>Table1[[#This Row],[Balls Scored From Trench]]+Table1[[#This Row],[Balls Scored from Mid]]+Table1[[#This Row],[Balls Scored From Alliance zone]]</f>
        <v>0</v>
      </c>
      <c r="W270" s="8">
        <f>Table1[[#This Row],[balls scored high]]+Table1[[#This Row],[balls scored low]]</f>
        <v>0</v>
      </c>
      <c r="X270" s="8">
        <f>Table1[[#This Row],[Control Panel Spun Time]]+Table1[[#This Row],[Control Panel Color Time]]</f>
        <v>0</v>
      </c>
      <c r="Y270" s="8">
        <f>Table1[[#This Row],[Control Panels Spun]]+Table1[[#This Row],[Control Panel Color]]</f>
        <v>0</v>
      </c>
      <c r="Z27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270" s="17">
        <f>(Table1[[#This Row],[Climbed]]*weighting!$B$18)+(Table1[[#This Row],[Adjustable Climber]]*weighting!$B$19)+(Table1[[#This Row],[Lift other Robot]]*weighting!$B$20)+(Table1[[#This Row],[Balanced]]*weighting!$B$21)</f>
        <v>0</v>
      </c>
      <c r="AL270" s="8">
        <f>+Table1[[#This Row],[Endgame our score]]+Table1[[#This Row],[teleop our score]]+Table1[[#This Row],[auton our score]]</f>
        <v>0</v>
      </c>
      <c r="AM270" s="20">
        <f t="shared" si="12"/>
        <v>0</v>
      </c>
      <c r="AN270" s="20">
        <f t="shared" si="13"/>
        <v>0</v>
      </c>
      <c r="AO270" s="20">
        <f t="shared" si="14"/>
        <v>0</v>
      </c>
      <c r="AP270" s="20">
        <f>Table1[[#This Row],[balls scored]]+Table1[[#This Row],[auton balls scored]]</f>
        <v>0</v>
      </c>
      <c r="AQ270" s="20">
        <f>Table1[[#This Row],[balls scored high]]+Table1[[#This Row],[Auton Scored High]]</f>
        <v>0</v>
      </c>
      <c r="AR270" s="20">
        <f>Table1[[#This Row],[balls scored low]]+Table1[[#This Row],[Auton Scored Low]]</f>
        <v>0</v>
      </c>
      <c r="AS270" s="50">
        <f>IF(Table1[[#This Row],[Control Panel Spun Time]]&gt;0,1,0)</f>
        <v>0</v>
      </c>
      <c r="AT270" s="20">
        <f>IF(Table1[[#This Row],[Control Panel Color Time]]&gt;0,1,0)</f>
        <v>0</v>
      </c>
    </row>
    <row r="271" spans="1:46" s="2" customFormat="1" x14ac:dyDescent="0.25">
      <c r="A271"/>
      <c r="B271"/>
      <c r="C271"/>
      <c r="D271"/>
      <c r="E271"/>
      <c r="F271"/>
      <c r="G271"/>
      <c r="H271"/>
      <c r="I271" s="8">
        <f>+Table1[[#This Row],[Auton ball picked up in our trench]]+Table1[[#This Row],[Auton Balls Picked Up in Mid]]+Table1[[#This Row],[Auton Balls Picked Up In Their Trench]]</f>
        <v>0</v>
      </c>
      <c r="J271" s="8">
        <f>+Table1[[#This Row],[Auton Scored High]]+Table1[[#This Row],[Auton Scored Low]]</f>
        <v>0</v>
      </c>
      <c r="K27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71"/>
      <c r="M271"/>
      <c r="N271"/>
      <c r="O271"/>
      <c r="P271"/>
      <c r="Q271"/>
      <c r="R271"/>
      <c r="S271"/>
      <c r="T271"/>
      <c r="U271"/>
      <c r="V271" s="8">
        <f>Table1[[#This Row],[Balls Scored From Trench]]+Table1[[#This Row],[Balls Scored from Mid]]+Table1[[#This Row],[Balls Scored From Alliance zone]]</f>
        <v>0</v>
      </c>
      <c r="W271" s="8">
        <f>Table1[[#This Row],[balls scored high]]+Table1[[#This Row],[balls scored low]]</f>
        <v>0</v>
      </c>
      <c r="X271" s="8">
        <f>Table1[[#This Row],[Control Panel Spun Time]]+Table1[[#This Row],[Control Panel Color Time]]</f>
        <v>0</v>
      </c>
      <c r="Y271" s="8">
        <f>Table1[[#This Row],[Control Panels Spun]]+Table1[[#This Row],[Control Panel Color]]</f>
        <v>0</v>
      </c>
      <c r="Z27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71"/>
      <c r="AB271"/>
      <c r="AC271"/>
      <c r="AD271"/>
      <c r="AE271"/>
      <c r="AF271"/>
      <c r="AG271"/>
      <c r="AH271"/>
      <c r="AI271"/>
      <c r="AJ271"/>
      <c r="AK271" s="17">
        <f>(Table1[[#This Row],[Climbed]]*weighting!$B$18)+(Table1[[#This Row],[Adjustable Climber]]*weighting!$B$19)+(Table1[[#This Row],[Lift other Robot]]*weighting!$B$20)+(Table1[[#This Row],[Balanced]]*weighting!$B$21)</f>
        <v>0</v>
      </c>
      <c r="AL271" s="8">
        <f>+Table1[[#This Row],[Endgame our score]]+Table1[[#This Row],[teleop our score]]+Table1[[#This Row],[auton our score]]</f>
        <v>0</v>
      </c>
      <c r="AM271" s="20">
        <f t="shared" si="12"/>
        <v>0</v>
      </c>
      <c r="AN271" s="20">
        <f t="shared" si="13"/>
        <v>0</v>
      </c>
      <c r="AO271" s="20">
        <f t="shared" si="14"/>
        <v>0</v>
      </c>
      <c r="AP271" s="20">
        <f>Table1[[#This Row],[balls scored]]+Table1[[#This Row],[auton balls scored]]</f>
        <v>0</v>
      </c>
      <c r="AQ271" s="20">
        <f>Table1[[#This Row],[balls scored high]]+Table1[[#This Row],[Auton Scored High]]</f>
        <v>0</v>
      </c>
      <c r="AR271" s="20">
        <f>Table1[[#This Row],[balls scored low]]+Table1[[#This Row],[Auton Scored Low]]</f>
        <v>0</v>
      </c>
      <c r="AS271" s="50">
        <f>IF(Table1[[#This Row],[Control Panel Spun Time]]&gt;0,1,0)</f>
        <v>0</v>
      </c>
      <c r="AT271" s="20">
        <f>IF(Table1[[#This Row],[Control Panel Color Time]]&gt;0,1,0)</f>
        <v>0</v>
      </c>
    </row>
    <row r="272" spans="1:46" x14ac:dyDescent="0.25">
      <c r="A272"/>
      <c r="I272" s="8">
        <f>+Table1[[#This Row],[Auton ball picked up in our trench]]+Table1[[#This Row],[Auton Balls Picked Up in Mid]]+Table1[[#This Row],[Auton Balls Picked Up In Their Trench]]</f>
        <v>0</v>
      </c>
      <c r="J272" s="8">
        <f>+Table1[[#This Row],[Auton Scored High]]+Table1[[#This Row],[Auton Scored Low]]</f>
        <v>0</v>
      </c>
      <c r="K27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272" s="8">
        <f>Table1[[#This Row],[Balls Scored From Trench]]+Table1[[#This Row],[Balls Scored from Mid]]+Table1[[#This Row],[Balls Scored From Alliance zone]]</f>
        <v>0</v>
      </c>
      <c r="W272" s="8">
        <f>Table1[[#This Row],[balls scored high]]+Table1[[#This Row],[balls scored low]]</f>
        <v>0</v>
      </c>
      <c r="X272" s="8">
        <f>Table1[[#This Row],[Control Panel Spun Time]]+Table1[[#This Row],[Control Panel Color Time]]</f>
        <v>0</v>
      </c>
      <c r="Y272" s="8">
        <f>Table1[[#This Row],[Control Panels Spun]]+Table1[[#This Row],[Control Panel Color]]</f>
        <v>0</v>
      </c>
      <c r="Z27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272" s="17">
        <f>(Table1[[#This Row],[Climbed]]*weighting!$B$18)+(Table1[[#This Row],[Adjustable Climber]]*weighting!$B$19)+(Table1[[#This Row],[Lift other Robot]]*weighting!$B$20)+(Table1[[#This Row],[Balanced]]*weighting!$B$21)</f>
        <v>0</v>
      </c>
      <c r="AL272" s="8">
        <f>+Table1[[#This Row],[Endgame our score]]+Table1[[#This Row],[teleop our score]]+Table1[[#This Row],[auton our score]]</f>
        <v>0</v>
      </c>
      <c r="AM272" s="20">
        <f t="shared" si="12"/>
        <v>0</v>
      </c>
      <c r="AN272" s="20">
        <f t="shared" si="13"/>
        <v>0</v>
      </c>
      <c r="AO272" s="20">
        <f t="shared" si="14"/>
        <v>0</v>
      </c>
      <c r="AP272" s="20">
        <f>Table1[[#This Row],[balls scored]]+Table1[[#This Row],[auton balls scored]]</f>
        <v>0</v>
      </c>
      <c r="AQ272" s="20">
        <f>Table1[[#This Row],[balls scored high]]+Table1[[#This Row],[Auton Scored High]]</f>
        <v>0</v>
      </c>
      <c r="AR272" s="20">
        <f>Table1[[#This Row],[balls scored low]]+Table1[[#This Row],[Auton Scored Low]]</f>
        <v>0</v>
      </c>
      <c r="AS272" s="50">
        <f>IF(Table1[[#This Row],[Control Panel Spun Time]]&gt;0,1,0)</f>
        <v>0</v>
      </c>
      <c r="AT272" s="20">
        <f>IF(Table1[[#This Row],[Control Panel Color Time]]&gt;0,1,0)</f>
        <v>0</v>
      </c>
    </row>
    <row r="273" spans="1:46" s="2" customFormat="1" x14ac:dyDescent="0.25">
      <c r="A273"/>
      <c r="B273"/>
      <c r="C273"/>
      <c r="D273"/>
      <c r="E273"/>
      <c r="F273"/>
      <c r="G273"/>
      <c r="H273"/>
      <c r="I273" s="8">
        <f>+Table1[[#This Row],[Auton ball picked up in our trench]]+Table1[[#This Row],[Auton Balls Picked Up in Mid]]+Table1[[#This Row],[Auton Balls Picked Up In Their Trench]]</f>
        <v>0</v>
      </c>
      <c r="J273" s="8">
        <f>+Table1[[#This Row],[Auton Scored High]]+Table1[[#This Row],[Auton Scored Low]]</f>
        <v>0</v>
      </c>
      <c r="K27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73"/>
      <c r="M273"/>
      <c r="N273"/>
      <c r="O273"/>
      <c r="P273"/>
      <c r="Q273"/>
      <c r="R273"/>
      <c r="S273"/>
      <c r="T273"/>
      <c r="U273"/>
      <c r="V273" s="8">
        <f>Table1[[#This Row],[Balls Scored From Trench]]+Table1[[#This Row],[Balls Scored from Mid]]+Table1[[#This Row],[Balls Scored From Alliance zone]]</f>
        <v>0</v>
      </c>
      <c r="W273" s="8">
        <f>Table1[[#This Row],[balls scored high]]+Table1[[#This Row],[balls scored low]]</f>
        <v>0</v>
      </c>
      <c r="X273" s="8">
        <f>Table1[[#This Row],[Control Panel Spun Time]]+Table1[[#This Row],[Control Panel Color Time]]</f>
        <v>0</v>
      </c>
      <c r="Y273" s="8">
        <f>Table1[[#This Row],[Control Panels Spun]]+Table1[[#This Row],[Control Panel Color]]</f>
        <v>0</v>
      </c>
      <c r="Z27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73"/>
      <c r="AB273"/>
      <c r="AC273"/>
      <c r="AD273"/>
      <c r="AE273"/>
      <c r="AF273"/>
      <c r="AG273"/>
      <c r="AH273"/>
      <c r="AI273"/>
      <c r="AJ273"/>
      <c r="AK273" s="17">
        <f>(Table1[[#This Row],[Climbed]]*weighting!$B$18)+(Table1[[#This Row],[Adjustable Climber]]*weighting!$B$19)+(Table1[[#This Row],[Lift other Robot]]*weighting!$B$20)+(Table1[[#This Row],[Balanced]]*weighting!$B$21)</f>
        <v>0</v>
      </c>
      <c r="AL273" s="8">
        <f>+Table1[[#This Row],[Endgame our score]]+Table1[[#This Row],[teleop our score]]+Table1[[#This Row],[auton our score]]</f>
        <v>0</v>
      </c>
      <c r="AM273" s="20">
        <f t="shared" si="12"/>
        <v>0</v>
      </c>
      <c r="AN273" s="20">
        <f t="shared" si="13"/>
        <v>0</v>
      </c>
      <c r="AO273" s="20">
        <f t="shared" si="14"/>
        <v>0</v>
      </c>
      <c r="AP273" s="20">
        <f>Table1[[#This Row],[balls scored]]+Table1[[#This Row],[auton balls scored]]</f>
        <v>0</v>
      </c>
      <c r="AQ273" s="20">
        <f>Table1[[#This Row],[balls scored high]]+Table1[[#This Row],[Auton Scored High]]</f>
        <v>0</v>
      </c>
      <c r="AR273" s="20">
        <f>Table1[[#This Row],[balls scored low]]+Table1[[#This Row],[Auton Scored Low]]</f>
        <v>0</v>
      </c>
      <c r="AS273" s="50">
        <f>IF(Table1[[#This Row],[Control Panel Spun Time]]&gt;0,1,0)</f>
        <v>0</v>
      </c>
      <c r="AT273" s="20">
        <f>IF(Table1[[#This Row],[Control Panel Color Time]]&gt;0,1,0)</f>
        <v>0</v>
      </c>
    </row>
    <row r="274" spans="1:46" x14ac:dyDescent="0.25">
      <c r="A274"/>
      <c r="I274" s="8">
        <f>+Table1[[#This Row],[Auton ball picked up in our trench]]+Table1[[#This Row],[Auton Balls Picked Up in Mid]]+Table1[[#This Row],[Auton Balls Picked Up In Their Trench]]</f>
        <v>0</v>
      </c>
      <c r="J274" s="8">
        <f>+Table1[[#This Row],[Auton Scored High]]+Table1[[#This Row],[Auton Scored Low]]</f>
        <v>0</v>
      </c>
      <c r="K27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274" s="8">
        <f>Table1[[#This Row],[Balls Scored From Trench]]+Table1[[#This Row],[Balls Scored from Mid]]+Table1[[#This Row],[Balls Scored From Alliance zone]]</f>
        <v>0</v>
      </c>
      <c r="W274" s="8">
        <f>Table1[[#This Row],[balls scored high]]+Table1[[#This Row],[balls scored low]]</f>
        <v>0</v>
      </c>
      <c r="X274" s="8">
        <f>Table1[[#This Row],[Control Panel Spun Time]]+Table1[[#This Row],[Control Panel Color Time]]</f>
        <v>0</v>
      </c>
      <c r="Y274" s="8">
        <f>Table1[[#This Row],[Control Panels Spun]]+Table1[[#This Row],[Control Panel Color]]</f>
        <v>0</v>
      </c>
      <c r="Z27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274" s="17">
        <f>(Table1[[#This Row],[Climbed]]*weighting!$B$18)+(Table1[[#This Row],[Adjustable Climber]]*weighting!$B$19)+(Table1[[#This Row],[Lift other Robot]]*weighting!$B$20)+(Table1[[#This Row],[Balanced]]*weighting!$B$21)</f>
        <v>0</v>
      </c>
      <c r="AL274" s="8">
        <f>+Table1[[#This Row],[Endgame our score]]+Table1[[#This Row],[teleop our score]]+Table1[[#This Row],[auton our score]]</f>
        <v>0</v>
      </c>
      <c r="AM274" s="20">
        <f t="shared" si="12"/>
        <v>0</v>
      </c>
      <c r="AN274" s="20">
        <f t="shared" si="13"/>
        <v>0</v>
      </c>
      <c r="AO274" s="20">
        <f t="shared" si="14"/>
        <v>0</v>
      </c>
      <c r="AP274" s="20">
        <f>Table1[[#This Row],[balls scored]]+Table1[[#This Row],[auton balls scored]]</f>
        <v>0</v>
      </c>
      <c r="AQ274" s="20">
        <f>Table1[[#This Row],[balls scored high]]+Table1[[#This Row],[Auton Scored High]]</f>
        <v>0</v>
      </c>
      <c r="AR274" s="20">
        <f>Table1[[#This Row],[balls scored low]]+Table1[[#This Row],[Auton Scored Low]]</f>
        <v>0</v>
      </c>
      <c r="AS274" s="50">
        <f>IF(Table1[[#This Row],[Control Panel Spun Time]]&gt;0,1,0)</f>
        <v>0</v>
      </c>
      <c r="AT274" s="20">
        <f>IF(Table1[[#This Row],[Control Panel Color Time]]&gt;0,1,0)</f>
        <v>0</v>
      </c>
    </row>
    <row r="275" spans="1:46" s="2" customFormat="1" x14ac:dyDescent="0.25">
      <c r="A275"/>
      <c r="B275"/>
      <c r="C275"/>
      <c r="D275"/>
      <c r="E275"/>
      <c r="F275"/>
      <c r="G275"/>
      <c r="H275"/>
      <c r="I275" s="8">
        <f>+Table1[[#This Row],[Auton ball picked up in our trench]]+Table1[[#This Row],[Auton Balls Picked Up in Mid]]+Table1[[#This Row],[Auton Balls Picked Up In Their Trench]]</f>
        <v>0</v>
      </c>
      <c r="J275" s="8">
        <f>+Table1[[#This Row],[Auton Scored High]]+Table1[[#This Row],[Auton Scored Low]]</f>
        <v>0</v>
      </c>
      <c r="K27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75"/>
      <c r="M275"/>
      <c r="N275"/>
      <c r="O275"/>
      <c r="P275"/>
      <c r="Q275"/>
      <c r="R275"/>
      <c r="S275"/>
      <c r="T275"/>
      <c r="U275"/>
      <c r="V275" s="8">
        <f>Table1[[#This Row],[Balls Scored From Trench]]+Table1[[#This Row],[Balls Scored from Mid]]+Table1[[#This Row],[Balls Scored From Alliance zone]]</f>
        <v>0</v>
      </c>
      <c r="W275" s="8">
        <f>Table1[[#This Row],[balls scored high]]+Table1[[#This Row],[balls scored low]]</f>
        <v>0</v>
      </c>
      <c r="X275" s="8">
        <f>Table1[[#This Row],[Control Panel Spun Time]]+Table1[[#This Row],[Control Panel Color Time]]</f>
        <v>0</v>
      </c>
      <c r="Y275" s="8">
        <f>Table1[[#This Row],[Control Panels Spun]]+Table1[[#This Row],[Control Panel Color]]</f>
        <v>0</v>
      </c>
      <c r="Z27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75"/>
      <c r="AB275"/>
      <c r="AC275"/>
      <c r="AD275"/>
      <c r="AE275"/>
      <c r="AF275"/>
      <c r="AG275"/>
      <c r="AH275"/>
      <c r="AI275"/>
      <c r="AJ275"/>
      <c r="AK275" s="17">
        <f>(Table1[[#This Row],[Climbed]]*weighting!$B$18)+(Table1[[#This Row],[Adjustable Climber]]*weighting!$B$19)+(Table1[[#This Row],[Lift other Robot]]*weighting!$B$20)+(Table1[[#This Row],[Balanced]]*weighting!$B$21)</f>
        <v>0</v>
      </c>
      <c r="AL275" s="8">
        <f>+Table1[[#This Row],[Endgame our score]]+Table1[[#This Row],[teleop our score]]+Table1[[#This Row],[auton our score]]</f>
        <v>0</v>
      </c>
      <c r="AM275" s="20">
        <f t="shared" si="12"/>
        <v>0</v>
      </c>
      <c r="AN275" s="20">
        <f t="shared" si="13"/>
        <v>0</v>
      </c>
      <c r="AO275" s="20">
        <f t="shared" si="14"/>
        <v>0</v>
      </c>
      <c r="AP275" s="20">
        <f>Table1[[#This Row],[balls scored]]+Table1[[#This Row],[auton balls scored]]</f>
        <v>0</v>
      </c>
      <c r="AQ275" s="20">
        <f>Table1[[#This Row],[balls scored high]]+Table1[[#This Row],[Auton Scored High]]</f>
        <v>0</v>
      </c>
      <c r="AR275" s="20">
        <f>Table1[[#This Row],[balls scored low]]+Table1[[#This Row],[Auton Scored Low]]</f>
        <v>0</v>
      </c>
      <c r="AS275" s="50">
        <f>IF(Table1[[#This Row],[Control Panel Spun Time]]&gt;0,1,0)</f>
        <v>0</v>
      </c>
      <c r="AT275" s="20">
        <f>IF(Table1[[#This Row],[Control Panel Color Time]]&gt;0,1,0)</f>
        <v>0</v>
      </c>
    </row>
    <row r="276" spans="1:46" x14ac:dyDescent="0.25">
      <c r="A276"/>
      <c r="I276" s="8">
        <f>+Table1[[#This Row],[Auton ball picked up in our trench]]+Table1[[#This Row],[Auton Balls Picked Up in Mid]]+Table1[[#This Row],[Auton Balls Picked Up In Their Trench]]</f>
        <v>0</v>
      </c>
      <c r="J276" s="8">
        <f>+Table1[[#This Row],[Auton Scored High]]+Table1[[#This Row],[Auton Scored Low]]</f>
        <v>0</v>
      </c>
      <c r="K27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276" s="8">
        <f>Table1[[#This Row],[Balls Scored From Trench]]+Table1[[#This Row],[Balls Scored from Mid]]+Table1[[#This Row],[Balls Scored From Alliance zone]]</f>
        <v>0</v>
      </c>
      <c r="W276" s="8">
        <f>Table1[[#This Row],[balls scored high]]+Table1[[#This Row],[balls scored low]]</f>
        <v>0</v>
      </c>
      <c r="X276" s="8">
        <f>Table1[[#This Row],[Control Panel Spun Time]]+Table1[[#This Row],[Control Panel Color Time]]</f>
        <v>0</v>
      </c>
      <c r="Y276" s="8">
        <f>Table1[[#This Row],[Control Panels Spun]]+Table1[[#This Row],[Control Panel Color]]</f>
        <v>0</v>
      </c>
      <c r="Z27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276" s="17">
        <f>(Table1[[#This Row],[Climbed]]*weighting!$B$18)+(Table1[[#This Row],[Adjustable Climber]]*weighting!$B$19)+(Table1[[#This Row],[Lift other Robot]]*weighting!$B$20)+(Table1[[#This Row],[Balanced]]*weighting!$B$21)</f>
        <v>0</v>
      </c>
      <c r="AL276" s="8">
        <f>+Table1[[#This Row],[Endgame our score]]+Table1[[#This Row],[teleop our score]]+Table1[[#This Row],[auton our score]]</f>
        <v>0</v>
      </c>
      <c r="AM276" s="20">
        <f t="shared" si="12"/>
        <v>0</v>
      </c>
      <c r="AN276" s="20">
        <f t="shared" si="13"/>
        <v>0</v>
      </c>
      <c r="AO276" s="20">
        <f t="shared" si="14"/>
        <v>0</v>
      </c>
      <c r="AP276" s="20">
        <f>Table1[[#This Row],[balls scored]]+Table1[[#This Row],[auton balls scored]]</f>
        <v>0</v>
      </c>
      <c r="AQ276" s="20">
        <f>Table1[[#This Row],[balls scored high]]+Table1[[#This Row],[Auton Scored High]]</f>
        <v>0</v>
      </c>
      <c r="AR276" s="20">
        <f>Table1[[#This Row],[balls scored low]]+Table1[[#This Row],[Auton Scored Low]]</f>
        <v>0</v>
      </c>
      <c r="AS276" s="50">
        <f>IF(Table1[[#This Row],[Control Panel Spun Time]]&gt;0,1,0)</f>
        <v>0</v>
      </c>
      <c r="AT276" s="20">
        <f>IF(Table1[[#This Row],[Control Panel Color Time]]&gt;0,1,0)</f>
        <v>0</v>
      </c>
    </row>
    <row r="277" spans="1:46" s="2" customFormat="1" x14ac:dyDescent="0.25">
      <c r="A277"/>
      <c r="B277"/>
      <c r="C277"/>
      <c r="D277"/>
      <c r="E277"/>
      <c r="F277"/>
      <c r="G277"/>
      <c r="H277"/>
      <c r="I277" s="8">
        <f>+Table1[[#This Row],[Auton ball picked up in our trench]]+Table1[[#This Row],[Auton Balls Picked Up in Mid]]+Table1[[#This Row],[Auton Balls Picked Up In Their Trench]]</f>
        <v>0</v>
      </c>
      <c r="J277" s="8">
        <f>+Table1[[#This Row],[Auton Scored High]]+Table1[[#This Row],[Auton Scored Low]]</f>
        <v>0</v>
      </c>
      <c r="K27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77"/>
      <c r="M277"/>
      <c r="N277"/>
      <c r="O277"/>
      <c r="P277"/>
      <c r="Q277"/>
      <c r="R277"/>
      <c r="S277"/>
      <c r="T277"/>
      <c r="U277"/>
      <c r="V277" s="8">
        <f>Table1[[#This Row],[Balls Scored From Trench]]+Table1[[#This Row],[Balls Scored from Mid]]+Table1[[#This Row],[Balls Scored From Alliance zone]]</f>
        <v>0</v>
      </c>
      <c r="W277" s="8">
        <f>Table1[[#This Row],[balls scored high]]+Table1[[#This Row],[balls scored low]]</f>
        <v>0</v>
      </c>
      <c r="X277" s="8">
        <f>Table1[[#This Row],[Control Panel Spun Time]]+Table1[[#This Row],[Control Panel Color Time]]</f>
        <v>0</v>
      </c>
      <c r="Y277" s="8">
        <f>Table1[[#This Row],[Control Panels Spun]]+Table1[[#This Row],[Control Panel Color]]</f>
        <v>0</v>
      </c>
      <c r="Z27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77"/>
      <c r="AB277"/>
      <c r="AC277"/>
      <c r="AD277"/>
      <c r="AE277"/>
      <c r="AF277"/>
      <c r="AG277"/>
      <c r="AH277"/>
      <c r="AI277"/>
      <c r="AJ277"/>
      <c r="AK277" s="17">
        <f>(Table1[[#This Row],[Climbed]]*weighting!$B$18)+(Table1[[#This Row],[Adjustable Climber]]*weighting!$B$19)+(Table1[[#This Row],[Lift other Robot]]*weighting!$B$20)+(Table1[[#This Row],[Balanced]]*weighting!$B$21)</f>
        <v>0</v>
      </c>
      <c r="AL277" s="8">
        <f>+Table1[[#This Row],[Endgame our score]]+Table1[[#This Row],[teleop our score]]+Table1[[#This Row],[auton our score]]</f>
        <v>0</v>
      </c>
      <c r="AM277" s="20">
        <f t="shared" si="12"/>
        <v>0</v>
      </c>
      <c r="AN277" s="20">
        <f t="shared" si="13"/>
        <v>0</v>
      </c>
      <c r="AO277" s="20">
        <f t="shared" si="14"/>
        <v>0</v>
      </c>
      <c r="AP277" s="20">
        <f>Table1[[#This Row],[balls scored]]+Table1[[#This Row],[auton balls scored]]</f>
        <v>0</v>
      </c>
      <c r="AQ277" s="20">
        <f>Table1[[#This Row],[balls scored high]]+Table1[[#This Row],[Auton Scored High]]</f>
        <v>0</v>
      </c>
      <c r="AR277" s="20">
        <f>Table1[[#This Row],[balls scored low]]+Table1[[#This Row],[Auton Scored Low]]</f>
        <v>0</v>
      </c>
      <c r="AS277" s="50">
        <f>IF(Table1[[#This Row],[Control Panel Spun Time]]&gt;0,1,0)</f>
        <v>0</v>
      </c>
      <c r="AT277" s="20">
        <f>IF(Table1[[#This Row],[Control Panel Color Time]]&gt;0,1,0)</f>
        <v>0</v>
      </c>
    </row>
    <row r="278" spans="1:46" x14ac:dyDescent="0.25">
      <c r="A278"/>
      <c r="I278" s="8">
        <f>+Table1[[#This Row],[Auton ball picked up in our trench]]+Table1[[#This Row],[Auton Balls Picked Up in Mid]]+Table1[[#This Row],[Auton Balls Picked Up In Their Trench]]</f>
        <v>0</v>
      </c>
      <c r="J278" s="8">
        <f>+Table1[[#This Row],[Auton Scored High]]+Table1[[#This Row],[Auton Scored Low]]</f>
        <v>0</v>
      </c>
      <c r="K27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278" s="8">
        <f>Table1[[#This Row],[Balls Scored From Trench]]+Table1[[#This Row],[Balls Scored from Mid]]+Table1[[#This Row],[Balls Scored From Alliance zone]]</f>
        <v>0</v>
      </c>
      <c r="W278" s="8">
        <f>Table1[[#This Row],[balls scored high]]+Table1[[#This Row],[balls scored low]]</f>
        <v>0</v>
      </c>
      <c r="X278" s="8">
        <f>Table1[[#This Row],[Control Panel Spun Time]]+Table1[[#This Row],[Control Panel Color Time]]</f>
        <v>0</v>
      </c>
      <c r="Y278" s="8">
        <f>Table1[[#This Row],[Control Panels Spun]]+Table1[[#This Row],[Control Panel Color]]</f>
        <v>0</v>
      </c>
      <c r="Z27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278" s="17">
        <f>(Table1[[#This Row],[Climbed]]*weighting!$B$18)+(Table1[[#This Row],[Adjustable Climber]]*weighting!$B$19)+(Table1[[#This Row],[Lift other Robot]]*weighting!$B$20)+(Table1[[#This Row],[Balanced]]*weighting!$B$21)</f>
        <v>0</v>
      </c>
      <c r="AL278" s="8">
        <f>+Table1[[#This Row],[Endgame our score]]+Table1[[#This Row],[teleop our score]]+Table1[[#This Row],[auton our score]]</f>
        <v>0</v>
      </c>
      <c r="AM278" s="20">
        <f t="shared" si="12"/>
        <v>0</v>
      </c>
      <c r="AN278" s="20">
        <f t="shared" si="13"/>
        <v>0</v>
      </c>
      <c r="AO278" s="20">
        <f t="shared" si="14"/>
        <v>0</v>
      </c>
      <c r="AP278" s="20">
        <f>Table1[[#This Row],[balls scored]]+Table1[[#This Row],[auton balls scored]]</f>
        <v>0</v>
      </c>
      <c r="AQ278" s="20">
        <f>Table1[[#This Row],[balls scored high]]+Table1[[#This Row],[Auton Scored High]]</f>
        <v>0</v>
      </c>
      <c r="AR278" s="20">
        <f>Table1[[#This Row],[balls scored low]]+Table1[[#This Row],[Auton Scored Low]]</f>
        <v>0</v>
      </c>
      <c r="AS278" s="50">
        <f>IF(Table1[[#This Row],[Control Panel Spun Time]]&gt;0,1,0)</f>
        <v>0</v>
      </c>
      <c r="AT278" s="20">
        <f>IF(Table1[[#This Row],[Control Panel Color Time]]&gt;0,1,0)</f>
        <v>0</v>
      </c>
    </row>
    <row r="279" spans="1:46" s="2" customFormat="1" x14ac:dyDescent="0.25">
      <c r="A279"/>
      <c r="B279"/>
      <c r="C279"/>
      <c r="D279"/>
      <c r="E279"/>
      <c r="F279"/>
      <c r="G279"/>
      <c r="H279"/>
      <c r="I279" s="8">
        <f>+Table1[[#This Row],[Auton ball picked up in our trench]]+Table1[[#This Row],[Auton Balls Picked Up in Mid]]+Table1[[#This Row],[Auton Balls Picked Up In Their Trench]]</f>
        <v>0</v>
      </c>
      <c r="J279" s="8">
        <f>+Table1[[#This Row],[Auton Scored High]]+Table1[[#This Row],[Auton Scored Low]]</f>
        <v>0</v>
      </c>
      <c r="K27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79"/>
      <c r="M279"/>
      <c r="N279"/>
      <c r="O279"/>
      <c r="P279"/>
      <c r="Q279"/>
      <c r="R279"/>
      <c r="S279"/>
      <c r="T279"/>
      <c r="U279"/>
      <c r="V279" s="8">
        <f>Table1[[#This Row],[Balls Scored From Trench]]+Table1[[#This Row],[Balls Scored from Mid]]+Table1[[#This Row],[Balls Scored From Alliance zone]]</f>
        <v>0</v>
      </c>
      <c r="W279" s="8">
        <f>Table1[[#This Row],[balls scored high]]+Table1[[#This Row],[balls scored low]]</f>
        <v>0</v>
      </c>
      <c r="X279" s="8">
        <f>Table1[[#This Row],[Control Panel Spun Time]]+Table1[[#This Row],[Control Panel Color Time]]</f>
        <v>0</v>
      </c>
      <c r="Y279" s="8">
        <f>Table1[[#This Row],[Control Panels Spun]]+Table1[[#This Row],[Control Panel Color]]</f>
        <v>0</v>
      </c>
      <c r="Z27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79"/>
      <c r="AB279"/>
      <c r="AC279"/>
      <c r="AD279"/>
      <c r="AE279"/>
      <c r="AF279"/>
      <c r="AG279"/>
      <c r="AH279"/>
      <c r="AI279"/>
      <c r="AJ279"/>
      <c r="AK279" s="17">
        <f>(Table1[[#This Row],[Climbed]]*weighting!$B$18)+(Table1[[#This Row],[Adjustable Climber]]*weighting!$B$19)+(Table1[[#This Row],[Lift other Robot]]*weighting!$B$20)+(Table1[[#This Row],[Balanced]]*weighting!$B$21)</f>
        <v>0</v>
      </c>
      <c r="AL279" s="8">
        <f>+Table1[[#This Row],[Endgame our score]]+Table1[[#This Row],[teleop our score]]+Table1[[#This Row],[auton our score]]</f>
        <v>0</v>
      </c>
      <c r="AM279" s="20">
        <f t="shared" si="12"/>
        <v>0</v>
      </c>
      <c r="AN279" s="20">
        <f t="shared" si="13"/>
        <v>0</v>
      </c>
      <c r="AO279" s="20">
        <f t="shared" si="14"/>
        <v>0</v>
      </c>
      <c r="AP279" s="20">
        <f>Table1[[#This Row],[balls scored]]+Table1[[#This Row],[auton balls scored]]</f>
        <v>0</v>
      </c>
      <c r="AQ279" s="20">
        <f>Table1[[#This Row],[balls scored high]]+Table1[[#This Row],[Auton Scored High]]</f>
        <v>0</v>
      </c>
      <c r="AR279" s="20">
        <f>Table1[[#This Row],[balls scored low]]+Table1[[#This Row],[Auton Scored Low]]</f>
        <v>0</v>
      </c>
      <c r="AS279" s="50">
        <f>IF(Table1[[#This Row],[Control Panel Spun Time]]&gt;0,1,0)</f>
        <v>0</v>
      </c>
      <c r="AT279" s="20">
        <f>IF(Table1[[#This Row],[Control Panel Color Time]]&gt;0,1,0)</f>
        <v>0</v>
      </c>
    </row>
    <row r="280" spans="1:46" x14ac:dyDescent="0.25">
      <c r="A280"/>
      <c r="I280" s="8">
        <f>+Table1[[#This Row],[Auton ball picked up in our trench]]+Table1[[#This Row],[Auton Balls Picked Up in Mid]]+Table1[[#This Row],[Auton Balls Picked Up In Their Trench]]</f>
        <v>0</v>
      </c>
      <c r="J280" s="8">
        <f>+Table1[[#This Row],[Auton Scored High]]+Table1[[#This Row],[Auton Scored Low]]</f>
        <v>0</v>
      </c>
      <c r="K28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280" s="8">
        <f>Table1[[#This Row],[Balls Scored From Trench]]+Table1[[#This Row],[Balls Scored from Mid]]+Table1[[#This Row],[Balls Scored From Alliance zone]]</f>
        <v>0</v>
      </c>
      <c r="W280" s="8">
        <f>Table1[[#This Row],[balls scored high]]+Table1[[#This Row],[balls scored low]]</f>
        <v>0</v>
      </c>
      <c r="X280" s="8">
        <f>Table1[[#This Row],[Control Panel Spun Time]]+Table1[[#This Row],[Control Panel Color Time]]</f>
        <v>0</v>
      </c>
      <c r="Y280" s="8">
        <f>Table1[[#This Row],[Control Panels Spun]]+Table1[[#This Row],[Control Panel Color]]</f>
        <v>0</v>
      </c>
      <c r="Z28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280" s="17">
        <f>(Table1[[#This Row],[Climbed]]*weighting!$B$18)+(Table1[[#This Row],[Adjustable Climber]]*weighting!$B$19)+(Table1[[#This Row],[Lift other Robot]]*weighting!$B$20)+(Table1[[#This Row],[Balanced]]*weighting!$B$21)</f>
        <v>0</v>
      </c>
      <c r="AL280" s="8">
        <f>+Table1[[#This Row],[Endgame our score]]+Table1[[#This Row],[teleop our score]]+Table1[[#This Row],[auton our score]]</f>
        <v>0</v>
      </c>
      <c r="AM280" s="20">
        <f t="shared" si="12"/>
        <v>0</v>
      </c>
      <c r="AN280" s="20">
        <f t="shared" si="13"/>
        <v>0</v>
      </c>
      <c r="AO280" s="20">
        <f t="shared" si="14"/>
        <v>0</v>
      </c>
      <c r="AP280" s="20">
        <f>Table1[[#This Row],[balls scored]]+Table1[[#This Row],[auton balls scored]]</f>
        <v>0</v>
      </c>
      <c r="AQ280" s="20">
        <f>Table1[[#This Row],[balls scored high]]+Table1[[#This Row],[Auton Scored High]]</f>
        <v>0</v>
      </c>
      <c r="AR280" s="20">
        <f>Table1[[#This Row],[balls scored low]]+Table1[[#This Row],[Auton Scored Low]]</f>
        <v>0</v>
      </c>
      <c r="AS280" s="50">
        <f>IF(Table1[[#This Row],[Control Panel Spun Time]]&gt;0,1,0)</f>
        <v>0</v>
      </c>
      <c r="AT280" s="20">
        <f>IF(Table1[[#This Row],[Control Panel Color Time]]&gt;0,1,0)</f>
        <v>0</v>
      </c>
    </row>
    <row r="281" spans="1:46" s="2" customFormat="1" x14ac:dyDescent="0.25">
      <c r="A281"/>
      <c r="B281"/>
      <c r="C281"/>
      <c r="D281"/>
      <c r="E281"/>
      <c r="F281"/>
      <c r="G281"/>
      <c r="H281"/>
      <c r="I281" s="8">
        <f>+Table1[[#This Row],[Auton ball picked up in our trench]]+Table1[[#This Row],[Auton Balls Picked Up in Mid]]+Table1[[#This Row],[Auton Balls Picked Up In Their Trench]]</f>
        <v>0</v>
      </c>
      <c r="J281" s="8">
        <f>+Table1[[#This Row],[Auton Scored High]]+Table1[[#This Row],[Auton Scored Low]]</f>
        <v>0</v>
      </c>
      <c r="K28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81"/>
      <c r="M281"/>
      <c r="N281"/>
      <c r="O281"/>
      <c r="P281"/>
      <c r="Q281"/>
      <c r="R281"/>
      <c r="S281"/>
      <c r="T281"/>
      <c r="U281"/>
      <c r="V281" s="8">
        <f>Table1[[#This Row],[Balls Scored From Trench]]+Table1[[#This Row],[Balls Scored from Mid]]+Table1[[#This Row],[Balls Scored From Alliance zone]]</f>
        <v>0</v>
      </c>
      <c r="W281" s="8">
        <f>Table1[[#This Row],[balls scored high]]+Table1[[#This Row],[balls scored low]]</f>
        <v>0</v>
      </c>
      <c r="X281" s="8">
        <f>Table1[[#This Row],[Control Panel Spun Time]]+Table1[[#This Row],[Control Panel Color Time]]</f>
        <v>0</v>
      </c>
      <c r="Y281" s="8">
        <f>Table1[[#This Row],[Control Panels Spun]]+Table1[[#This Row],[Control Panel Color]]</f>
        <v>0</v>
      </c>
      <c r="Z28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81"/>
      <c r="AB281"/>
      <c r="AC281"/>
      <c r="AD281"/>
      <c r="AE281"/>
      <c r="AF281"/>
      <c r="AG281"/>
      <c r="AH281"/>
      <c r="AI281"/>
      <c r="AJ281"/>
      <c r="AK281" s="17">
        <f>(Table1[[#This Row],[Climbed]]*weighting!$B$18)+(Table1[[#This Row],[Adjustable Climber]]*weighting!$B$19)+(Table1[[#This Row],[Lift other Robot]]*weighting!$B$20)+(Table1[[#This Row],[Balanced]]*weighting!$B$21)</f>
        <v>0</v>
      </c>
      <c r="AL281" s="8">
        <f>+Table1[[#This Row],[Endgame our score]]+Table1[[#This Row],[teleop our score]]+Table1[[#This Row],[auton our score]]</f>
        <v>0</v>
      </c>
      <c r="AM281" s="20">
        <f t="shared" si="12"/>
        <v>0</v>
      </c>
      <c r="AN281" s="20">
        <f t="shared" si="13"/>
        <v>0</v>
      </c>
      <c r="AO281" s="20">
        <f t="shared" si="14"/>
        <v>0</v>
      </c>
      <c r="AP281" s="20">
        <f>Table1[[#This Row],[balls scored]]+Table1[[#This Row],[auton balls scored]]</f>
        <v>0</v>
      </c>
      <c r="AQ281" s="20">
        <f>Table1[[#This Row],[balls scored high]]+Table1[[#This Row],[Auton Scored High]]</f>
        <v>0</v>
      </c>
      <c r="AR281" s="20">
        <f>Table1[[#This Row],[balls scored low]]+Table1[[#This Row],[Auton Scored Low]]</f>
        <v>0</v>
      </c>
      <c r="AS281" s="50">
        <f>IF(Table1[[#This Row],[Control Panel Spun Time]]&gt;0,1,0)</f>
        <v>0</v>
      </c>
      <c r="AT281" s="20">
        <f>IF(Table1[[#This Row],[Control Panel Color Time]]&gt;0,1,0)</f>
        <v>0</v>
      </c>
    </row>
    <row r="282" spans="1:46" x14ac:dyDescent="0.25">
      <c r="A282"/>
      <c r="I282" s="8">
        <f>+Table1[[#This Row],[Auton ball picked up in our trench]]+Table1[[#This Row],[Auton Balls Picked Up in Mid]]+Table1[[#This Row],[Auton Balls Picked Up In Their Trench]]</f>
        <v>0</v>
      </c>
      <c r="J282" s="8">
        <f>+Table1[[#This Row],[Auton Scored High]]+Table1[[#This Row],[Auton Scored Low]]</f>
        <v>0</v>
      </c>
      <c r="K28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282" s="8">
        <f>Table1[[#This Row],[Balls Scored From Trench]]+Table1[[#This Row],[Balls Scored from Mid]]+Table1[[#This Row],[Balls Scored From Alliance zone]]</f>
        <v>0</v>
      </c>
      <c r="W282" s="8">
        <f>Table1[[#This Row],[balls scored high]]+Table1[[#This Row],[balls scored low]]</f>
        <v>0</v>
      </c>
      <c r="X282" s="8">
        <f>Table1[[#This Row],[Control Panel Spun Time]]+Table1[[#This Row],[Control Panel Color Time]]</f>
        <v>0</v>
      </c>
      <c r="Y282" s="8">
        <f>Table1[[#This Row],[Control Panels Spun]]+Table1[[#This Row],[Control Panel Color]]</f>
        <v>0</v>
      </c>
      <c r="Z28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282" s="17">
        <f>(Table1[[#This Row],[Climbed]]*weighting!$B$18)+(Table1[[#This Row],[Adjustable Climber]]*weighting!$B$19)+(Table1[[#This Row],[Lift other Robot]]*weighting!$B$20)+(Table1[[#This Row],[Balanced]]*weighting!$B$21)</f>
        <v>0</v>
      </c>
      <c r="AL282" s="8">
        <f>+Table1[[#This Row],[Endgame our score]]+Table1[[#This Row],[teleop our score]]+Table1[[#This Row],[auton our score]]</f>
        <v>0</v>
      </c>
      <c r="AM282" s="20">
        <f t="shared" si="12"/>
        <v>0</v>
      </c>
      <c r="AN282" s="20">
        <f t="shared" si="13"/>
        <v>0</v>
      </c>
      <c r="AO282" s="20">
        <f t="shared" si="14"/>
        <v>0</v>
      </c>
      <c r="AP282" s="20">
        <f>Table1[[#This Row],[balls scored]]+Table1[[#This Row],[auton balls scored]]</f>
        <v>0</v>
      </c>
      <c r="AQ282" s="20">
        <f>Table1[[#This Row],[balls scored high]]+Table1[[#This Row],[Auton Scored High]]</f>
        <v>0</v>
      </c>
      <c r="AR282" s="20">
        <f>Table1[[#This Row],[balls scored low]]+Table1[[#This Row],[Auton Scored Low]]</f>
        <v>0</v>
      </c>
      <c r="AS282" s="50">
        <f>IF(Table1[[#This Row],[Control Panel Spun Time]]&gt;0,1,0)</f>
        <v>0</v>
      </c>
      <c r="AT282" s="20">
        <f>IF(Table1[[#This Row],[Control Panel Color Time]]&gt;0,1,0)</f>
        <v>0</v>
      </c>
    </row>
    <row r="283" spans="1:46" s="2" customFormat="1" x14ac:dyDescent="0.25">
      <c r="A283"/>
      <c r="B283"/>
      <c r="C283"/>
      <c r="D283"/>
      <c r="E283"/>
      <c r="F283"/>
      <c r="G283"/>
      <c r="H283"/>
      <c r="I283" s="8">
        <f>+Table1[[#This Row],[Auton ball picked up in our trench]]+Table1[[#This Row],[Auton Balls Picked Up in Mid]]+Table1[[#This Row],[Auton Balls Picked Up In Their Trench]]</f>
        <v>0</v>
      </c>
      <c r="J283" s="8">
        <f>+Table1[[#This Row],[Auton Scored High]]+Table1[[#This Row],[Auton Scored Low]]</f>
        <v>0</v>
      </c>
      <c r="K28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83"/>
      <c r="M283"/>
      <c r="N283"/>
      <c r="O283"/>
      <c r="P283"/>
      <c r="Q283"/>
      <c r="R283"/>
      <c r="S283"/>
      <c r="T283"/>
      <c r="U283"/>
      <c r="V283" s="8">
        <f>Table1[[#This Row],[Balls Scored From Trench]]+Table1[[#This Row],[Balls Scored from Mid]]+Table1[[#This Row],[Balls Scored From Alliance zone]]</f>
        <v>0</v>
      </c>
      <c r="W283" s="8">
        <f>Table1[[#This Row],[balls scored high]]+Table1[[#This Row],[balls scored low]]</f>
        <v>0</v>
      </c>
      <c r="X283" s="8">
        <f>Table1[[#This Row],[Control Panel Spun Time]]+Table1[[#This Row],[Control Panel Color Time]]</f>
        <v>0</v>
      </c>
      <c r="Y283" s="8">
        <f>Table1[[#This Row],[Control Panels Spun]]+Table1[[#This Row],[Control Panel Color]]</f>
        <v>0</v>
      </c>
      <c r="Z28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83"/>
      <c r="AB283"/>
      <c r="AC283"/>
      <c r="AD283"/>
      <c r="AE283"/>
      <c r="AF283"/>
      <c r="AG283"/>
      <c r="AH283"/>
      <c r="AI283"/>
      <c r="AJ283"/>
      <c r="AK283" s="17">
        <f>(Table1[[#This Row],[Climbed]]*weighting!$B$18)+(Table1[[#This Row],[Adjustable Climber]]*weighting!$B$19)+(Table1[[#This Row],[Lift other Robot]]*weighting!$B$20)+(Table1[[#This Row],[Balanced]]*weighting!$B$21)</f>
        <v>0</v>
      </c>
      <c r="AL283" s="8">
        <f>+Table1[[#This Row],[Endgame our score]]+Table1[[#This Row],[teleop our score]]+Table1[[#This Row],[auton our score]]</f>
        <v>0</v>
      </c>
      <c r="AM283" s="20">
        <f t="shared" si="12"/>
        <v>0</v>
      </c>
      <c r="AN283" s="20">
        <f t="shared" si="13"/>
        <v>0</v>
      </c>
      <c r="AO283" s="20">
        <f t="shared" si="14"/>
        <v>0</v>
      </c>
      <c r="AP283" s="20">
        <f>Table1[[#This Row],[balls scored]]+Table1[[#This Row],[auton balls scored]]</f>
        <v>0</v>
      </c>
      <c r="AQ283" s="20">
        <f>Table1[[#This Row],[balls scored high]]+Table1[[#This Row],[Auton Scored High]]</f>
        <v>0</v>
      </c>
      <c r="AR283" s="20">
        <f>Table1[[#This Row],[balls scored low]]+Table1[[#This Row],[Auton Scored Low]]</f>
        <v>0</v>
      </c>
      <c r="AS283" s="50">
        <f>IF(Table1[[#This Row],[Control Panel Spun Time]]&gt;0,1,0)</f>
        <v>0</v>
      </c>
      <c r="AT283" s="20">
        <f>IF(Table1[[#This Row],[Control Panel Color Time]]&gt;0,1,0)</f>
        <v>0</v>
      </c>
    </row>
    <row r="284" spans="1:46" x14ac:dyDescent="0.25">
      <c r="A284"/>
      <c r="I284" s="8">
        <f>+Table1[[#This Row],[Auton ball picked up in our trench]]+Table1[[#This Row],[Auton Balls Picked Up in Mid]]+Table1[[#This Row],[Auton Balls Picked Up In Their Trench]]</f>
        <v>0</v>
      </c>
      <c r="J284" s="8">
        <f>+Table1[[#This Row],[Auton Scored High]]+Table1[[#This Row],[Auton Scored Low]]</f>
        <v>0</v>
      </c>
      <c r="K28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284" s="8">
        <f>Table1[[#This Row],[Balls Scored From Trench]]+Table1[[#This Row],[Balls Scored from Mid]]+Table1[[#This Row],[Balls Scored From Alliance zone]]</f>
        <v>0</v>
      </c>
      <c r="W284" s="8">
        <f>Table1[[#This Row],[balls scored high]]+Table1[[#This Row],[balls scored low]]</f>
        <v>0</v>
      </c>
      <c r="X284" s="8">
        <f>Table1[[#This Row],[Control Panel Spun Time]]+Table1[[#This Row],[Control Panel Color Time]]</f>
        <v>0</v>
      </c>
      <c r="Y284" s="8">
        <f>Table1[[#This Row],[Control Panels Spun]]+Table1[[#This Row],[Control Panel Color]]</f>
        <v>0</v>
      </c>
      <c r="Z28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284" s="17">
        <f>(Table1[[#This Row],[Climbed]]*weighting!$B$18)+(Table1[[#This Row],[Adjustable Climber]]*weighting!$B$19)+(Table1[[#This Row],[Lift other Robot]]*weighting!$B$20)+(Table1[[#This Row],[Balanced]]*weighting!$B$21)</f>
        <v>0</v>
      </c>
      <c r="AL284" s="8">
        <f>+Table1[[#This Row],[Endgame our score]]+Table1[[#This Row],[teleop our score]]+Table1[[#This Row],[auton our score]]</f>
        <v>0</v>
      </c>
      <c r="AM284" s="20">
        <f t="shared" si="12"/>
        <v>0</v>
      </c>
      <c r="AN284" s="20">
        <f t="shared" si="13"/>
        <v>0</v>
      </c>
      <c r="AO284" s="20">
        <f t="shared" si="14"/>
        <v>0</v>
      </c>
      <c r="AP284" s="20">
        <f>Table1[[#This Row],[balls scored]]+Table1[[#This Row],[auton balls scored]]</f>
        <v>0</v>
      </c>
      <c r="AQ284" s="20">
        <f>Table1[[#This Row],[balls scored high]]+Table1[[#This Row],[Auton Scored High]]</f>
        <v>0</v>
      </c>
      <c r="AR284" s="20">
        <f>Table1[[#This Row],[balls scored low]]+Table1[[#This Row],[Auton Scored Low]]</f>
        <v>0</v>
      </c>
      <c r="AS284" s="50">
        <f>IF(Table1[[#This Row],[Control Panel Spun Time]]&gt;0,1,0)</f>
        <v>0</v>
      </c>
      <c r="AT284" s="20">
        <f>IF(Table1[[#This Row],[Control Panel Color Time]]&gt;0,1,0)</f>
        <v>0</v>
      </c>
    </row>
    <row r="285" spans="1:46" s="2" customFormat="1" x14ac:dyDescent="0.25">
      <c r="A285"/>
      <c r="B285"/>
      <c r="C285"/>
      <c r="D285"/>
      <c r="E285"/>
      <c r="F285"/>
      <c r="G285"/>
      <c r="H285"/>
      <c r="I285" s="8">
        <f>+Table1[[#This Row],[Auton ball picked up in our trench]]+Table1[[#This Row],[Auton Balls Picked Up in Mid]]+Table1[[#This Row],[Auton Balls Picked Up In Their Trench]]</f>
        <v>0</v>
      </c>
      <c r="J285" s="8">
        <f>+Table1[[#This Row],[Auton Scored High]]+Table1[[#This Row],[Auton Scored Low]]</f>
        <v>0</v>
      </c>
      <c r="K28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85"/>
      <c r="M285"/>
      <c r="N285"/>
      <c r="O285"/>
      <c r="P285"/>
      <c r="Q285"/>
      <c r="R285"/>
      <c r="S285"/>
      <c r="T285"/>
      <c r="U285"/>
      <c r="V285" s="8">
        <f>Table1[[#This Row],[Balls Scored From Trench]]+Table1[[#This Row],[Balls Scored from Mid]]+Table1[[#This Row],[Balls Scored From Alliance zone]]</f>
        <v>0</v>
      </c>
      <c r="W285" s="8">
        <f>Table1[[#This Row],[balls scored high]]+Table1[[#This Row],[balls scored low]]</f>
        <v>0</v>
      </c>
      <c r="X285" s="8">
        <f>Table1[[#This Row],[Control Panel Spun Time]]+Table1[[#This Row],[Control Panel Color Time]]</f>
        <v>0</v>
      </c>
      <c r="Y285" s="8">
        <f>Table1[[#This Row],[Control Panels Spun]]+Table1[[#This Row],[Control Panel Color]]</f>
        <v>0</v>
      </c>
      <c r="Z28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85"/>
      <c r="AB285"/>
      <c r="AC285"/>
      <c r="AD285"/>
      <c r="AE285"/>
      <c r="AF285"/>
      <c r="AG285"/>
      <c r="AH285"/>
      <c r="AI285"/>
      <c r="AJ285"/>
      <c r="AK285" s="17">
        <f>(Table1[[#This Row],[Climbed]]*weighting!$B$18)+(Table1[[#This Row],[Adjustable Climber]]*weighting!$B$19)+(Table1[[#This Row],[Lift other Robot]]*weighting!$B$20)+(Table1[[#This Row],[Balanced]]*weighting!$B$21)</f>
        <v>0</v>
      </c>
      <c r="AL285" s="8">
        <f>+Table1[[#This Row],[Endgame our score]]+Table1[[#This Row],[teleop our score]]+Table1[[#This Row],[auton our score]]</f>
        <v>0</v>
      </c>
      <c r="AM285" s="20">
        <f t="shared" si="12"/>
        <v>0</v>
      </c>
      <c r="AN285" s="20">
        <f t="shared" si="13"/>
        <v>0</v>
      </c>
      <c r="AO285" s="20">
        <f t="shared" si="14"/>
        <v>0</v>
      </c>
      <c r="AP285" s="20">
        <f>Table1[[#This Row],[balls scored]]+Table1[[#This Row],[auton balls scored]]</f>
        <v>0</v>
      </c>
      <c r="AQ285" s="20">
        <f>Table1[[#This Row],[balls scored high]]+Table1[[#This Row],[Auton Scored High]]</f>
        <v>0</v>
      </c>
      <c r="AR285" s="20">
        <f>Table1[[#This Row],[balls scored low]]+Table1[[#This Row],[Auton Scored Low]]</f>
        <v>0</v>
      </c>
      <c r="AS285" s="50">
        <f>IF(Table1[[#This Row],[Control Panel Spun Time]]&gt;0,1,0)</f>
        <v>0</v>
      </c>
      <c r="AT285" s="20">
        <f>IF(Table1[[#This Row],[Control Panel Color Time]]&gt;0,1,0)</f>
        <v>0</v>
      </c>
    </row>
    <row r="286" spans="1:46" x14ac:dyDescent="0.25">
      <c r="A286"/>
      <c r="I286" s="8">
        <f>+Table1[[#This Row],[Auton ball picked up in our trench]]+Table1[[#This Row],[Auton Balls Picked Up in Mid]]+Table1[[#This Row],[Auton Balls Picked Up In Their Trench]]</f>
        <v>0</v>
      </c>
      <c r="J286" s="8">
        <f>+Table1[[#This Row],[Auton Scored High]]+Table1[[#This Row],[Auton Scored Low]]</f>
        <v>0</v>
      </c>
      <c r="K28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286" s="8">
        <f>Table1[[#This Row],[Balls Scored From Trench]]+Table1[[#This Row],[Balls Scored from Mid]]+Table1[[#This Row],[Balls Scored From Alliance zone]]</f>
        <v>0</v>
      </c>
      <c r="W286" s="8">
        <f>Table1[[#This Row],[balls scored high]]+Table1[[#This Row],[balls scored low]]</f>
        <v>0</v>
      </c>
      <c r="X286" s="8">
        <f>Table1[[#This Row],[Control Panel Spun Time]]+Table1[[#This Row],[Control Panel Color Time]]</f>
        <v>0</v>
      </c>
      <c r="Y286" s="8">
        <f>Table1[[#This Row],[Control Panels Spun]]+Table1[[#This Row],[Control Panel Color]]</f>
        <v>0</v>
      </c>
      <c r="Z28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286" s="17">
        <f>(Table1[[#This Row],[Climbed]]*weighting!$B$18)+(Table1[[#This Row],[Adjustable Climber]]*weighting!$B$19)+(Table1[[#This Row],[Lift other Robot]]*weighting!$B$20)+(Table1[[#This Row],[Balanced]]*weighting!$B$21)</f>
        <v>0</v>
      </c>
      <c r="AL286" s="8">
        <f>+Table1[[#This Row],[Endgame our score]]+Table1[[#This Row],[teleop our score]]+Table1[[#This Row],[auton our score]]</f>
        <v>0</v>
      </c>
      <c r="AM286" s="20">
        <f t="shared" si="12"/>
        <v>0</v>
      </c>
      <c r="AN286" s="20">
        <f t="shared" si="13"/>
        <v>0</v>
      </c>
      <c r="AO286" s="20">
        <f t="shared" si="14"/>
        <v>0</v>
      </c>
      <c r="AP286" s="20">
        <f>Table1[[#This Row],[balls scored]]+Table1[[#This Row],[auton balls scored]]</f>
        <v>0</v>
      </c>
      <c r="AQ286" s="20">
        <f>Table1[[#This Row],[balls scored high]]+Table1[[#This Row],[Auton Scored High]]</f>
        <v>0</v>
      </c>
      <c r="AR286" s="20">
        <f>Table1[[#This Row],[balls scored low]]+Table1[[#This Row],[Auton Scored Low]]</f>
        <v>0</v>
      </c>
      <c r="AS286" s="50">
        <f>IF(Table1[[#This Row],[Control Panel Spun Time]]&gt;0,1,0)</f>
        <v>0</v>
      </c>
      <c r="AT286" s="20">
        <f>IF(Table1[[#This Row],[Control Panel Color Time]]&gt;0,1,0)</f>
        <v>0</v>
      </c>
    </row>
    <row r="287" spans="1:46" s="2" customFormat="1" x14ac:dyDescent="0.25">
      <c r="A287"/>
      <c r="B287"/>
      <c r="C287"/>
      <c r="D287"/>
      <c r="E287"/>
      <c r="F287"/>
      <c r="G287"/>
      <c r="H287"/>
      <c r="I287" s="8">
        <f>+Table1[[#This Row],[Auton ball picked up in our trench]]+Table1[[#This Row],[Auton Balls Picked Up in Mid]]+Table1[[#This Row],[Auton Balls Picked Up In Their Trench]]</f>
        <v>0</v>
      </c>
      <c r="J287" s="8">
        <f>+Table1[[#This Row],[Auton Scored High]]+Table1[[#This Row],[Auton Scored Low]]</f>
        <v>0</v>
      </c>
      <c r="K28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87"/>
      <c r="M287"/>
      <c r="N287"/>
      <c r="O287"/>
      <c r="P287"/>
      <c r="Q287"/>
      <c r="R287"/>
      <c r="S287"/>
      <c r="T287"/>
      <c r="U287"/>
      <c r="V287" s="8">
        <f>Table1[[#This Row],[Balls Scored From Trench]]+Table1[[#This Row],[Balls Scored from Mid]]+Table1[[#This Row],[Balls Scored From Alliance zone]]</f>
        <v>0</v>
      </c>
      <c r="W287" s="8">
        <f>Table1[[#This Row],[balls scored high]]+Table1[[#This Row],[balls scored low]]</f>
        <v>0</v>
      </c>
      <c r="X287" s="8">
        <f>Table1[[#This Row],[Control Panel Spun Time]]+Table1[[#This Row],[Control Panel Color Time]]</f>
        <v>0</v>
      </c>
      <c r="Y287" s="8">
        <f>Table1[[#This Row],[Control Panels Spun]]+Table1[[#This Row],[Control Panel Color]]</f>
        <v>0</v>
      </c>
      <c r="Z28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87"/>
      <c r="AB287"/>
      <c r="AC287"/>
      <c r="AD287"/>
      <c r="AE287"/>
      <c r="AF287"/>
      <c r="AG287"/>
      <c r="AH287"/>
      <c r="AI287"/>
      <c r="AJ287"/>
      <c r="AK287" s="17">
        <f>(Table1[[#This Row],[Climbed]]*weighting!$B$18)+(Table1[[#This Row],[Adjustable Climber]]*weighting!$B$19)+(Table1[[#This Row],[Lift other Robot]]*weighting!$B$20)+(Table1[[#This Row],[Balanced]]*weighting!$B$21)</f>
        <v>0</v>
      </c>
      <c r="AL287" s="8">
        <f>+Table1[[#This Row],[Endgame our score]]+Table1[[#This Row],[teleop our score]]+Table1[[#This Row],[auton our score]]</f>
        <v>0</v>
      </c>
      <c r="AM287" s="20">
        <f t="shared" si="12"/>
        <v>0</v>
      </c>
      <c r="AN287" s="20">
        <f t="shared" si="13"/>
        <v>0</v>
      </c>
      <c r="AO287" s="20">
        <f t="shared" si="14"/>
        <v>0</v>
      </c>
      <c r="AP287" s="20">
        <f>Table1[[#This Row],[balls scored]]+Table1[[#This Row],[auton balls scored]]</f>
        <v>0</v>
      </c>
      <c r="AQ287" s="20">
        <f>Table1[[#This Row],[balls scored high]]+Table1[[#This Row],[Auton Scored High]]</f>
        <v>0</v>
      </c>
      <c r="AR287" s="20">
        <f>Table1[[#This Row],[balls scored low]]+Table1[[#This Row],[Auton Scored Low]]</f>
        <v>0</v>
      </c>
      <c r="AS287" s="50">
        <f>IF(Table1[[#This Row],[Control Panel Spun Time]]&gt;0,1,0)</f>
        <v>0</v>
      </c>
      <c r="AT287" s="20">
        <f>IF(Table1[[#This Row],[Control Panel Color Time]]&gt;0,1,0)</f>
        <v>0</v>
      </c>
    </row>
    <row r="288" spans="1:46" x14ac:dyDescent="0.25">
      <c r="A288"/>
      <c r="I288" s="8">
        <f>+Table1[[#This Row],[Auton ball picked up in our trench]]+Table1[[#This Row],[Auton Balls Picked Up in Mid]]+Table1[[#This Row],[Auton Balls Picked Up In Their Trench]]</f>
        <v>0</v>
      </c>
      <c r="J288" s="8">
        <f>+Table1[[#This Row],[Auton Scored High]]+Table1[[#This Row],[Auton Scored Low]]</f>
        <v>0</v>
      </c>
      <c r="K28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288" s="8">
        <f>Table1[[#This Row],[Balls Scored From Trench]]+Table1[[#This Row],[Balls Scored from Mid]]+Table1[[#This Row],[Balls Scored From Alliance zone]]</f>
        <v>0</v>
      </c>
      <c r="W288" s="8">
        <f>Table1[[#This Row],[balls scored high]]+Table1[[#This Row],[balls scored low]]</f>
        <v>0</v>
      </c>
      <c r="X288" s="8">
        <f>Table1[[#This Row],[Control Panel Spun Time]]+Table1[[#This Row],[Control Panel Color Time]]</f>
        <v>0</v>
      </c>
      <c r="Y288" s="8">
        <f>Table1[[#This Row],[Control Panels Spun]]+Table1[[#This Row],[Control Panel Color]]</f>
        <v>0</v>
      </c>
      <c r="Z28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288" s="17">
        <f>(Table1[[#This Row],[Climbed]]*weighting!$B$18)+(Table1[[#This Row],[Adjustable Climber]]*weighting!$B$19)+(Table1[[#This Row],[Lift other Robot]]*weighting!$B$20)+(Table1[[#This Row],[Balanced]]*weighting!$B$21)</f>
        <v>0</v>
      </c>
      <c r="AL288" s="8">
        <f>+Table1[[#This Row],[Endgame our score]]+Table1[[#This Row],[teleop our score]]+Table1[[#This Row],[auton our score]]</f>
        <v>0</v>
      </c>
      <c r="AM288" s="20">
        <f t="shared" si="12"/>
        <v>0</v>
      </c>
      <c r="AN288" s="20">
        <f t="shared" si="13"/>
        <v>0</v>
      </c>
      <c r="AO288" s="20">
        <f t="shared" si="14"/>
        <v>0</v>
      </c>
      <c r="AP288" s="20">
        <f>Table1[[#This Row],[balls scored]]+Table1[[#This Row],[auton balls scored]]</f>
        <v>0</v>
      </c>
      <c r="AQ288" s="20">
        <f>Table1[[#This Row],[balls scored high]]+Table1[[#This Row],[Auton Scored High]]</f>
        <v>0</v>
      </c>
      <c r="AR288" s="20">
        <f>Table1[[#This Row],[balls scored low]]+Table1[[#This Row],[Auton Scored Low]]</f>
        <v>0</v>
      </c>
      <c r="AS288" s="50">
        <f>IF(Table1[[#This Row],[Control Panel Spun Time]]&gt;0,1,0)</f>
        <v>0</v>
      </c>
      <c r="AT288" s="20">
        <f>IF(Table1[[#This Row],[Control Panel Color Time]]&gt;0,1,0)</f>
        <v>0</v>
      </c>
    </row>
    <row r="289" spans="1:46" s="2" customFormat="1" x14ac:dyDescent="0.25">
      <c r="A289"/>
      <c r="B289"/>
      <c r="C289"/>
      <c r="D289"/>
      <c r="E289"/>
      <c r="F289"/>
      <c r="G289"/>
      <c r="H289"/>
      <c r="I289" s="8">
        <f>+Table1[[#This Row],[Auton ball picked up in our trench]]+Table1[[#This Row],[Auton Balls Picked Up in Mid]]+Table1[[#This Row],[Auton Balls Picked Up In Their Trench]]</f>
        <v>0</v>
      </c>
      <c r="J289" s="8">
        <f>+Table1[[#This Row],[Auton Scored High]]+Table1[[#This Row],[Auton Scored Low]]</f>
        <v>0</v>
      </c>
      <c r="K28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89"/>
      <c r="M289"/>
      <c r="N289"/>
      <c r="O289"/>
      <c r="P289"/>
      <c r="Q289"/>
      <c r="R289"/>
      <c r="S289"/>
      <c r="T289"/>
      <c r="U289"/>
      <c r="V289" s="8">
        <f>Table1[[#This Row],[Balls Scored From Trench]]+Table1[[#This Row],[Balls Scored from Mid]]+Table1[[#This Row],[Balls Scored From Alliance zone]]</f>
        <v>0</v>
      </c>
      <c r="W289" s="8">
        <f>Table1[[#This Row],[balls scored high]]+Table1[[#This Row],[balls scored low]]</f>
        <v>0</v>
      </c>
      <c r="X289" s="8">
        <f>Table1[[#This Row],[Control Panel Spun Time]]+Table1[[#This Row],[Control Panel Color Time]]</f>
        <v>0</v>
      </c>
      <c r="Y289" s="8">
        <f>Table1[[#This Row],[Control Panels Spun]]+Table1[[#This Row],[Control Panel Color]]</f>
        <v>0</v>
      </c>
      <c r="Z28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89"/>
      <c r="AB289"/>
      <c r="AC289"/>
      <c r="AD289"/>
      <c r="AE289"/>
      <c r="AF289"/>
      <c r="AG289"/>
      <c r="AH289"/>
      <c r="AI289"/>
      <c r="AJ289"/>
      <c r="AK289" s="17">
        <f>(Table1[[#This Row],[Climbed]]*weighting!$B$18)+(Table1[[#This Row],[Adjustable Climber]]*weighting!$B$19)+(Table1[[#This Row],[Lift other Robot]]*weighting!$B$20)+(Table1[[#This Row],[Balanced]]*weighting!$B$21)</f>
        <v>0</v>
      </c>
      <c r="AL289" s="8">
        <f>+Table1[[#This Row],[Endgame our score]]+Table1[[#This Row],[teleop our score]]+Table1[[#This Row],[auton our score]]</f>
        <v>0</v>
      </c>
      <c r="AM289" s="20">
        <f t="shared" si="12"/>
        <v>0</v>
      </c>
      <c r="AN289" s="20">
        <f t="shared" si="13"/>
        <v>0</v>
      </c>
      <c r="AO289" s="20">
        <f t="shared" si="14"/>
        <v>0</v>
      </c>
      <c r="AP289" s="20">
        <f>Table1[[#This Row],[balls scored]]+Table1[[#This Row],[auton balls scored]]</f>
        <v>0</v>
      </c>
      <c r="AQ289" s="20">
        <f>Table1[[#This Row],[balls scored high]]+Table1[[#This Row],[Auton Scored High]]</f>
        <v>0</v>
      </c>
      <c r="AR289" s="20">
        <f>Table1[[#This Row],[balls scored low]]+Table1[[#This Row],[Auton Scored Low]]</f>
        <v>0</v>
      </c>
      <c r="AS289" s="50">
        <f>IF(Table1[[#This Row],[Control Panel Spun Time]]&gt;0,1,0)</f>
        <v>0</v>
      </c>
      <c r="AT289" s="20">
        <f>IF(Table1[[#This Row],[Control Panel Color Time]]&gt;0,1,0)</f>
        <v>0</v>
      </c>
    </row>
    <row r="290" spans="1:46" x14ac:dyDescent="0.25">
      <c r="A290"/>
      <c r="I290" s="8">
        <f>+Table1[[#This Row],[Auton ball picked up in our trench]]+Table1[[#This Row],[Auton Balls Picked Up in Mid]]+Table1[[#This Row],[Auton Balls Picked Up In Their Trench]]</f>
        <v>0</v>
      </c>
      <c r="J290" s="8">
        <f>+Table1[[#This Row],[Auton Scored High]]+Table1[[#This Row],[Auton Scored Low]]</f>
        <v>0</v>
      </c>
      <c r="K29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290" s="8">
        <f>Table1[[#This Row],[Balls Scored From Trench]]+Table1[[#This Row],[Balls Scored from Mid]]+Table1[[#This Row],[Balls Scored From Alliance zone]]</f>
        <v>0</v>
      </c>
      <c r="W290" s="8">
        <f>Table1[[#This Row],[balls scored high]]+Table1[[#This Row],[balls scored low]]</f>
        <v>0</v>
      </c>
      <c r="X290" s="8">
        <f>Table1[[#This Row],[Control Panel Spun Time]]+Table1[[#This Row],[Control Panel Color Time]]</f>
        <v>0</v>
      </c>
      <c r="Y290" s="8">
        <f>Table1[[#This Row],[Control Panels Spun]]+Table1[[#This Row],[Control Panel Color]]</f>
        <v>0</v>
      </c>
      <c r="Z29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290" s="17">
        <f>(Table1[[#This Row],[Climbed]]*weighting!$B$18)+(Table1[[#This Row],[Adjustable Climber]]*weighting!$B$19)+(Table1[[#This Row],[Lift other Robot]]*weighting!$B$20)+(Table1[[#This Row],[Balanced]]*weighting!$B$21)</f>
        <v>0</v>
      </c>
      <c r="AL290" s="8">
        <f>+Table1[[#This Row],[Endgame our score]]+Table1[[#This Row],[teleop our score]]+Table1[[#This Row],[auton our score]]</f>
        <v>0</v>
      </c>
      <c r="AM290" s="20">
        <f t="shared" si="12"/>
        <v>0</v>
      </c>
      <c r="AN290" s="20">
        <f t="shared" si="13"/>
        <v>0</v>
      </c>
      <c r="AO290" s="20">
        <f t="shared" si="14"/>
        <v>0</v>
      </c>
      <c r="AP290" s="20">
        <f>Table1[[#This Row],[balls scored]]+Table1[[#This Row],[auton balls scored]]</f>
        <v>0</v>
      </c>
      <c r="AQ290" s="20">
        <f>Table1[[#This Row],[balls scored high]]+Table1[[#This Row],[Auton Scored High]]</f>
        <v>0</v>
      </c>
      <c r="AR290" s="20">
        <f>Table1[[#This Row],[balls scored low]]+Table1[[#This Row],[Auton Scored Low]]</f>
        <v>0</v>
      </c>
      <c r="AS290" s="50">
        <f>IF(Table1[[#This Row],[Control Panel Spun Time]]&gt;0,1,0)</f>
        <v>0</v>
      </c>
      <c r="AT290" s="20">
        <f>IF(Table1[[#This Row],[Control Panel Color Time]]&gt;0,1,0)</f>
        <v>0</v>
      </c>
    </row>
    <row r="291" spans="1:46" s="2" customFormat="1" x14ac:dyDescent="0.25">
      <c r="A291"/>
      <c r="B291"/>
      <c r="C291"/>
      <c r="D291"/>
      <c r="E291"/>
      <c r="F291"/>
      <c r="G291"/>
      <c r="H291"/>
      <c r="I291" s="8">
        <f>+Table1[[#This Row],[Auton ball picked up in our trench]]+Table1[[#This Row],[Auton Balls Picked Up in Mid]]+Table1[[#This Row],[Auton Balls Picked Up In Their Trench]]</f>
        <v>0</v>
      </c>
      <c r="J291" s="8">
        <f>+Table1[[#This Row],[Auton Scored High]]+Table1[[#This Row],[Auton Scored Low]]</f>
        <v>0</v>
      </c>
      <c r="K29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91"/>
      <c r="M291"/>
      <c r="N291"/>
      <c r="O291"/>
      <c r="P291"/>
      <c r="Q291"/>
      <c r="R291"/>
      <c r="S291"/>
      <c r="T291"/>
      <c r="U291"/>
      <c r="V291" s="8">
        <f>Table1[[#This Row],[Balls Scored From Trench]]+Table1[[#This Row],[Balls Scored from Mid]]+Table1[[#This Row],[Balls Scored From Alliance zone]]</f>
        <v>0</v>
      </c>
      <c r="W291" s="8">
        <f>Table1[[#This Row],[balls scored high]]+Table1[[#This Row],[balls scored low]]</f>
        <v>0</v>
      </c>
      <c r="X291" s="8">
        <f>Table1[[#This Row],[Control Panel Spun Time]]+Table1[[#This Row],[Control Panel Color Time]]</f>
        <v>0</v>
      </c>
      <c r="Y291" s="8">
        <f>Table1[[#This Row],[Control Panels Spun]]+Table1[[#This Row],[Control Panel Color]]</f>
        <v>0</v>
      </c>
      <c r="Z29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91"/>
      <c r="AB291"/>
      <c r="AC291"/>
      <c r="AD291"/>
      <c r="AE291"/>
      <c r="AF291"/>
      <c r="AG291"/>
      <c r="AH291"/>
      <c r="AI291"/>
      <c r="AJ291"/>
      <c r="AK291" s="17">
        <f>(Table1[[#This Row],[Climbed]]*weighting!$B$18)+(Table1[[#This Row],[Adjustable Climber]]*weighting!$B$19)+(Table1[[#This Row],[Lift other Robot]]*weighting!$B$20)+(Table1[[#This Row],[Balanced]]*weighting!$B$21)</f>
        <v>0</v>
      </c>
      <c r="AL291" s="8">
        <f>+Table1[[#This Row],[Endgame our score]]+Table1[[#This Row],[teleop our score]]+Table1[[#This Row],[auton our score]]</f>
        <v>0</v>
      </c>
      <c r="AM291" s="20">
        <f t="shared" si="12"/>
        <v>0</v>
      </c>
      <c r="AN291" s="20">
        <f t="shared" si="13"/>
        <v>0</v>
      </c>
      <c r="AO291" s="20">
        <f t="shared" si="14"/>
        <v>0</v>
      </c>
      <c r="AP291" s="20">
        <f>Table1[[#This Row],[balls scored]]+Table1[[#This Row],[auton balls scored]]</f>
        <v>0</v>
      </c>
      <c r="AQ291" s="20">
        <f>Table1[[#This Row],[balls scored high]]+Table1[[#This Row],[Auton Scored High]]</f>
        <v>0</v>
      </c>
      <c r="AR291" s="20">
        <f>Table1[[#This Row],[balls scored low]]+Table1[[#This Row],[Auton Scored Low]]</f>
        <v>0</v>
      </c>
      <c r="AS291" s="50">
        <f>IF(Table1[[#This Row],[Control Panel Spun Time]]&gt;0,1,0)</f>
        <v>0</v>
      </c>
      <c r="AT291" s="20">
        <f>IF(Table1[[#This Row],[Control Panel Color Time]]&gt;0,1,0)</f>
        <v>0</v>
      </c>
    </row>
    <row r="292" spans="1:46" x14ac:dyDescent="0.25">
      <c r="A292"/>
      <c r="I292" s="8">
        <f>+Table1[[#This Row],[Auton ball picked up in our trench]]+Table1[[#This Row],[Auton Balls Picked Up in Mid]]+Table1[[#This Row],[Auton Balls Picked Up In Their Trench]]</f>
        <v>0</v>
      </c>
      <c r="J292" s="8">
        <f>+Table1[[#This Row],[Auton Scored High]]+Table1[[#This Row],[Auton Scored Low]]</f>
        <v>0</v>
      </c>
      <c r="K29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292" s="8">
        <f>Table1[[#This Row],[Balls Scored From Trench]]+Table1[[#This Row],[Balls Scored from Mid]]+Table1[[#This Row],[Balls Scored From Alliance zone]]</f>
        <v>0</v>
      </c>
      <c r="W292" s="8">
        <f>Table1[[#This Row],[balls scored high]]+Table1[[#This Row],[balls scored low]]</f>
        <v>0</v>
      </c>
      <c r="X292" s="8">
        <f>Table1[[#This Row],[Control Panel Spun Time]]+Table1[[#This Row],[Control Panel Color Time]]</f>
        <v>0</v>
      </c>
      <c r="Y292" s="8">
        <f>Table1[[#This Row],[Control Panels Spun]]+Table1[[#This Row],[Control Panel Color]]</f>
        <v>0</v>
      </c>
      <c r="Z29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292" s="17">
        <f>(Table1[[#This Row],[Climbed]]*weighting!$B$18)+(Table1[[#This Row],[Adjustable Climber]]*weighting!$B$19)+(Table1[[#This Row],[Lift other Robot]]*weighting!$B$20)+(Table1[[#This Row],[Balanced]]*weighting!$B$21)</f>
        <v>0</v>
      </c>
      <c r="AL292" s="8">
        <f>+Table1[[#This Row],[Endgame our score]]+Table1[[#This Row],[teleop our score]]+Table1[[#This Row],[auton our score]]</f>
        <v>0</v>
      </c>
      <c r="AM292" s="20">
        <f t="shared" si="12"/>
        <v>0</v>
      </c>
      <c r="AN292" s="20">
        <f t="shared" si="13"/>
        <v>0</v>
      </c>
      <c r="AO292" s="20">
        <f t="shared" si="14"/>
        <v>0</v>
      </c>
      <c r="AP292" s="20">
        <f>Table1[[#This Row],[balls scored]]+Table1[[#This Row],[auton balls scored]]</f>
        <v>0</v>
      </c>
      <c r="AQ292" s="20">
        <f>Table1[[#This Row],[balls scored high]]+Table1[[#This Row],[Auton Scored High]]</f>
        <v>0</v>
      </c>
      <c r="AR292" s="20">
        <f>Table1[[#This Row],[balls scored low]]+Table1[[#This Row],[Auton Scored Low]]</f>
        <v>0</v>
      </c>
      <c r="AS292" s="50">
        <f>IF(Table1[[#This Row],[Control Panel Spun Time]]&gt;0,1,0)</f>
        <v>0</v>
      </c>
      <c r="AT292" s="20">
        <f>IF(Table1[[#This Row],[Control Panel Color Time]]&gt;0,1,0)</f>
        <v>0</v>
      </c>
    </row>
    <row r="293" spans="1:46" s="2" customFormat="1" x14ac:dyDescent="0.25">
      <c r="A293"/>
      <c r="B293"/>
      <c r="C293"/>
      <c r="D293"/>
      <c r="E293"/>
      <c r="F293"/>
      <c r="G293"/>
      <c r="H293"/>
      <c r="I293" s="8">
        <f>+Table1[[#This Row],[Auton ball picked up in our trench]]+Table1[[#This Row],[Auton Balls Picked Up in Mid]]+Table1[[#This Row],[Auton Balls Picked Up In Their Trench]]</f>
        <v>0</v>
      </c>
      <c r="J293" s="8">
        <f>+Table1[[#This Row],[Auton Scored High]]+Table1[[#This Row],[Auton Scored Low]]</f>
        <v>0</v>
      </c>
      <c r="K29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93"/>
      <c r="M293"/>
      <c r="N293"/>
      <c r="O293"/>
      <c r="P293"/>
      <c r="Q293"/>
      <c r="R293"/>
      <c r="S293"/>
      <c r="T293"/>
      <c r="U293"/>
      <c r="V293" s="8">
        <f>Table1[[#This Row],[Balls Scored From Trench]]+Table1[[#This Row],[Balls Scored from Mid]]+Table1[[#This Row],[Balls Scored From Alliance zone]]</f>
        <v>0</v>
      </c>
      <c r="W293" s="8">
        <f>Table1[[#This Row],[balls scored high]]+Table1[[#This Row],[balls scored low]]</f>
        <v>0</v>
      </c>
      <c r="X293" s="8">
        <f>Table1[[#This Row],[Control Panel Spun Time]]+Table1[[#This Row],[Control Panel Color Time]]</f>
        <v>0</v>
      </c>
      <c r="Y293" s="8">
        <f>Table1[[#This Row],[Control Panels Spun]]+Table1[[#This Row],[Control Panel Color]]</f>
        <v>0</v>
      </c>
      <c r="Z29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93"/>
      <c r="AB293"/>
      <c r="AC293"/>
      <c r="AD293"/>
      <c r="AE293"/>
      <c r="AF293"/>
      <c r="AG293"/>
      <c r="AH293"/>
      <c r="AI293"/>
      <c r="AJ293"/>
      <c r="AK293" s="17">
        <f>(Table1[[#This Row],[Climbed]]*weighting!$B$18)+(Table1[[#This Row],[Adjustable Climber]]*weighting!$B$19)+(Table1[[#This Row],[Lift other Robot]]*weighting!$B$20)+(Table1[[#This Row],[Balanced]]*weighting!$B$21)</f>
        <v>0</v>
      </c>
      <c r="AL293" s="8">
        <f>+Table1[[#This Row],[Endgame our score]]+Table1[[#This Row],[teleop our score]]+Table1[[#This Row],[auton our score]]</f>
        <v>0</v>
      </c>
      <c r="AM293" s="20">
        <f t="shared" si="12"/>
        <v>0</v>
      </c>
      <c r="AN293" s="20">
        <f t="shared" si="13"/>
        <v>0</v>
      </c>
      <c r="AO293" s="20">
        <f t="shared" si="14"/>
        <v>0</v>
      </c>
      <c r="AP293" s="20">
        <f>Table1[[#This Row],[balls scored]]+Table1[[#This Row],[auton balls scored]]</f>
        <v>0</v>
      </c>
      <c r="AQ293" s="20">
        <f>Table1[[#This Row],[balls scored high]]+Table1[[#This Row],[Auton Scored High]]</f>
        <v>0</v>
      </c>
      <c r="AR293" s="20">
        <f>Table1[[#This Row],[balls scored low]]+Table1[[#This Row],[Auton Scored Low]]</f>
        <v>0</v>
      </c>
      <c r="AS293" s="50">
        <f>IF(Table1[[#This Row],[Control Panel Spun Time]]&gt;0,1,0)</f>
        <v>0</v>
      </c>
      <c r="AT293" s="20">
        <f>IF(Table1[[#This Row],[Control Panel Color Time]]&gt;0,1,0)</f>
        <v>0</v>
      </c>
    </row>
    <row r="294" spans="1:46" x14ac:dyDescent="0.25">
      <c r="A294"/>
      <c r="I294" s="8">
        <f>+Table1[[#This Row],[Auton ball picked up in our trench]]+Table1[[#This Row],[Auton Balls Picked Up in Mid]]+Table1[[#This Row],[Auton Balls Picked Up In Their Trench]]</f>
        <v>0</v>
      </c>
      <c r="J294" s="8">
        <f>+Table1[[#This Row],[Auton Scored High]]+Table1[[#This Row],[Auton Scored Low]]</f>
        <v>0</v>
      </c>
      <c r="K29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294" s="8">
        <f>Table1[[#This Row],[Balls Scored From Trench]]+Table1[[#This Row],[Balls Scored from Mid]]+Table1[[#This Row],[Balls Scored From Alliance zone]]</f>
        <v>0</v>
      </c>
      <c r="W294" s="8">
        <f>Table1[[#This Row],[balls scored high]]+Table1[[#This Row],[balls scored low]]</f>
        <v>0</v>
      </c>
      <c r="X294" s="8">
        <f>Table1[[#This Row],[Control Panel Spun Time]]+Table1[[#This Row],[Control Panel Color Time]]</f>
        <v>0</v>
      </c>
      <c r="Y294" s="8">
        <f>Table1[[#This Row],[Control Panels Spun]]+Table1[[#This Row],[Control Panel Color]]</f>
        <v>0</v>
      </c>
      <c r="Z29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294" s="17">
        <f>(Table1[[#This Row],[Climbed]]*weighting!$B$18)+(Table1[[#This Row],[Adjustable Climber]]*weighting!$B$19)+(Table1[[#This Row],[Lift other Robot]]*weighting!$B$20)+(Table1[[#This Row],[Balanced]]*weighting!$B$21)</f>
        <v>0</v>
      </c>
      <c r="AL294" s="8">
        <f>+Table1[[#This Row],[Endgame our score]]+Table1[[#This Row],[teleop our score]]+Table1[[#This Row],[auton our score]]</f>
        <v>0</v>
      </c>
      <c r="AM294" s="20">
        <f t="shared" si="12"/>
        <v>0</v>
      </c>
      <c r="AN294" s="20">
        <f t="shared" si="13"/>
        <v>0</v>
      </c>
      <c r="AO294" s="20">
        <f t="shared" si="14"/>
        <v>0</v>
      </c>
      <c r="AP294" s="20">
        <f>Table1[[#This Row],[balls scored]]+Table1[[#This Row],[auton balls scored]]</f>
        <v>0</v>
      </c>
      <c r="AQ294" s="20">
        <f>Table1[[#This Row],[balls scored high]]+Table1[[#This Row],[Auton Scored High]]</f>
        <v>0</v>
      </c>
      <c r="AR294" s="20">
        <f>Table1[[#This Row],[balls scored low]]+Table1[[#This Row],[Auton Scored Low]]</f>
        <v>0</v>
      </c>
      <c r="AS294" s="50">
        <f>IF(Table1[[#This Row],[Control Panel Spun Time]]&gt;0,1,0)</f>
        <v>0</v>
      </c>
      <c r="AT294" s="20">
        <f>IF(Table1[[#This Row],[Control Panel Color Time]]&gt;0,1,0)</f>
        <v>0</v>
      </c>
    </row>
    <row r="295" spans="1:46" s="2" customFormat="1" x14ac:dyDescent="0.25">
      <c r="A295"/>
      <c r="B295"/>
      <c r="C295"/>
      <c r="D295"/>
      <c r="E295"/>
      <c r="F295"/>
      <c r="G295"/>
      <c r="H295"/>
      <c r="I295" s="8">
        <f>+Table1[[#This Row],[Auton ball picked up in our trench]]+Table1[[#This Row],[Auton Balls Picked Up in Mid]]+Table1[[#This Row],[Auton Balls Picked Up In Their Trench]]</f>
        <v>0</v>
      </c>
      <c r="J295" s="8">
        <f>+Table1[[#This Row],[Auton Scored High]]+Table1[[#This Row],[Auton Scored Low]]</f>
        <v>0</v>
      </c>
      <c r="K29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95"/>
      <c r="M295"/>
      <c r="N295"/>
      <c r="O295"/>
      <c r="P295"/>
      <c r="Q295"/>
      <c r="R295"/>
      <c r="S295"/>
      <c r="T295"/>
      <c r="U295"/>
      <c r="V295" s="8">
        <f>Table1[[#This Row],[Balls Scored From Trench]]+Table1[[#This Row],[Balls Scored from Mid]]+Table1[[#This Row],[Balls Scored From Alliance zone]]</f>
        <v>0</v>
      </c>
      <c r="W295" s="8">
        <f>Table1[[#This Row],[balls scored high]]+Table1[[#This Row],[balls scored low]]</f>
        <v>0</v>
      </c>
      <c r="X295" s="8">
        <f>Table1[[#This Row],[Control Panel Spun Time]]+Table1[[#This Row],[Control Panel Color Time]]</f>
        <v>0</v>
      </c>
      <c r="Y295" s="8">
        <f>Table1[[#This Row],[Control Panels Spun]]+Table1[[#This Row],[Control Panel Color]]</f>
        <v>0</v>
      </c>
      <c r="Z29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95"/>
      <c r="AB295"/>
      <c r="AC295"/>
      <c r="AD295"/>
      <c r="AE295"/>
      <c r="AF295"/>
      <c r="AG295"/>
      <c r="AH295"/>
      <c r="AI295"/>
      <c r="AJ295"/>
      <c r="AK295" s="17">
        <f>(Table1[[#This Row],[Climbed]]*weighting!$B$18)+(Table1[[#This Row],[Adjustable Climber]]*weighting!$B$19)+(Table1[[#This Row],[Lift other Robot]]*weighting!$B$20)+(Table1[[#This Row],[Balanced]]*weighting!$B$21)</f>
        <v>0</v>
      </c>
      <c r="AL295" s="8">
        <f>+Table1[[#This Row],[Endgame our score]]+Table1[[#This Row],[teleop our score]]+Table1[[#This Row],[auton our score]]</f>
        <v>0</v>
      </c>
      <c r="AM295" s="20">
        <f t="shared" si="12"/>
        <v>0</v>
      </c>
      <c r="AN295" s="20">
        <f t="shared" si="13"/>
        <v>0</v>
      </c>
      <c r="AO295" s="20">
        <f t="shared" si="14"/>
        <v>0</v>
      </c>
      <c r="AP295" s="20">
        <f>Table1[[#This Row],[balls scored]]+Table1[[#This Row],[auton balls scored]]</f>
        <v>0</v>
      </c>
      <c r="AQ295" s="20">
        <f>Table1[[#This Row],[balls scored high]]+Table1[[#This Row],[Auton Scored High]]</f>
        <v>0</v>
      </c>
      <c r="AR295" s="20">
        <f>Table1[[#This Row],[balls scored low]]+Table1[[#This Row],[Auton Scored Low]]</f>
        <v>0</v>
      </c>
      <c r="AS295" s="50">
        <f>IF(Table1[[#This Row],[Control Panel Spun Time]]&gt;0,1,0)</f>
        <v>0</v>
      </c>
      <c r="AT295" s="20">
        <f>IF(Table1[[#This Row],[Control Panel Color Time]]&gt;0,1,0)</f>
        <v>0</v>
      </c>
    </row>
    <row r="296" spans="1:46" x14ac:dyDescent="0.25">
      <c r="A296"/>
      <c r="I296" s="8">
        <f>+Table1[[#This Row],[Auton ball picked up in our trench]]+Table1[[#This Row],[Auton Balls Picked Up in Mid]]+Table1[[#This Row],[Auton Balls Picked Up In Their Trench]]</f>
        <v>0</v>
      </c>
      <c r="J296" s="8">
        <f>+Table1[[#This Row],[Auton Scored High]]+Table1[[#This Row],[Auton Scored Low]]</f>
        <v>0</v>
      </c>
      <c r="K29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296" s="8">
        <f>Table1[[#This Row],[Balls Scored From Trench]]+Table1[[#This Row],[Balls Scored from Mid]]+Table1[[#This Row],[Balls Scored From Alliance zone]]</f>
        <v>0</v>
      </c>
      <c r="W296" s="8">
        <f>Table1[[#This Row],[balls scored high]]+Table1[[#This Row],[balls scored low]]</f>
        <v>0</v>
      </c>
      <c r="X296" s="8">
        <f>Table1[[#This Row],[Control Panel Spun Time]]+Table1[[#This Row],[Control Panel Color Time]]</f>
        <v>0</v>
      </c>
      <c r="Y296" s="8">
        <f>Table1[[#This Row],[Control Panels Spun]]+Table1[[#This Row],[Control Panel Color]]</f>
        <v>0</v>
      </c>
      <c r="Z29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296" s="17">
        <f>(Table1[[#This Row],[Climbed]]*weighting!$B$18)+(Table1[[#This Row],[Adjustable Climber]]*weighting!$B$19)+(Table1[[#This Row],[Lift other Robot]]*weighting!$B$20)+(Table1[[#This Row],[Balanced]]*weighting!$B$21)</f>
        <v>0</v>
      </c>
      <c r="AL296" s="8">
        <f>+Table1[[#This Row],[Endgame our score]]+Table1[[#This Row],[teleop our score]]+Table1[[#This Row],[auton our score]]</f>
        <v>0</v>
      </c>
      <c r="AM296" s="20">
        <f t="shared" si="12"/>
        <v>0</v>
      </c>
      <c r="AN296" s="20">
        <f t="shared" si="13"/>
        <v>0</v>
      </c>
      <c r="AO296" s="20">
        <f t="shared" si="14"/>
        <v>0</v>
      </c>
      <c r="AP296" s="20">
        <f>Table1[[#This Row],[balls scored]]+Table1[[#This Row],[auton balls scored]]</f>
        <v>0</v>
      </c>
      <c r="AQ296" s="20">
        <f>Table1[[#This Row],[balls scored high]]+Table1[[#This Row],[Auton Scored High]]</f>
        <v>0</v>
      </c>
      <c r="AR296" s="20">
        <f>Table1[[#This Row],[balls scored low]]+Table1[[#This Row],[Auton Scored Low]]</f>
        <v>0</v>
      </c>
      <c r="AS296" s="50">
        <f>IF(Table1[[#This Row],[Control Panel Spun Time]]&gt;0,1,0)</f>
        <v>0</v>
      </c>
      <c r="AT296" s="20">
        <f>IF(Table1[[#This Row],[Control Panel Color Time]]&gt;0,1,0)</f>
        <v>0</v>
      </c>
    </row>
    <row r="297" spans="1:46" s="2" customFormat="1" x14ac:dyDescent="0.25">
      <c r="A297"/>
      <c r="B297"/>
      <c r="C297"/>
      <c r="D297"/>
      <c r="E297"/>
      <c r="F297"/>
      <c r="G297"/>
      <c r="H297"/>
      <c r="I297" s="8">
        <f>+Table1[[#This Row],[Auton ball picked up in our trench]]+Table1[[#This Row],[Auton Balls Picked Up in Mid]]+Table1[[#This Row],[Auton Balls Picked Up In Their Trench]]</f>
        <v>0</v>
      </c>
      <c r="J297" s="8">
        <f>+Table1[[#This Row],[Auton Scored High]]+Table1[[#This Row],[Auton Scored Low]]</f>
        <v>0</v>
      </c>
      <c r="K29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97"/>
      <c r="M297"/>
      <c r="N297"/>
      <c r="O297"/>
      <c r="P297"/>
      <c r="Q297"/>
      <c r="R297"/>
      <c r="S297"/>
      <c r="T297"/>
      <c r="U297"/>
      <c r="V297" s="8">
        <f>Table1[[#This Row],[Balls Scored From Trench]]+Table1[[#This Row],[Balls Scored from Mid]]+Table1[[#This Row],[Balls Scored From Alliance zone]]</f>
        <v>0</v>
      </c>
      <c r="W297" s="8">
        <f>Table1[[#This Row],[balls scored high]]+Table1[[#This Row],[balls scored low]]</f>
        <v>0</v>
      </c>
      <c r="X297" s="8">
        <f>Table1[[#This Row],[Control Panel Spun Time]]+Table1[[#This Row],[Control Panel Color Time]]</f>
        <v>0</v>
      </c>
      <c r="Y297" s="8">
        <f>Table1[[#This Row],[Control Panels Spun]]+Table1[[#This Row],[Control Panel Color]]</f>
        <v>0</v>
      </c>
      <c r="Z29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97"/>
      <c r="AB297"/>
      <c r="AC297"/>
      <c r="AD297"/>
      <c r="AE297"/>
      <c r="AF297"/>
      <c r="AG297"/>
      <c r="AH297"/>
      <c r="AI297"/>
      <c r="AJ297"/>
      <c r="AK297" s="17">
        <f>(Table1[[#This Row],[Climbed]]*weighting!$B$18)+(Table1[[#This Row],[Adjustable Climber]]*weighting!$B$19)+(Table1[[#This Row],[Lift other Robot]]*weighting!$B$20)+(Table1[[#This Row],[Balanced]]*weighting!$B$21)</f>
        <v>0</v>
      </c>
      <c r="AL297" s="8">
        <f>+Table1[[#This Row],[Endgame our score]]+Table1[[#This Row],[teleop our score]]+Table1[[#This Row],[auton our score]]</f>
        <v>0</v>
      </c>
      <c r="AM297" s="20">
        <f t="shared" si="12"/>
        <v>0</v>
      </c>
      <c r="AN297" s="20">
        <f t="shared" si="13"/>
        <v>0</v>
      </c>
      <c r="AO297" s="20">
        <f t="shared" si="14"/>
        <v>0</v>
      </c>
      <c r="AP297" s="20">
        <f>Table1[[#This Row],[balls scored]]+Table1[[#This Row],[auton balls scored]]</f>
        <v>0</v>
      </c>
      <c r="AQ297" s="20">
        <f>Table1[[#This Row],[balls scored high]]+Table1[[#This Row],[Auton Scored High]]</f>
        <v>0</v>
      </c>
      <c r="AR297" s="20">
        <f>Table1[[#This Row],[balls scored low]]+Table1[[#This Row],[Auton Scored Low]]</f>
        <v>0</v>
      </c>
      <c r="AS297" s="50">
        <f>IF(Table1[[#This Row],[Control Panel Spun Time]]&gt;0,1,0)</f>
        <v>0</v>
      </c>
      <c r="AT297" s="20">
        <f>IF(Table1[[#This Row],[Control Panel Color Time]]&gt;0,1,0)</f>
        <v>0</v>
      </c>
    </row>
    <row r="298" spans="1:46" x14ac:dyDescent="0.25">
      <c r="A298"/>
      <c r="I298" s="8">
        <f>+Table1[[#This Row],[Auton ball picked up in our trench]]+Table1[[#This Row],[Auton Balls Picked Up in Mid]]+Table1[[#This Row],[Auton Balls Picked Up In Their Trench]]</f>
        <v>0</v>
      </c>
      <c r="J298" s="8">
        <f>+Table1[[#This Row],[Auton Scored High]]+Table1[[#This Row],[Auton Scored Low]]</f>
        <v>0</v>
      </c>
      <c r="K29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298" s="8">
        <f>Table1[[#This Row],[Balls Scored From Trench]]+Table1[[#This Row],[Balls Scored from Mid]]+Table1[[#This Row],[Balls Scored From Alliance zone]]</f>
        <v>0</v>
      </c>
      <c r="W298" s="8">
        <f>Table1[[#This Row],[balls scored high]]+Table1[[#This Row],[balls scored low]]</f>
        <v>0</v>
      </c>
      <c r="X298" s="8">
        <f>Table1[[#This Row],[Control Panel Spun Time]]+Table1[[#This Row],[Control Panel Color Time]]</f>
        <v>0</v>
      </c>
      <c r="Y298" s="8">
        <f>Table1[[#This Row],[Control Panels Spun]]+Table1[[#This Row],[Control Panel Color]]</f>
        <v>0</v>
      </c>
      <c r="Z29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298" s="17">
        <f>(Table1[[#This Row],[Climbed]]*weighting!$B$18)+(Table1[[#This Row],[Adjustable Climber]]*weighting!$B$19)+(Table1[[#This Row],[Lift other Robot]]*weighting!$B$20)+(Table1[[#This Row],[Balanced]]*weighting!$B$21)</f>
        <v>0</v>
      </c>
      <c r="AL298" s="8">
        <f>+Table1[[#This Row],[Endgame our score]]+Table1[[#This Row],[teleop our score]]+Table1[[#This Row],[auton our score]]</f>
        <v>0</v>
      </c>
      <c r="AM298" s="20">
        <f t="shared" si="12"/>
        <v>0</v>
      </c>
      <c r="AN298" s="20">
        <f t="shared" si="13"/>
        <v>0</v>
      </c>
      <c r="AO298" s="20">
        <f t="shared" si="14"/>
        <v>0</v>
      </c>
      <c r="AP298" s="20">
        <f>Table1[[#This Row],[balls scored]]+Table1[[#This Row],[auton balls scored]]</f>
        <v>0</v>
      </c>
      <c r="AQ298" s="20">
        <f>Table1[[#This Row],[balls scored high]]+Table1[[#This Row],[Auton Scored High]]</f>
        <v>0</v>
      </c>
      <c r="AR298" s="20">
        <f>Table1[[#This Row],[balls scored low]]+Table1[[#This Row],[Auton Scored Low]]</f>
        <v>0</v>
      </c>
      <c r="AS298" s="50">
        <f>IF(Table1[[#This Row],[Control Panel Spun Time]]&gt;0,1,0)</f>
        <v>0</v>
      </c>
      <c r="AT298" s="20">
        <f>IF(Table1[[#This Row],[Control Panel Color Time]]&gt;0,1,0)</f>
        <v>0</v>
      </c>
    </row>
    <row r="299" spans="1:46" s="2" customFormat="1" x14ac:dyDescent="0.25">
      <c r="A299"/>
      <c r="B299"/>
      <c r="C299"/>
      <c r="D299"/>
      <c r="E299"/>
      <c r="F299"/>
      <c r="G299"/>
      <c r="H299"/>
      <c r="I299" s="8">
        <f>+Table1[[#This Row],[Auton ball picked up in our trench]]+Table1[[#This Row],[Auton Balls Picked Up in Mid]]+Table1[[#This Row],[Auton Balls Picked Up In Their Trench]]</f>
        <v>0</v>
      </c>
      <c r="J299" s="8">
        <f>+Table1[[#This Row],[Auton Scored High]]+Table1[[#This Row],[Auton Scored Low]]</f>
        <v>0</v>
      </c>
      <c r="K29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299"/>
      <c r="M299"/>
      <c r="N299"/>
      <c r="O299"/>
      <c r="P299"/>
      <c r="Q299"/>
      <c r="R299"/>
      <c r="S299"/>
      <c r="T299"/>
      <c r="U299"/>
      <c r="V299" s="8">
        <f>Table1[[#This Row],[Balls Scored From Trench]]+Table1[[#This Row],[Balls Scored from Mid]]+Table1[[#This Row],[Balls Scored From Alliance zone]]</f>
        <v>0</v>
      </c>
      <c r="W299" s="8">
        <f>Table1[[#This Row],[balls scored high]]+Table1[[#This Row],[balls scored low]]</f>
        <v>0</v>
      </c>
      <c r="X299" s="8">
        <f>Table1[[#This Row],[Control Panel Spun Time]]+Table1[[#This Row],[Control Panel Color Time]]</f>
        <v>0</v>
      </c>
      <c r="Y299" s="8">
        <f>Table1[[#This Row],[Control Panels Spun]]+Table1[[#This Row],[Control Panel Color]]</f>
        <v>0</v>
      </c>
      <c r="Z29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299"/>
      <c r="AB299"/>
      <c r="AC299"/>
      <c r="AD299"/>
      <c r="AE299"/>
      <c r="AF299"/>
      <c r="AG299"/>
      <c r="AH299"/>
      <c r="AI299"/>
      <c r="AJ299"/>
      <c r="AK299" s="17">
        <f>(Table1[[#This Row],[Climbed]]*weighting!$B$18)+(Table1[[#This Row],[Adjustable Climber]]*weighting!$B$19)+(Table1[[#This Row],[Lift other Robot]]*weighting!$B$20)+(Table1[[#This Row],[Balanced]]*weighting!$B$21)</f>
        <v>0</v>
      </c>
      <c r="AL299" s="8">
        <f>+Table1[[#This Row],[Endgame our score]]+Table1[[#This Row],[teleop our score]]+Table1[[#This Row],[auton our score]]</f>
        <v>0</v>
      </c>
      <c r="AM299" s="20">
        <f t="shared" si="12"/>
        <v>0</v>
      </c>
      <c r="AN299" s="20">
        <f t="shared" si="13"/>
        <v>0</v>
      </c>
      <c r="AO299" s="20">
        <f t="shared" si="14"/>
        <v>0</v>
      </c>
      <c r="AP299" s="20">
        <f>Table1[[#This Row],[balls scored]]+Table1[[#This Row],[auton balls scored]]</f>
        <v>0</v>
      </c>
      <c r="AQ299" s="20">
        <f>Table1[[#This Row],[balls scored high]]+Table1[[#This Row],[Auton Scored High]]</f>
        <v>0</v>
      </c>
      <c r="AR299" s="20">
        <f>Table1[[#This Row],[balls scored low]]+Table1[[#This Row],[Auton Scored Low]]</f>
        <v>0</v>
      </c>
      <c r="AS299" s="50">
        <f>IF(Table1[[#This Row],[Control Panel Spun Time]]&gt;0,1,0)</f>
        <v>0</v>
      </c>
      <c r="AT299" s="20">
        <f>IF(Table1[[#This Row],[Control Panel Color Time]]&gt;0,1,0)</f>
        <v>0</v>
      </c>
    </row>
    <row r="300" spans="1:46" x14ac:dyDescent="0.25">
      <c r="A300"/>
      <c r="I300" s="8">
        <f>+Table1[[#This Row],[Auton ball picked up in our trench]]+Table1[[#This Row],[Auton Balls Picked Up in Mid]]+Table1[[#This Row],[Auton Balls Picked Up In Their Trench]]</f>
        <v>0</v>
      </c>
      <c r="J300" s="8">
        <f>+Table1[[#This Row],[Auton Scored High]]+Table1[[#This Row],[Auton Scored Low]]</f>
        <v>0</v>
      </c>
      <c r="K30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00" s="8">
        <f>Table1[[#This Row],[Balls Scored From Trench]]+Table1[[#This Row],[Balls Scored from Mid]]+Table1[[#This Row],[Balls Scored From Alliance zone]]</f>
        <v>0</v>
      </c>
      <c r="W300" s="8">
        <f>Table1[[#This Row],[balls scored high]]+Table1[[#This Row],[balls scored low]]</f>
        <v>0</v>
      </c>
      <c r="X300" s="8">
        <f>Table1[[#This Row],[Control Panel Spun Time]]+Table1[[#This Row],[Control Panel Color Time]]</f>
        <v>0</v>
      </c>
      <c r="Y300" s="8">
        <f>Table1[[#This Row],[Control Panels Spun]]+Table1[[#This Row],[Control Panel Color]]</f>
        <v>0</v>
      </c>
      <c r="Z30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00" s="17">
        <f>(Table1[[#This Row],[Climbed]]*weighting!$B$18)+(Table1[[#This Row],[Adjustable Climber]]*weighting!$B$19)+(Table1[[#This Row],[Lift other Robot]]*weighting!$B$20)+(Table1[[#This Row],[Balanced]]*weighting!$B$21)</f>
        <v>0</v>
      </c>
      <c r="AL300" s="8">
        <f>+Table1[[#This Row],[Endgame our score]]+Table1[[#This Row],[teleop our score]]+Table1[[#This Row],[auton our score]]</f>
        <v>0</v>
      </c>
      <c r="AM300" s="20">
        <f t="shared" si="12"/>
        <v>0</v>
      </c>
      <c r="AN300" s="20">
        <f t="shared" si="13"/>
        <v>0</v>
      </c>
      <c r="AO300" s="20">
        <f t="shared" si="14"/>
        <v>0</v>
      </c>
      <c r="AP300" s="20">
        <f>Table1[[#This Row],[balls scored]]+Table1[[#This Row],[auton balls scored]]</f>
        <v>0</v>
      </c>
      <c r="AQ300" s="20">
        <f>Table1[[#This Row],[balls scored high]]+Table1[[#This Row],[Auton Scored High]]</f>
        <v>0</v>
      </c>
      <c r="AR300" s="20">
        <f>Table1[[#This Row],[balls scored low]]+Table1[[#This Row],[Auton Scored Low]]</f>
        <v>0</v>
      </c>
      <c r="AS300" s="50">
        <f>IF(Table1[[#This Row],[Control Panel Spun Time]]&gt;0,1,0)</f>
        <v>0</v>
      </c>
      <c r="AT300" s="20">
        <f>IF(Table1[[#This Row],[Control Panel Color Time]]&gt;0,1,0)</f>
        <v>0</v>
      </c>
    </row>
    <row r="301" spans="1:46" s="2" customFormat="1" x14ac:dyDescent="0.25">
      <c r="A301"/>
      <c r="B301"/>
      <c r="C301"/>
      <c r="D301"/>
      <c r="E301"/>
      <c r="F301"/>
      <c r="G301"/>
      <c r="H301"/>
      <c r="I301" s="8">
        <f>+Table1[[#This Row],[Auton ball picked up in our trench]]+Table1[[#This Row],[Auton Balls Picked Up in Mid]]+Table1[[#This Row],[Auton Balls Picked Up In Their Trench]]</f>
        <v>0</v>
      </c>
      <c r="J301" s="8">
        <f>+Table1[[#This Row],[Auton Scored High]]+Table1[[#This Row],[Auton Scored Low]]</f>
        <v>0</v>
      </c>
      <c r="K30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01"/>
      <c r="M301"/>
      <c r="N301"/>
      <c r="O301"/>
      <c r="P301"/>
      <c r="Q301"/>
      <c r="R301"/>
      <c r="S301"/>
      <c r="T301"/>
      <c r="U301"/>
      <c r="V301" s="8">
        <f>Table1[[#This Row],[Balls Scored From Trench]]+Table1[[#This Row],[Balls Scored from Mid]]+Table1[[#This Row],[Balls Scored From Alliance zone]]</f>
        <v>0</v>
      </c>
      <c r="W301" s="8">
        <f>Table1[[#This Row],[balls scored high]]+Table1[[#This Row],[balls scored low]]</f>
        <v>0</v>
      </c>
      <c r="X301" s="8">
        <f>Table1[[#This Row],[Control Panel Spun Time]]+Table1[[#This Row],[Control Panel Color Time]]</f>
        <v>0</v>
      </c>
      <c r="Y301" s="8">
        <f>Table1[[#This Row],[Control Panels Spun]]+Table1[[#This Row],[Control Panel Color]]</f>
        <v>0</v>
      </c>
      <c r="Z30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01"/>
      <c r="AB301"/>
      <c r="AC301"/>
      <c r="AD301"/>
      <c r="AE301"/>
      <c r="AF301"/>
      <c r="AG301"/>
      <c r="AH301"/>
      <c r="AI301"/>
      <c r="AJ301"/>
      <c r="AK301" s="17">
        <f>(Table1[[#This Row],[Climbed]]*weighting!$B$18)+(Table1[[#This Row],[Adjustable Climber]]*weighting!$B$19)+(Table1[[#This Row],[Lift other Robot]]*weighting!$B$20)+(Table1[[#This Row],[Balanced]]*weighting!$B$21)</f>
        <v>0</v>
      </c>
      <c r="AL301" s="8">
        <f>+Table1[[#This Row],[Endgame our score]]+Table1[[#This Row],[teleop our score]]+Table1[[#This Row],[auton our score]]</f>
        <v>0</v>
      </c>
      <c r="AM301" s="20">
        <f t="shared" si="12"/>
        <v>0</v>
      </c>
      <c r="AN301" s="20">
        <f t="shared" si="13"/>
        <v>0</v>
      </c>
      <c r="AO301" s="20">
        <f t="shared" si="14"/>
        <v>0</v>
      </c>
      <c r="AP301" s="20">
        <f>Table1[[#This Row],[balls scored]]+Table1[[#This Row],[auton balls scored]]</f>
        <v>0</v>
      </c>
      <c r="AQ301" s="20">
        <f>Table1[[#This Row],[balls scored high]]+Table1[[#This Row],[Auton Scored High]]</f>
        <v>0</v>
      </c>
      <c r="AR301" s="20">
        <f>Table1[[#This Row],[balls scored low]]+Table1[[#This Row],[Auton Scored Low]]</f>
        <v>0</v>
      </c>
      <c r="AS301" s="50">
        <f>IF(Table1[[#This Row],[Control Panel Spun Time]]&gt;0,1,0)</f>
        <v>0</v>
      </c>
      <c r="AT301" s="20">
        <f>IF(Table1[[#This Row],[Control Panel Color Time]]&gt;0,1,0)</f>
        <v>0</v>
      </c>
    </row>
    <row r="302" spans="1:46" x14ac:dyDescent="0.25">
      <c r="A302"/>
      <c r="I302" s="8">
        <f>+Table1[[#This Row],[Auton ball picked up in our trench]]+Table1[[#This Row],[Auton Balls Picked Up in Mid]]+Table1[[#This Row],[Auton Balls Picked Up In Their Trench]]</f>
        <v>0</v>
      </c>
      <c r="J302" s="8">
        <f>+Table1[[#This Row],[Auton Scored High]]+Table1[[#This Row],[Auton Scored Low]]</f>
        <v>0</v>
      </c>
      <c r="K30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02" s="8">
        <f>Table1[[#This Row],[Balls Scored From Trench]]+Table1[[#This Row],[Balls Scored from Mid]]+Table1[[#This Row],[Balls Scored From Alliance zone]]</f>
        <v>0</v>
      </c>
      <c r="W302" s="8">
        <f>Table1[[#This Row],[balls scored high]]+Table1[[#This Row],[balls scored low]]</f>
        <v>0</v>
      </c>
      <c r="X302" s="8">
        <f>Table1[[#This Row],[Control Panel Spun Time]]+Table1[[#This Row],[Control Panel Color Time]]</f>
        <v>0</v>
      </c>
      <c r="Y302" s="8">
        <f>Table1[[#This Row],[Control Panels Spun]]+Table1[[#This Row],[Control Panel Color]]</f>
        <v>0</v>
      </c>
      <c r="Z30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02" s="17">
        <f>(Table1[[#This Row],[Climbed]]*weighting!$B$18)+(Table1[[#This Row],[Adjustable Climber]]*weighting!$B$19)+(Table1[[#This Row],[Lift other Robot]]*weighting!$B$20)+(Table1[[#This Row],[Balanced]]*weighting!$B$21)</f>
        <v>0</v>
      </c>
      <c r="AL302" s="8">
        <f>+Table1[[#This Row],[Endgame our score]]+Table1[[#This Row],[teleop our score]]+Table1[[#This Row],[auton our score]]</f>
        <v>0</v>
      </c>
      <c r="AM302" s="20">
        <f t="shared" si="12"/>
        <v>0</v>
      </c>
      <c r="AN302" s="20">
        <f t="shared" si="13"/>
        <v>0</v>
      </c>
      <c r="AO302" s="20">
        <f t="shared" si="14"/>
        <v>0</v>
      </c>
      <c r="AP302" s="20">
        <f>Table1[[#This Row],[balls scored]]+Table1[[#This Row],[auton balls scored]]</f>
        <v>0</v>
      </c>
      <c r="AQ302" s="20">
        <f>Table1[[#This Row],[balls scored high]]+Table1[[#This Row],[Auton Scored High]]</f>
        <v>0</v>
      </c>
      <c r="AR302" s="20">
        <f>Table1[[#This Row],[balls scored low]]+Table1[[#This Row],[Auton Scored Low]]</f>
        <v>0</v>
      </c>
      <c r="AS302" s="50">
        <f>IF(Table1[[#This Row],[Control Panel Spun Time]]&gt;0,1,0)</f>
        <v>0</v>
      </c>
      <c r="AT302" s="20">
        <f>IF(Table1[[#This Row],[Control Panel Color Time]]&gt;0,1,0)</f>
        <v>0</v>
      </c>
    </row>
    <row r="303" spans="1:46" s="2" customFormat="1" x14ac:dyDescent="0.25">
      <c r="A303"/>
      <c r="B303"/>
      <c r="C303"/>
      <c r="D303"/>
      <c r="E303"/>
      <c r="F303"/>
      <c r="G303"/>
      <c r="H303"/>
      <c r="I303" s="8">
        <f>+Table1[[#This Row],[Auton ball picked up in our trench]]+Table1[[#This Row],[Auton Balls Picked Up in Mid]]+Table1[[#This Row],[Auton Balls Picked Up In Their Trench]]</f>
        <v>0</v>
      </c>
      <c r="J303" s="8">
        <f>+Table1[[#This Row],[Auton Scored High]]+Table1[[#This Row],[Auton Scored Low]]</f>
        <v>0</v>
      </c>
      <c r="K30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03"/>
      <c r="M303"/>
      <c r="N303"/>
      <c r="O303"/>
      <c r="P303"/>
      <c r="Q303"/>
      <c r="R303"/>
      <c r="S303"/>
      <c r="T303"/>
      <c r="U303"/>
      <c r="V303" s="8">
        <f>Table1[[#This Row],[Balls Scored From Trench]]+Table1[[#This Row],[Balls Scored from Mid]]+Table1[[#This Row],[Balls Scored From Alliance zone]]</f>
        <v>0</v>
      </c>
      <c r="W303" s="8">
        <f>Table1[[#This Row],[balls scored high]]+Table1[[#This Row],[balls scored low]]</f>
        <v>0</v>
      </c>
      <c r="X303" s="8">
        <f>Table1[[#This Row],[Control Panel Spun Time]]+Table1[[#This Row],[Control Panel Color Time]]</f>
        <v>0</v>
      </c>
      <c r="Y303" s="8">
        <f>Table1[[#This Row],[Control Panels Spun]]+Table1[[#This Row],[Control Panel Color]]</f>
        <v>0</v>
      </c>
      <c r="Z30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03"/>
      <c r="AB303"/>
      <c r="AC303"/>
      <c r="AD303"/>
      <c r="AE303"/>
      <c r="AF303"/>
      <c r="AG303"/>
      <c r="AH303"/>
      <c r="AI303"/>
      <c r="AJ303"/>
      <c r="AK303" s="17">
        <f>(Table1[[#This Row],[Climbed]]*weighting!$B$18)+(Table1[[#This Row],[Adjustable Climber]]*weighting!$B$19)+(Table1[[#This Row],[Lift other Robot]]*weighting!$B$20)+(Table1[[#This Row],[Balanced]]*weighting!$B$21)</f>
        <v>0</v>
      </c>
      <c r="AL303" s="8">
        <f>+Table1[[#This Row],[Endgame our score]]+Table1[[#This Row],[teleop our score]]+Table1[[#This Row],[auton our score]]</f>
        <v>0</v>
      </c>
      <c r="AM303" s="20">
        <f t="shared" si="12"/>
        <v>0</v>
      </c>
      <c r="AN303" s="20">
        <f t="shared" si="13"/>
        <v>0</v>
      </c>
      <c r="AO303" s="20">
        <f t="shared" si="14"/>
        <v>0</v>
      </c>
      <c r="AP303" s="20">
        <f>Table1[[#This Row],[balls scored]]+Table1[[#This Row],[auton balls scored]]</f>
        <v>0</v>
      </c>
      <c r="AQ303" s="20">
        <f>Table1[[#This Row],[balls scored high]]+Table1[[#This Row],[Auton Scored High]]</f>
        <v>0</v>
      </c>
      <c r="AR303" s="20">
        <f>Table1[[#This Row],[balls scored low]]+Table1[[#This Row],[Auton Scored Low]]</f>
        <v>0</v>
      </c>
      <c r="AS303" s="50">
        <f>IF(Table1[[#This Row],[Control Panel Spun Time]]&gt;0,1,0)</f>
        <v>0</v>
      </c>
      <c r="AT303" s="20">
        <f>IF(Table1[[#This Row],[Control Panel Color Time]]&gt;0,1,0)</f>
        <v>0</v>
      </c>
    </row>
    <row r="304" spans="1:46" x14ac:dyDescent="0.25">
      <c r="A304"/>
      <c r="I304" s="8">
        <f>+Table1[[#This Row],[Auton ball picked up in our trench]]+Table1[[#This Row],[Auton Balls Picked Up in Mid]]+Table1[[#This Row],[Auton Balls Picked Up In Their Trench]]</f>
        <v>0</v>
      </c>
      <c r="J304" s="8">
        <f>+Table1[[#This Row],[Auton Scored High]]+Table1[[#This Row],[Auton Scored Low]]</f>
        <v>0</v>
      </c>
      <c r="K30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04" s="8">
        <f>Table1[[#This Row],[Balls Scored From Trench]]+Table1[[#This Row],[Balls Scored from Mid]]+Table1[[#This Row],[Balls Scored From Alliance zone]]</f>
        <v>0</v>
      </c>
      <c r="W304" s="8">
        <f>Table1[[#This Row],[balls scored high]]+Table1[[#This Row],[balls scored low]]</f>
        <v>0</v>
      </c>
      <c r="X304" s="8">
        <f>Table1[[#This Row],[Control Panel Spun Time]]+Table1[[#This Row],[Control Panel Color Time]]</f>
        <v>0</v>
      </c>
      <c r="Y304" s="8">
        <f>Table1[[#This Row],[Control Panels Spun]]+Table1[[#This Row],[Control Panel Color]]</f>
        <v>0</v>
      </c>
      <c r="Z30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04" s="17">
        <f>(Table1[[#This Row],[Climbed]]*weighting!$B$18)+(Table1[[#This Row],[Adjustable Climber]]*weighting!$B$19)+(Table1[[#This Row],[Lift other Robot]]*weighting!$B$20)+(Table1[[#This Row],[Balanced]]*weighting!$B$21)</f>
        <v>0</v>
      </c>
      <c r="AL304" s="8">
        <f>+Table1[[#This Row],[Endgame our score]]+Table1[[#This Row],[teleop our score]]+Table1[[#This Row],[auton our score]]</f>
        <v>0</v>
      </c>
      <c r="AM304" s="20">
        <f t="shared" si="12"/>
        <v>0</v>
      </c>
      <c r="AN304" s="20">
        <f t="shared" si="13"/>
        <v>0</v>
      </c>
      <c r="AO304" s="20">
        <f t="shared" si="14"/>
        <v>0</v>
      </c>
      <c r="AP304" s="20">
        <f>Table1[[#This Row],[balls scored]]+Table1[[#This Row],[auton balls scored]]</f>
        <v>0</v>
      </c>
      <c r="AQ304" s="20">
        <f>Table1[[#This Row],[balls scored high]]+Table1[[#This Row],[Auton Scored High]]</f>
        <v>0</v>
      </c>
      <c r="AR304" s="20">
        <f>Table1[[#This Row],[balls scored low]]+Table1[[#This Row],[Auton Scored Low]]</f>
        <v>0</v>
      </c>
      <c r="AS304" s="50">
        <f>IF(Table1[[#This Row],[Control Panel Spun Time]]&gt;0,1,0)</f>
        <v>0</v>
      </c>
      <c r="AT304" s="20">
        <f>IF(Table1[[#This Row],[Control Panel Color Time]]&gt;0,1,0)</f>
        <v>0</v>
      </c>
    </row>
    <row r="305" spans="1:46" s="2" customFormat="1" x14ac:dyDescent="0.25">
      <c r="A305"/>
      <c r="B305"/>
      <c r="C305"/>
      <c r="D305"/>
      <c r="E305"/>
      <c r="F305"/>
      <c r="G305"/>
      <c r="H305"/>
      <c r="I305" s="8">
        <f>+Table1[[#This Row],[Auton ball picked up in our trench]]+Table1[[#This Row],[Auton Balls Picked Up in Mid]]+Table1[[#This Row],[Auton Balls Picked Up In Their Trench]]</f>
        <v>0</v>
      </c>
      <c r="J305" s="8">
        <f>+Table1[[#This Row],[Auton Scored High]]+Table1[[#This Row],[Auton Scored Low]]</f>
        <v>0</v>
      </c>
      <c r="K30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05"/>
      <c r="M305"/>
      <c r="N305"/>
      <c r="O305"/>
      <c r="P305"/>
      <c r="Q305"/>
      <c r="R305"/>
      <c r="S305"/>
      <c r="T305"/>
      <c r="U305"/>
      <c r="V305" s="8">
        <f>Table1[[#This Row],[Balls Scored From Trench]]+Table1[[#This Row],[Balls Scored from Mid]]+Table1[[#This Row],[Balls Scored From Alliance zone]]</f>
        <v>0</v>
      </c>
      <c r="W305" s="8">
        <f>Table1[[#This Row],[balls scored high]]+Table1[[#This Row],[balls scored low]]</f>
        <v>0</v>
      </c>
      <c r="X305" s="8">
        <f>Table1[[#This Row],[Control Panel Spun Time]]+Table1[[#This Row],[Control Panel Color Time]]</f>
        <v>0</v>
      </c>
      <c r="Y305" s="8">
        <f>Table1[[#This Row],[Control Panels Spun]]+Table1[[#This Row],[Control Panel Color]]</f>
        <v>0</v>
      </c>
      <c r="Z30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05"/>
      <c r="AB305"/>
      <c r="AC305"/>
      <c r="AD305"/>
      <c r="AE305"/>
      <c r="AF305"/>
      <c r="AG305"/>
      <c r="AH305"/>
      <c r="AI305"/>
      <c r="AJ305"/>
      <c r="AK305" s="17">
        <f>(Table1[[#This Row],[Climbed]]*weighting!$B$18)+(Table1[[#This Row],[Adjustable Climber]]*weighting!$B$19)+(Table1[[#This Row],[Lift other Robot]]*weighting!$B$20)+(Table1[[#This Row],[Balanced]]*weighting!$B$21)</f>
        <v>0</v>
      </c>
      <c r="AL305" s="8">
        <f>+Table1[[#This Row],[Endgame our score]]+Table1[[#This Row],[teleop our score]]+Table1[[#This Row],[auton our score]]</f>
        <v>0</v>
      </c>
      <c r="AM305" s="20">
        <f t="shared" si="12"/>
        <v>0</v>
      </c>
      <c r="AN305" s="20">
        <f t="shared" si="13"/>
        <v>0</v>
      </c>
      <c r="AO305" s="20">
        <f t="shared" si="14"/>
        <v>0</v>
      </c>
      <c r="AP305" s="20">
        <f>Table1[[#This Row],[balls scored]]+Table1[[#This Row],[auton balls scored]]</f>
        <v>0</v>
      </c>
      <c r="AQ305" s="20">
        <f>Table1[[#This Row],[balls scored high]]+Table1[[#This Row],[Auton Scored High]]</f>
        <v>0</v>
      </c>
      <c r="AR305" s="20">
        <f>Table1[[#This Row],[balls scored low]]+Table1[[#This Row],[Auton Scored Low]]</f>
        <v>0</v>
      </c>
      <c r="AS305" s="50">
        <f>IF(Table1[[#This Row],[Control Panel Spun Time]]&gt;0,1,0)</f>
        <v>0</v>
      </c>
      <c r="AT305" s="20">
        <f>IF(Table1[[#This Row],[Control Panel Color Time]]&gt;0,1,0)</f>
        <v>0</v>
      </c>
    </row>
    <row r="306" spans="1:46" x14ac:dyDescent="0.25">
      <c r="A306"/>
      <c r="I306" s="8">
        <f>+Table1[[#This Row],[Auton ball picked up in our trench]]+Table1[[#This Row],[Auton Balls Picked Up in Mid]]+Table1[[#This Row],[Auton Balls Picked Up In Their Trench]]</f>
        <v>0</v>
      </c>
      <c r="J306" s="8">
        <f>+Table1[[#This Row],[Auton Scored High]]+Table1[[#This Row],[Auton Scored Low]]</f>
        <v>0</v>
      </c>
      <c r="K30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06" s="8">
        <f>Table1[[#This Row],[Balls Scored From Trench]]+Table1[[#This Row],[Balls Scored from Mid]]+Table1[[#This Row],[Balls Scored From Alliance zone]]</f>
        <v>0</v>
      </c>
      <c r="W306" s="8">
        <f>Table1[[#This Row],[balls scored high]]+Table1[[#This Row],[balls scored low]]</f>
        <v>0</v>
      </c>
      <c r="X306" s="8">
        <f>Table1[[#This Row],[Control Panel Spun Time]]+Table1[[#This Row],[Control Panel Color Time]]</f>
        <v>0</v>
      </c>
      <c r="Y306" s="8">
        <f>Table1[[#This Row],[Control Panels Spun]]+Table1[[#This Row],[Control Panel Color]]</f>
        <v>0</v>
      </c>
      <c r="Z30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06" s="17">
        <f>(Table1[[#This Row],[Climbed]]*weighting!$B$18)+(Table1[[#This Row],[Adjustable Climber]]*weighting!$B$19)+(Table1[[#This Row],[Lift other Robot]]*weighting!$B$20)+(Table1[[#This Row],[Balanced]]*weighting!$B$21)</f>
        <v>0</v>
      </c>
      <c r="AL306" s="8">
        <f>+Table1[[#This Row],[Endgame our score]]+Table1[[#This Row],[teleop our score]]+Table1[[#This Row],[auton our score]]</f>
        <v>0</v>
      </c>
      <c r="AM306" s="20">
        <f t="shared" si="12"/>
        <v>0</v>
      </c>
      <c r="AN306" s="20">
        <f t="shared" si="13"/>
        <v>0</v>
      </c>
      <c r="AO306" s="20">
        <f t="shared" si="14"/>
        <v>0</v>
      </c>
      <c r="AP306" s="20">
        <f>Table1[[#This Row],[balls scored]]+Table1[[#This Row],[auton balls scored]]</f>
        <v>0</v>
      </c>
      <c r="AQ306" s="20">
        <f>Table1[[#This Row],[balls scored high]]+Table1[[#This Row],[Auton Scored High]]</f>
        <v>0</v>
      </c>
      <c r="AR306" s="20">
        <f>Table1[[#This Row],[balls scored low]]+Table1[[#This Row],[Auton Scored Low]]</f>
        <v>0</v>
      </c>
      <c r="AS306" s="50">
        <f>IF(Table1[[#This Row],[Control Panel Spun Time]]&gt;0,1,0)</f>
        <v>0</v>
      </c>
      <c r="AT306" s="20">
        <f>IF(Table1[[#This Row],[Control Panel Color Time]]&gt;0,1,0)</f>
        <v>0</v>
      </c>
    </row>
    <row r="307" spans="1:46" s="2" customFormat="1" x14ac:dyDescent="0.25">
      <c r="A307"/>
      <c r="B307"/>
      <c r="C307"/>
      <c r="D307"/>
      <c r="E307"/>
      <c r="F307"/>
      <c r="G307"/>
      <c r="H307"/>
      <c r="I307" s="8">
        <f>+Table1[[#This Row],[Auton ball picked up in our trench]]+Table1[[#This Row],[Auton Balls Picked Up in Mid]]+Table1[[#This Row],[Auton Balls Picked Up In Their Trench]]</f>
        <v>0</v>
      </c>
      <c r="J307" s="8">
        <f>+Table1[[#This Row],[Auton Scored High]]+Table1[[#This Row],[Auton Scored Low]]</f>
        <v>0</v>
      </c>
      <c r="K30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07"/>
      <c r="M307"/>
      <c r="N307"/>
      <c r="O307"/>
      <c r="P307"/>
      <c r="Q307"/>
      <c r="R307"/>
      <c r="S307"/>
      <c r="T307"/>
      <c r="U307"/>
      <c r="V307" s="8">
        <f>Table1[[#This Row],[Balls Scored From Trench]]+Table1[[#This Row],[Balls Scored from Mid]]+Table1[[#This Row],[Balls Scored From Alliance zone]]</f>
        <v>0</v>
      </c>
      <c r="W307" s="8">
        <f>Table1[[#This Row],[balls scored high]]+Table1[[#This Row],[balls scored low]]</f>
        <v>0</v>
      </c>
      <c r="X307" s="8">
        <f>Table1[[#This Row],[Control Panel Spun Time]]+Table1[[#This Row],[Control Panel Color Time]]</f>
        <v>0</v>
      </c>
      <c r="Y307" s="8">
        <f>Table1[[#This Row],[Control Panels Spun]]+Table1[[#This Row],[Control Panel Color]]</f>
        <v>0</v>
      </c>
      <c r="Z30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07"/>
      <c r="AB307"/>
      <c r="AC307"/>
      <c r="AD307"/>
      <c r="AE307"/>
      <c r="AF307"/>
      <c r="AG307"/>
      <c r="AH307"/>
      <c r="AI307"/>
      <c r="AJ307"/>
      <c r="AK307" s="17">
        <f>(Table1[[#This Row],[Climbed]]*weighting!$B$18)+(Table1[[#This Row],[Adjustable Climber]]*weighting!$B$19)+(Table1[[#This Row],[Lift other Robot]]*weighting!$B$20)+(Table1[[#This Row],[Balanced]]*weighting!$B$21)</f>
        <v>0</v>
      </c>
      <c r="AL307" s="8">
        <f>+Table1[[#This Row],[Endgame our score]]+Table1[[#This Row],[teleop our score]]+Table1[[#This Row],[auton our score]]</f>
        <v>0</v>
      </c>
      <c r="AM307" s="20">
        <f t="shared" si="12"/>
        <v>0</v>
      </c>
      <c r="AN307" s="20">
        <f t="shared" si="13"/>
        <v>0</v>
      </c>
      <c r="AO307" s="20">
        <f t="shared" si="14"/>
        <v>0</v>
      </c>
      <c r="AP307" s="20">
        <f>Table1[[#This Row],[balls scored]]+Table1[[#This Row],[auton balls scored]]</f>
        <v>0</v>
      </c>
      <c r="AQ307" s="20">
        <f>Table1[[#This Row],[balls scored high]]+Table1[[#This Row],[Auton Scored High]]</f>
        <v>0</v>
      </c>
      <c r="AR307" s="20">
        <f>Table1[[#This Row],[balls scored low]]+Table1[[#This Row],[Auton Scored Low]]</f>
        <v>0</v>
      </c>
      <c r="AS307" s="50">
        <f>IF(Table1[[#This Row],[Control Panel Spun Time]]&gt;0,1,0)</f>
        <v>0</v>
      </c>
      <c r="AT307" s="20">
        <f>IF(Table1[[#This Row],[Control Panel Color Time]]&gt;0,1,0)</f>
        <v>0</v>
      </c>
    </row>
    <row r="308" spans="1:46" x14ac:dyDescent="0.25">
      <c r="A308"/>
      <c r="I308" s="8">
        <f>+Table1[[#This Row],[Auton ball picked up in our trench]]+Table1[[#This Row],[Auton Balls Picked Up in Mid]]+Table1[[#This Row],[Auton Balls Picked Up In Their Trench]]</f>
        <v>0</v>
      </c>
      <c r="J308" s="8">
        <f>+Table1[[#This Row],[Auton Scored High]]+Table1[[#This Row],[Auton Scored Low]]</f>
        <v>0</v>
      </c>
      <c r="K30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08" s="8">
        <f>Table1[[#This Row],[Balls Scored From Trench]]+Table1[[#This Row],[Balls Scored from Mid]]+Table1[[#This Row],[Balls Scored From Alliance zone]]</f>
        <v>0</v>
      </c>
      <c r="W308" s="8">
        <f>Table1[[#This Row],[balls scored high]]+Table1[[#This Row],[balls scored low]]</f>
        <v>0</v>
      </c>
      <c r="X308" s="8">
        <f>Table1[[#This Row],[Control Panel Spun Time]]+Table1[[#This Row],[Control Panel Color Time]]</f>
        <v>0</v>
      </c>
      <c r="Y308" s="8">
        <f>Table1[[#This Row],[Control Panels Spun]]+Table1[[#This Row],[Control Panel Color]]</f>
        <v>0</v>
      </c>
      <c r="Z30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08" s="17">
        <f>(Table1[[#This Row],[Climbed]]*weighting!$B$18)+(Table1[[#This Row],[Adjustable Climber]]*weighting!$B$19)+(Table1[[#This Row],[Lift other Robot]]*weighting!$B$20)+(Table1[[#This Row],[Balanced]]*weighting!$B$21)</f>
        <v>0</v>
      </c>
      <c r="AL308" s="8">
        <f>+Table1[[#This Row],[Endgame our score]]+Table1[[#This Row],[teleop our score]]+Table1[[#This Row],[auton our score]]</f>
        <v>0</v>
      </c>
      <c r="AM308" s="20">
        <f t="shared" si="12"/>
        <v>0</v>
      </c>
      <c r="AN308" s="20">
        <f t="shared" si="13"/>
        <v>0</v>
      </c>
      <c r="AO308" s="20">
        <f t="shared" si="14"/>
        <v>0</v>
      </c>
      <c r="AP308" s="20">
        <f>Table1[[#This Row],[balls scored]]+Table1[[#This Row],[auton balls scored]]</f>
        <v>0</v>
      </c>
      <c r="AQ308" s="20">
        <f>Table1[[#This Row],[balls scored high]]+Table1[[#This Row],[Auton Scored High]]</f>
        <v>0</v>
      </c>
      <c r="AR308" s="20">
        <f>Table1[[#This Row],[balls scored low]]+Table1[[#This Row],[Auton Scored Low]]</f>
        <v>0</v>
      </c>
      <c r="AS308" s="50">
        <f>IF(Table1[[#This Row],[Control Panel Spun Time]]&gt;0,1,0)</f>
        <v>0</v>
      </c>
      <c r="AT308" s="20">
        <f>IF(Table1[[#This Row],[Control Panel Color Time]]&gt;0,1,0)</f>
        <v>0</v>
      </c>
    </row>
    <row r="309" spans="1:46" s="2" customFormat="1" x14ac:dyDescent="0.25">
      <c r="A309"/>
      <c r="B309"/>
      <c r="C309"/>
      <c r="D309"/>
      <c r="E309"/>
      <c r="F309"/>
      <c r="G309"/>
      <c r="H309"/>
      <c r="I309" s="8">
        <f>+Table1[[#This Row],[Auton ball picked up in our trench]]+Table1[[#This Row],[Auton Balls Picked Up in Mid]]+Table1[[#This Row],[Auton Balls Picked Up In Their Trench]]</f>
        <v>0</v>
      </c>
      <c r="J309" s="8">
        <f>+Table1[[#This Row],[Auton Scored High]]+Table1[[#This Row],[Auton Scored Low]]</f>
        <v>0</v>
      </c>
      <c r="K30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09"/>
      <c r="M309"/>
      <c r="N309"/>
      <c r="O309"/>
      <c r="P309"/>
      <c r="Q309"/>
      <c r="R309"/>
      <c r="S309"/>
      <c r="T309"/>
      <c r="U309"/>
      <c r="V309" s="8">
        <f>Table1[[#This Row],[Balls Scored From Trench]]+Table1[[#This Row],[Balls Scored from Mid]]+Table1[[#This Row],[Balls Scored From Alliance zone]]</f>
        <v>0</v>
      </c>
      <c r="W309" s="8">
        <f>Table1[[#This Row],[balls scored high]]+Table1[[#This Row],[balls scored low]]</f>
        <v>0</v>
      </c>
      <c r="X309" s="8">
        <f>Table1[[#This Row],[Control Panel Spun Time]]+Table1[[#This Row],[Control Panel Color Time]]</f>
        <v>0</v>
      </c>
      <c r="Y309" s="8">
        <f>Table1[[#This Row],[Control Panels Spun]]+Table1[[#This Row],[Control Panel Color]]</f>
        <v>0</v>
      </c>
      <c r="Z30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09"/>
      <c r="AB309"/>
      <c r="AC309"/>
      <c r="AD309"/>
      <c r="AE309"/>
      <c r="AF309"/>
      <c r="AG309"/>
      <c r="AH309"/>
      <c r="AI309"/>
      <c r="AJ309"/>
      <c r="AK309" s="17">
        <f>(Table1[[#This Row],[Climbed]]*weighting!$B$18)+(Table1[[#This Row],[Adjustable Climber]]*weighting!$B$19)+(Table1[[#This Row],[Lift other Robot]]*weighting!$B$20)+(Table1[[#This Row],[Balanced]]*weighting!$B$21)</f>
        <v>0</v>
      </c>
      <c r="AL309" s="8">
        <f>+Table1[[#This Row],[Endgame our score]]+Table1[[#This Row],[teleop our score]]+Table1[[#This Row],[auton our score]]</f>
        <v>0</v>
      </c>
      <c r="AM309" s="20">
        <f t="shared" si="12"/>
        <v>0</v>
      </c>
      <c r="AN309" s="20">
        <f t="shared" si="13"/>
        <v>0</v>
      </c>
      <c r="AO309" s="20">
        <f t="shared" si="14"/>
        <v>0</v>
      </c>
      <c r="AP309" s="20">
        <f>Table1[[#This Row],[balls scored]]+Table1[[#This Row],[auton balls scored]]</f>
        <v>0</v>
      </c>
      <c r="AQ309" s="20">
        <f>Table1[[#This Row],[balls scored high]]+Table1[[#This Row],[Auton Scored High]]</f>
        <v>0</v>
      </c>
      <c r="AR309" s="20">
        <f>Table1[[#This Row],[balls scored low]]+Table1[[#This Row],[Auton Scored Low]]</f>
        <v>0</v>
      </c>
      <c r="AS309" s="50">
        <f>IF(Table1[[#This Row],[Control Panel Spun Time]]&gt;0,1,0)</f>
        <v>0</v>
      </c>
      <c r="AT309" s="20">
        <f>IF(Table1[[#This Row],[Control Panel Color Time]]&gt;0,1,0)</f>
        <v>0</v>
      </c>
    </row>
    <row r="310" spans="1:46" x14ac:dyDescent="0.25">
      <c r="A310"/>
      <c r="I310" s="8">
        <f>+Table1[[#This Row],[Auton ball picked up in our trench]]+Table1[[#This Row],[Auton Balls Picked Up in Mid]]+Table1[[#This Row],[Auton Balls Picked Up In Their Trench]]</f>
        <v>0</v>
      </c>
      <c r="J310" s="8">
        <f>+Table1[[#This Row],[Auton Scored High]]+Table1[[#This Row],[Auton Scored Low]]</f>
        <v>0</v>
      </c>
      <c r="K31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10" s="8">
        <f>Table1[[#This Row],[Balls Scored From Trench]]+Table1[[#This Row],[Balls Scored from Mid]]+Table1[[#This Row],[Balls Scored From Alliance zone]]</f>
        <v>0</v>
      </c>
      <c r="W310" s="8">
        <f>Table1[[#This Row],[balls scored high]]+Table1[[#This Row],[balls scored low]]</f>
        <v>0</v>
      </c>
      <c r="X310" s="8">
        <f>Table1[[#This Row],[Control Panel Spun Time]]+Table1[[#This Row],[Control Panel Color Time]]</f>
        <v>0</v>
      </c>
      <c r="Y310" s="8">
        <f>Table1[[#This Row],[Control Panels Spun]]+Table1[[#This Row],[Control Panel Color]]</f>
        <v>0</v>
      </c>
      <c r="Z31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10" s="17">
        <f>(Table1[[#This Row],[Climbed]]*weighting!$B$18)+(Table1[[#This Row],[Adjustable Climber]]*weighting!$B$19)+(Table1[[#This Row],[Lift other Robot]]*weighting!$B$20)+(Table1[[#This Row],[Balanced]]*weighting!$B$21)</f>
        <v>0</v>
      </c>
      <c r="AL310" s="8">
        <f>+Table1[[#This Row],[Endgame our score]]+Table1[[#This Row],[teleop our score]]+Table1[[#This Row],[auton our score]]</f>
        <v>0</v>
      </c>
      <c r="AM310" s="20">
        <f t="shared" si="12"/>
        <v>0</v>
      </c>
      <c r="AN310" s="20">
        <f t="shared" si="13"/>
        <v>0</v>
      </c>
      <c r="AO310" s="20">
        <f t="shared" si="14"/>
        <v>0</v>
      </c>
      <c r="AP310" s="20">
        <f>Table1[[#This Row],[balls scored]]+Table1[[#This Row],[auton balls scored]]</f>
        <v>0</v>
      </c>
      <c r="AQ310" s="20">
        <f>Table1[[#This Row],[balls scored high]]+Table1[[#This Row],[Auton Scored High]]</f>
        <v>0</v>
      </c>
      <c r="AR310" s="20">
        <f>Table1[[#This Row],[balls scored low]]+Table1[[#This Row],[Auton Scored Low]]</f>
        <v>0</v>
      </c>
      <c r="AS310" s="50">
        <f>IF(Table1[[#This Row],[Control Panel Spun Time]]&gt;0,1,0)</f>
        <v>0</v>
      </c>
      <c r="AT310" s="20">
        <f>IF(Table1[[#This Row],[Control Panel Color Time]]&gt;0,1,0)</f>
        <v>0</v>
      </c>
    </row>
    <row r="311" spans="1:46" s="2" customFormat="1" x14ac:dyDescent="0.25">
      <c r="A311"/>
      <c r="B311"/>
      <c r="C311"/>
      <c r="D311"/>
      <c r="E311"/>
      <c r="F311"/>
      <c r="G311"/>
      <c r="H311"/>
      <c r="I311" s="8">
        <f>+Table1[[#This Row],[Auton ball picked up in our trench]]+Table1[[#This Row],[Auton Balls Picked Up in Mid]]+Table1[[#This Row],[Auton Balls Picked Up In Their Trench]]</f>
        <v>0</v>
      </c>
      <c r="J311" s="8">
        <f>+Table1[[#This Row],[Auton Scored High]]+Table1[[#This Row],[Auton Scored Low]]</f>
        <v>0</v>
      </c>
      <c r="K31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11"/>
      <c r="M311"/>
      <c r="N311"/>
      <c r="O311"/>
      <c r="P311"/>
      <c r="Q311"/>
      <c r="R311"/>
      <c r="S311"/>
      <c r="T311"/>
      <c r="U311"/>
      <c r="V311" s="8">
        <f>Table1[[#This Row],[Balls Scored From Trench]]+Table1[[#This Row],[Balls Scored from Mid]]+Table1[[#This Row],[Balls Scored From Alliance zone]]</f>
        <v>0</v>
      </c>
      <c r="W311" s="8">
        <f>Table1[[#This Row],[balls scored high]]+Table1[[#This Row],[balls scored low]]</f>
        <v>0</v>
      </c>
      <c r="X311" s="8">
        <f>Table1[[#This Row],[Control Panel Spun Time]]+Table1[[#This Row],[Control Panel Color Time]]</f>
        <v>0</v>
      </c>
      <c r="Y311" s="8">
        <f>Table1[[#This Row],[Control Panels Spun]]+Table1[[#This Row],[Control Panel Color]]</f>
        <v>0</v>
      </c>
      <c r="Z31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11"/>
      <c r="AB311"/>
      <c r="AC311"/>
      <c r="AD311"/>
      <c r="AE311"/>
      <c r="AF311"/>
      <c r="AG311"/>
      <c r="AH311"/>
      <c r="AI311"/>
      <c r="AJ311"/>
      <c r="AK311" s="17">
        <f>(Table1[[#This Row],[Climbed]]*weighting!$B$18)+(Table1[[#This Row],[Adjustable Climber]]*weighting!$B$19)+(Table1[[#This Row],[Lift other Robot]]*weighting!$B$20)+(Table1[[#This Row],[Balanced]]*weighting!$B$21)</f>
        <v>0</v>
      </c>
      <c r="AL311" s="8">
        <f>+Table1[[#This Row],[Endgame our score]]+Table1[[#This Row],[teleop our score]]+Table1[[#This Row],[auton our score]]</f>
        <v>0</v>
      </c>
      <c r="AM311" s="20">
        <f t="shared" si="12"/>
        <v>0</v>
      </c>
      <c r="AN311" s="20">
        <f t="shared" si="13"/>
        <v>0</v>
      </c>
      <c r="AO311" s="20">
        <f t="shared" si="14"/>
        <v>0</v>
      </c>
      <c r="AP311" s="20">
        <f>Table1[[#This Row],[balls scored]]+Table1[[#This Row],[auton balls scored]]</f>
        <v>0</v>
      </c>
      <c r="AQ311" s="20">
        <f>Table1[[#This Row],[balls scored high]]+Table1[[#This Row],[Auton Scored High]]</f>
        <v>0</v>
      </c>
      <c r="AR311" s="20">
        <f>Table1[[#This Row],[balls scored low]]+Table1[[#This Row],[Auton Scored Low]]</f>
        <v>0</v>
      </c>
      <c r="AS311" s="50">
        <f>IF(Table1[[#This Row],[Control Panel Spun Time]]&gt;0,1,0)</f>
        <v>0</v>
      </c>
      <c r="AT311" s="20">
        <f>IF(Table1[[#This Row],[Control Panel Color Time]]&gt;0,1,0)</f>
        <v>0</v>
      </c>
    </row>
    <row r="312" spans="1:46" x14ac:dyDescent="0.25">
      <c r="A312"/>
      <c r="I312" s="8">
        <f>+Table1[[#This Row],[Auton ball picked up in our trench]]+Table1[[#This Row],[Auton Balls Picked Up in Mid]]+Table1[[#This Row],[Auton Balls Picked Up In Their Trench]]</f>
        <v>0</v>
      </c>
      <c r="J312" s="8">
        <f>+Table1[[#This Row],[Auton Scored High]]+Table1[[#This Row],[Auton Scored Low]]</f>
        <v>0</v>
      </c>
      <c r="K31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12" s="8">
        <f>Table1[[#This Row],[Balls Scored From Trench]]+Table1[[#This Row],[Balls Scored from Mid]]+Table1[[#This Row],[Balls Scored From Alliance zone]]</f>
        <v>0</v>
      </c>
      <c r="W312" s="8">
        <f>Table1[[#This Row],[balls scored high]]+Table1[[#This Row],[balls scored low]]</f>
        <v>0</v>
      </c>
      <c r="X312" s="8">
        <f>Table1[[#This Row],[Control Panel Spun Time]]+Table1[[#This Row],[Control Panel Color Time]]</f>
        <v>0</v>
      </c>
      <c r="Y312" s="8">
        <f>Table1[[#This Row],[Control Panels Spun]]+Table1[[#This Row],[Control Panel Color]]</f>
        <v>0</v>
      </c>
      <c r="Z31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12" s="17">
        <f>(Table1[[#This Row],[Climbed]]*weighting!$B$18)+(Table1[[#This Row],[Adjustable Climber]]*weighting!$B$19)+(Table1[[#This Row],[Lift other Robot]]*weighting!$B$20)+(Table1[[#This Row],[Balanced]]*weighting!$B$21)</f>
        <v>0</v>
      </c>
      <c r="AL312" s="8">
        <f>+Table1[[#This Row],[Endgame our score]]+Table1[[#This Row],[teleop our score]]+Table1[[#This Row],[auton our score]]</f>
        <v>0</v>
      </c>
      <c r="AM312" s="20">
        <f t="shared" si="12"/>
        <v>0</v>
      </c>
      <c r="AN312" s="20">
        <f t="shared" si="13"/>
        <v>0</v>
      </c>
      <c r="AO312" s="20">
        <f t="shared" si="14"/>
        <v>0</v>
      </c>
      <c r="AP312" s="20">
        <f>Table1[[#This Row],[balls scored]]+Table1[[#This Row],[auton balls scored]]</f>
        <v>0</v>
      </c>
      <c r="AQ312" s="20">
        <f>Table1[[#This Row],[balls scored high]]+Table1[[#This Row],[Auton Scored High]]</f>
        <v>0</v>
      </c>
      <c r="AR312" s="20">
        <f>Table1[[#This Row],[balls scored low]]+Table1[[#This Row],[Auton Scored Low]]</f>
        <v>0</v>
      </c>
      <c r="AS312" s="50">
        <f>IF(Table1[[#This Row],[Control Panel Spun Time]]&gt;0,1,0)</f>
        <v>0</v>
      </c>
      <c r="AT312" s="20">
        <f>IF(Table1[[#This Row],[Control Panel Color Time]]&gt;0,1,0)</f>
        <v>0</v>
      </c>
    </row>
    <row r="313" spans="1:46" s="2" customFormat="1" x14ac:dyDescent="0.25">
      <c r="A313"/>
      <c r="B313"/>
      <c r="C313"/>
      <c r="D313"/>
      <c r="E313"/>
      <c r="F313"/>
      <c r="G313"/>
      <c r="H313"/>
      <c r="I313" s="8">
        <f>+Table1[[#This Row],[Auton ball picked up in our trench]]+Table1[[#This Row],[Auton Balls Picked Up in Mid]]+Table1[[#This Row],[Auton Balls Picked Up In Their Trench]]</f>
        <v>0</v>
      </c>
      <c r="J313" s="8">
        <f>+Table1[[#This Row],[Auton Scored High]]+Table1[[#This Row],[Auton Scored Low]]</f>
        <v>0</v>
      </c>
      <c r="K31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13"/>
      <c r="M313"/>
      <c r="N313"/>
      <c r="O313"/>
      <c r="P313"/>
      <c r="Q313"/>
      <c r="R313"/>
      <c r="S313"/>
      <c r="T313"/>
      <c r="U313"/>
      <c r="V313" s="8">
        <f>Table1[[#This Row],[Balls Scored From Trench]]+Table1[[#This Row],[Balls Scored from Mid]]+Table1[[#This Row],[Balls Scored From Alliance zone]]</f>
        <v>0</v>
      </c>
      <c r="W313" s="8">
        <f>Table1[[#This Row],[balls scored high]]+Table1[[#This Row],[balls scored low]]</f>
        <v>0</v>
      </c>
      <c r="X313" s="8">
        <f>Table1[[#This Row],[Control Panel Spun Time]]+Table1[[#This Row],[Control Panel Color Time]]</f>
        <v>0</v>
      </c>
      <c r="Y313" s="8">
        <f>Table1[[#This Row],[Control Panels Spun]]+Table1[[#This Row],[Control Panel Color]]</f>
        <v>0</v>
      </c>
      <c r="Z31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13"/>
      <c r="AB313"/>
      <c r="AC313"/>
      <c r="AD313"/>
      <c r="AE313"/>
      <c r="AF313"/>
      <c r="AG313"/>
      <c r="AH313"/>
      <c r="AI313"/>
      <c r="AJ313"/>
      <c r="AK313" s="17">
        <f>(Table1[[#This Row],[Climbed]]*weighting!$B$18)+(Table1[[#This Row],[Adjustable Climber]]*weighting!$B$19)+(Table1[[#This Row],[Lift other Robot]]*weighting!$B$20)+(Table1[[#This Row],[Balanced]]*weighting!$B$21)</f>
        <v>0</v>
      </c>
      <c r="AL313" s="8">
        <f>+Table1[[#This Row],[Endgame our score]]+Table1[[#This Row],[teleop our score]]+Table1[[#This Row],[auton our score]]</f>
        <v>0</v>
      </c>
      <c r="AM313" s="20">
        <f t="shared" si="12"/>
        <v>0</v>
      </c>
      <c r="AN313" s="20">
        <f t="shared" si="13"/>
        <v>0</v>
      </c>
      <c r="AO313" s="20">
        <f t="shared" si="14"/>
        <v>0</v>
      </c>
      <c r="AP313" s="20">
        <f>Table1[[#This Row],[balls scored]]+Table1[[#This Row],[auton balls scored]]</f>
        <v>0</v>
      </c>
      <c r="AQ313" s="20">
        <f>Table1[[#This Row],[balls scored high]]+Table1[[#This Row],[Auton Scored High]]</f>
        <v>0</v>
      </c>
      <c r="AR313" s="20">
        <f>Table1[[#This Row],[balls scored low]]+Table1[[#This Row],[Auton Scored Low]]</f>
        <v>0</v>
      </c>
      <c r="AS313" s="50">
        <f>IF(Table1[[#This Row],[Control Panel Spun Time]]&gt;0,1,0)</f>
        <v>0</v>
      </c>
      <c r="AT313" s="20">
        <f>IF(Table1[[#This Row],[Control Panel Color Time]]&gt;0,1,0)</f>
        <v>0</v>
      </c>
    </row>
    <row r="314" spans="1:46" x14ac:dyDescent="0.25">
      <c r="A314"/>
      <c r="I314" s="8">
        <f>+Table1[[#This Row],[Auton ball picked up in our trench]]+Table1[[#This Row],[Auton Balls Picked Up in Mid]]+Table1[[#This Row],[Auton Balls Picked Up In Their Trench]]</f>
        <v>0</v>
      </c>
      <c r="J314" s="8">
        <f>+Table1[[#This Row],[Auton Scored High]]+Table1[[#This Row],[Auton Scored Low]]</f>
        <v>0</v>
      </c>
      <c r="K31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14" s="8">
        <f>Table1[[#This Row],[Balls Scored From Trench]]+Table1[[#This Row],[Balls Scored from Mid]]+Table1[[#This Row],[Balls Scored From Alliance zone]]</f>
        <v>0</v>
      </c>
      <c r="W314" s="8">
        <f>Table1[[#This Row],[balls scored high]]+Table1[[#This Row],[balls scored low]]</f>
        <v>0</v>
      </c>
      <c r="X314" s="8">
        <f>Table1[[#This Row],[Control Panel Spun Time]]+Table1[[#This Row],[Control Panel Color Time]]</f>
        <v>0</v>
      </c>
      <c r="Y314" s="8">
        <f>Table1[[#This Row],[Control Panels Spun]]+Table1[[#This Row],[Control Panel Color]]</f>
        <v>0</v>
      </c>
      <c r="Z31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14" s="17">
        <f>(Table1[[#This Row],[Climbed]]*weighting!$B$18)+(Table1[[#This Row],[Adjustable Climber]]*weighting!$B$19)+(Table1[[#This Row],[Lift other Robot]]*weighting!$B$20)+(Table1[[#This Row],[Balanced]]*weighting!$B$21)</f>
        <v>0</v>
      </c>
      <c r="AL314" s="8">
        <f>+Table1[[#This Row],[Endgame our score]]+Table1[[#This Row],[teleop our score]]+Table1[[#This Row],[auton our score]]</f>
        <v>0</v>
      </c>
      <c r="AM314" s="20">
        <f t="shared" si="12"/>
        <v>0</v>
      </c>
      <c r="AN314" s="20">
        <f t="shared" si="13"/>
        <v>0</v>
      </c>
      <c r="AO314" s="20">
        <f t="shared" si="14"/>
        <v>0</v>
      </c>
      <c r="AP314" s="20">
        <f>Table1[[#This Row],[balls scored]]+Table1[[#This Row],[auton balls scored]]</f>
        <v>0</v>
      </c>
      <c r="AQ314" s="20">
        <f>Table1[[#This Row],[balls scored high]]+Table1[[#This Row],[Auton Scored High]]</f>
        <v>0</v>
      </c>
      <c r="AR314" s="20">
        <f>Table1[[#This Row],[balls scored low]]+Table1[[#This Row],[Auton Scored Low]]</f>
        <v>0</v>
      </c>
      <c r="AS314" s="50">
        <f>IF(Table1[[#This Row],[Control Panel Spun Time]]&gt;0,1,0)</f>
        <v>0</v>
      </c>
      <c r="AT314" s="20">
        <f>IF(Table1[[#This Row],[Control Panel Color Time]]&gt;0,1,0)</f>
        <v>0</v>
      </c>
    </row>
    <row r="315" spans="1:46" s="2" customFormat="1" x14ac:dyDescent="0.25">
      <c r="A315"/>
      <c r="B315"/>
      <c r="C315"/>
      <c r="D315"/>
      <c r="E315"/>
      <c r="F315"/>
      <c r="G315"/>
      <c r="H315"/>
      <c r="I315" s="8">
        <f>+Table1[[#This Row],[Auton ball picked up in our trench]]+Table1[[#This Row],[Auton Balls Picked Up in Mid]]+Table1[[#This Row],[Auton Balls Picked Up In Their Trench]]</f>
        <v>0</v>
      </c>
      <c r="J315" s="8">
        <f>+Table1[[#This Row],[Auton Scored High]]+Table1[[#This Row],[Auton Scored Low]]</f>
        <v>0</v>
      </c>
      <c r="K31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15"/>
      <c r="M315"/>
      <c r="N315"/>
      <c r="O315"/>
      <c r="P315"/>
      <c r="Q315"/>
      <c r="R315"/>
      <c r="S315"/>
      <c r="T315"/>
      <c r="U315"/>
      <c r="V315" s="8">
        <f>Table1[[#This Row],[Balls Scored From Trench]]+Table1[[#This Row],[Balls Scored from Mid]]+Table1[[#This Row],[Balls Scored From Alliance zone]]</f>
        <v>0</v>
      </c>
      <c r="W315" s="8">
        <f>Table1[[#This Row],[balls scored high]]+Table1[[#This Row],[balls scored low]]</f>
        <v>0</v>
      </c>
      <c r="X315" s="8">
        <f>Table1[[#This Row],[Control Panel Spun Time]]+Table1[[#This Row],[Control Panel Color Time]]</f>
        <v>0</v>
      </c>
      <c r="Y315" s="8">
        <f>Table1[[#This Row],[Control Panels Spun]]+Table1[[#This Row],[Control Panel Color]]</f>
        <v>0</v>
      </c>
      <c r="Z31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15"/>
      <c r="AB315"/>
      <c r="AC315"/>
      <c r="AD315"/>
      <c r="AE315"/>
      <c r="AF315"/>
      <c r="AG315"/>
      <c r="AH315"/>
      <c r="AI315"/>
      <c r="AJ315"/>
      <c r="AK315" s="17">
        <f>(Table1[[#This Row],[Climbed]]*weighting!$B$18)+(Table1[[#This Row],[Adjustable Climber]]*weighting!$B$19)+(Table1[[#This Row],[Lift other Robot]]*weighting!$B$20)+(Table1[[#This Row],[Balanced]]*weighting!$B$21)</f>
        <v>0</v>
      </c>
      <c r="AL315" s="8">
        <f>+Table1[[#This Row],[Endgame our score]]+Table1[[#This Row],[teleop our score]]+Table1[[#This Row],[auton our score]]</f>
        <v>0</v>
      </c>
      <c r="AM315" s="20">
        <f t="shared" si="12"/>
        <v>0</v>
      </c>
      <c r="AN315" s="20">
        <f t="shared" si="13"/>
        <v>0</v>
      </c>
      <c r="AO315" s="20">
        <f t="shared" si="14"/>
        <v>0</v>
      </c>
      <c r="AP315" s="20">
        <f>Table1[[#This Row],[balls scored]]+Table1[[#This Row],[auton balls scored]]</f>
        <v>0</v>
      </c>
      <c r="AQ315" s="20">
        <f>Table1[[#This Row],[balls scored high]]+Table1[[#This Row],[Auton Scored High]]</f>
        <v>0</v>
      </c>
      <c r="AR315" s="20">
        <f>Table1[[#This Row],[balls scored low]]+Table1[[#This Row],[Auton Scored Low]]</f>
        <v>0</v>
      </c>
      <c r="AS315" s="50">
        <f>IF(Table1[[#This Row],[Control Panel Spun Time]]&gt;0,1,0)</f>
        <v>0</v>
      </c>
      <c r="AT315" s="20">
        <f>IF(Table1[[#This Row],[Control Panel Color Time]]&gt;0,1,0)</f>
        <v>0</v>
      </c>
    </row>
    <row r="316" spans="1:46" x14ac:dyDescent="0.25">
      <c r="A316"/>
      <c r="I316" s="8">
        <f>+Table1[[#This Row],[Auton ball picked up in our trench]]+Table1[[#This Row],[Auton Balls Picked Up in Mid]]+Table1[[#This Row],[Auton Balls Picked Up In Their Trench]]</f>
        <v>0</v>
      </c>
      <c r="J316" s="8">
        <f>+Table1[[#This Row],[Auton Scored High]]+Table1[[#This Row],[Auton Scored Low]]</f>
        <v>0</v>
      </c>
      <c r="K31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16" s="8">
        <f>Table1[[#This Row],[Balls Scored From Trench]]+Table1[[#This Row],[Balls Scored from Mid]]+Table1[[#This Row],[Balls Scored From Alliance zone]]</f>
        <v>0</v>
      </c>
      <c r="W316" s="8">
        <f>Table1[[#This Row],[balls scored high]]+Table1[[#This Row],[balls scored low]]</f>
        <v>0</v>
      </c>
      <c r="X316" s="8">
        <f>Table1[[#This Row],[Control Panel Spun Time]]+Table1[[#This Row],[Control Panel Color Time]]</f>
        <v>0</v>
      </c>
      <c r="Y316" s="8">
        <f>Table1[[#This Row],[Control Panels Spun]]+Table1[[#This Row],[Control Panel Color]]</f>
        <v>0</v>
      </c>
      <c r="Z31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16" s="17">
        <f>(Table1[[#This Row],[Climbed]]*weighting!$B$18)+(Table1[[#This Row],[Adjustable Climber]]*weighting!$B$19)+(Table1[[#This Row],[Lift other Robot]]*weighting!$B$20)+(Table1[[#This Row],[Balanced]]*weighting!$B$21)</f>
        <v>0</v>
      </c>
      <c r="AL316" s="8">
        <f>+Table1[[#This Row],[Endgame our score]]+Table1[[#This Row],[teleop our score]]+Table1[[#This Row],[auton our score]]</f>
        <v>0</v>
      </c>
      <c r="AM316" s="20">
        <f t="shared" si="12"/>
        <v>0</v>
      </c>
      <c r="AN316" s="20">
        <f t="shared" si="13"/>
        <v>0</v>
      </c>
      <c r="AO316" s="20">
        <f t="shared" si="14"/>
        <v>0</v>
      </c>
      <c r="AP316" s="20">
        <f>Table1[[#This Row],[balls scored]]+Table1[[#This Row],[auton balls scored]]</f>
        <v>0</v>
      </c>
      <c r="AQ316" s="20">
        <f>Table1[[#This Row],[balls scored high]]+Table1[[#This Row],[Auton Scored High]]</f>
        <v>0</v>
      </c>
      <c r="AR316" s="20">
        <f>Table1[[#This Row],[balls scored low]]+Table1[[#This Row],[Auton Scored Low]]</f>
        <v>0</v>
      </c>
      <c r="AS316" s="50">
        <f>IF(Table1[[#This Row],[Control Panel Spun Time]]&gt;0,1,0)</f>
        <v>0</v>
      </c>
      <c r="AT316" s="20">
        <f>IF(Table1[[#This Row],[Control Panel Color Time]]&gt;0,1,0)</f>
        <v>0</v>
      </c>
    </row>
    <row r="317" spans="1:46" s="2" customFormat="1" x14ac:dyDescent="0.25">
      <c r="A317"/>
      <c r="B317"/>
      <c r="C317"/>
      <c r="D317"/>
      <c r="E317"/>
      <c r="F317"/>
      <c r="G317"/>
      <c r="H317"/>
      <c r="I317" s="8">
        <f>+Table1[[#This Row],[Auton ball picked up in our trench]]+Table1[[#This Row],[Auton Balls Picked Up in Mid]]+Table1[[#This Row],[Auton Balls Picked Up In Their Trench]]</f>
        <v>0</v>
      </c>
      <c r="J317" s="8">
        <f>+Table1[[#This Row],[Auton Scored High]]+Table1[[#This Row],[Auton Scored Low]]</f>
        <v>0</v>
      </c>
      <c r="K31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17"/>
      <c r="M317"/>
      <c r="N317"/>
      <c r="O317"/>
      <c r="P317"/>
      <c r="Q317"/>
      <c r="R317"/>
      <c r="S317"/>
      <c r="T317"/>
      <c r="U317"/>
      <c r="V317" s="8">
        <f>Table1[[#This Row],[Balls Scored From Trench]]+Table1[[#This Row],[Balls Scored from Mid]]+Table1[[#This Row],[Balls Scored From Alliance zone]]</f>
        <v>0</v>
      </c>
      <c r="W317" s="8">
        <f>Table1[[#This Row],[balls scored high]]+Table1[[#This Row],[balls scored low]]</f>
        <v>0</v>
      </c>
      <c r="X317" s="8">
        <f>Table1[[#This Row],[Control Panel Spun Time]]+Table1[[#This Row],[Control Panel Color Time]]</f>
        <v>0</v>
      </c>
      <c r="Y317" s="8">
        <f>Table1[[#This Row],[Control Panels Spun]]+Table1[[#This Row],[Control Panel Color]]</f>
        <v>0</v>
      </c>
      <c r="Z31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17"/>
      <c r="AB317"/>
      <c r="AC317"/>
      <c r="AD317"/>
      <c r="AE317"/>
      <c r="AF317"/>
      <c r="AG317"/>
      <c r="AH317"/>
      <c r="AI317"/>
      <c r="AJ317"/>
      <c r="AK317" s="17">
        <f>(Table1[[#This Row],[Climbed]]*weighting!$B$18)+(Table1[[#This Row],[Adjustable Climber]]*weighting!$B$19)+(Table1[[#This Row],[Lift other Robot]]*weighting!$B$20)+(Table1[[#This Row],[Balanced]]*weighting!$B$21)</f>
        <v>0</v>
      </c>
      <c r="AL317" s="8">
        <f>+Table1[[#This Row],[Endgame our score]]+Table1[[#This Row],[teleop our score]]+Table1[[#This Row],[auton our score]]</f>
        <v>0</v>
      </c>
      <c r="AM317" s="20">
        <f t="shared" si="12"/>
        <v>0</v>
      </c>
      <c r="AN317" s="20">
        <f t="shared" si="13"/>
        <v>0</v>
      </c>
      <c r="AO317" s="20">
        <f t="shared" si="14"/>
        <v>0</v>
      </c>
      <c r="AP317" s="20">
        <f>Table1[[#This Row],[balls scored]]+Table1[[#This Row],[auton balls scored]]</f>
        <v>0</v>
      </c>
      <c r="AQ317" s="20">
        <f>Table1[[#This Row],[balls scored high]]+Table1[[#This Row],[Auton Scored High]]</f>
        <v>0</v>
      </c>
      <c r="AR317" s="20">
        <f>Table1[[#This Row],[balls scored low]]+Table1[[#This Row],[Auton Scored Low]]</f>
        <v>0</v>
      </c>
      <c r="AS317" s="50">
        <f>IF(Table1[[#This Row],[Control Panel Spun Time]]&gt;0,1,0)</f>
        <v>0</v>
      </c>
      <c r="AT317" s="20">
        <f>IF(Table1[[#This Row],[Control Panel Color Time]]&gt;0,1,0)</f>
        <v>0</v>
      </c>
    </row>
    <row r="318" spans="1:46" x14ac:dyDescent="0.25">
      <c r="A318"/>
      <c r="I318" s="8">
        <f>+Table1[[#This Row],[Auton ball picked up in our trench]]+Table1[[#This Row],[Auton Balls Picked Up in Mid]]+Table1[[#This Row],[Auton Balls Picked Up In Their Trench]]</f>
        <v>0</v>
      </c>
      <c r="J318" s="8">
        <f>+Table1[[#This Row],[Auton Scored High]]+Table1[[#This Row],[Auton Scored Low]]</f>
        <v>0</v>
      </c>
      <c r="K31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18" s="8">
        <f>Table1[[#This Row],[Balls Scored From Trench]]+Table1[[#This Row],[Balls Scored from Mid]]+Table1[[#This Row],[Balls Scored From Alliance zone]]</f>
        <v>0</v>
      </c>
      <c r="W318" s="8">
        <f>Table1[[#This Row],[balls scored high]]+Table1[[#This Row],[balls scored low]]</f>
        <v>0</v>
      </c>
      <c r="X318" s="8">
        <f>Table1[[#This Row],[Control Panel Spun Time]]+Table1[[#This Row],[Control Panel Color Time]]</f>
        <v>0</v>
      </c>
      <c r="Y318" s="8">
        <f>Table1[[#This Row],[Control Panels Spun]]+Table1[[#This Row],[Control Panel Color]]</f>
        <v>0</v>
      </c>
      <c r="Z31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18" s="17">
        <f>(Table1[[#This Row],[Climbed]]*weighting!$B$18)+(Table1[[#This Row],[Adjustable Climber]]*weighting!$B$19)+(Table1[[#This Row],[Lift other Robot]]*weighting!$B$20)+(Table1[[#This Row],[Balanced]]*weighting!$B$21)</f>
        <v>0</v>
      </c>
      <c r="AL318" s="8">
        <f>+Table1[[#This Row],[Endgame our score]]+Table1[[#This Row],[teleop our score]]+Table1[[#This Row],[auton our score]]</f>
        <v>0</v>
      </c>
      <c r="AM318" s="20">
        <f t="shared" si="12"/>
        <v>0</v>
      </c>
      <c r="AN318" s="20">
        <f t="shared" si="13"/>
        <v>0</v>
      </c>
      <c r="AO318" s="20">
        <f t="shared" si="14"/>
        <v>0</v>
      </c>
      <c r="AP318" s="20">
        <f>Table1[[#This Row],[balls scored]]+Table1[[#This Row],[auton balls scored]]</f>
        <v>0</v>
      </c>
      <c r="AQ318" s="20">
        <f>Table1[[#This Row],[balls scored high]]+Table1[[#This Row],[Auton Scored High]]</f>
        <v>0</v>
      </c>
      <c r="AR318" s="20">
        <f>Table1[[#This Row],[balls scored low]]+Table1[[#This Row],[Auton Scored Low]]</f>
        <v>0</v>
      </c>
      <c r="AS318" s="50">
        <f>IF(Table1[[#This Row],[Control Panel Spun Time]]&gt;0,1,0)</f>
        <v>0</v>
      </c>
      <c r="AT318" s="20">
        <f>IF(Table1[[#This Row],[Control Panel Color Time]]&gt;0,1,0)</f>
        <v>0</v>
      </c>
    </row>
    <row r="319" spans="1:46" s="2" customFormat="1" x14ac:dyDescent="0.25">
      <c r="A319"/>
      <c r="B319"/>
      <c r="C319"/>
      <c r="D319"/>
      <c r="E319"/>
      <c r="F319"/>
      <c r="G319"/>
      <c r="H319"/>
      <c r="I319" s="8">
        <f>+Table1[[#This Row],[Auton ball picked up in our trench]]+Table1[[#This Row],[Auton Balls Picked Up in Mid]]+Table1[[#This Row],[Auton Balls Picked Up In Their Trench]]</f>
        <v>0</v>
      </c>
      <c r="J319" s="8">
        <f>+Table1[[#This Row],[Auton Scored High]]+Table1[[#This Row],[Auton Scored Low]]</f>
        <v>0</v>
      </c>
      <c r="K31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19"/>
      <c r="M319"/>
      <c r="N319"/>
      <c r="O319"/>
      <c r="P319"/>
      <c r="Q319"/>
      <c r="R319"/>
      <c r="S319"/>
      <c r="T319"/>
      <c r="U319"/>
      <c r="V319" s="8">
        <f>Table1[[#This Row],[Balls Scored From Trench]]+Table1[[#This Row],[Balls Scored from Mid]]+Table1[[#This Row],[Balls Scored From Alliance zone]]</f>
        <v>0</v>
      </c>
      <c r="W319" s="8">
        <f>Table1[[#This Row],[balls scored high]]+Table1[[#This Row],[balls scored low]]</f>
        <v>0</v>
      </c>
      <c r="X319" s="8">
        <f>Table1[[#This Row],[Control Panel Spun Time]]+Table1[[#This Row],[Control Panel Color Time]]</f>
        <v>0</v>
      </c>
      <c r="Y319" s="8">
        <f>Table1[[#This Row],[Control Panels Spun]]+Table1[[#This Row],[Control Panel Color]]</f>
        <v>0</v>
      </c>
      <c r="Z31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19"/>
      <c r="AB319"/>
      <c r="AC319"/>
      <c r="AD319"/>
      <c r="AE319"/>
      <c r="AF319"/>
      <c r="AG319"/>
      <c r="AH319"/>
      <c r="AI319"/>
      <c r="AJ319"/>
      <c r="AK319" s="17">
        <f>(Table1[[#This Row],[Climbed]]*weighting!$B$18)+(Table1[[#This Row],[Adjustable Climber]]*weighting!$B$19)+(Table1[[#This Row],[Lift other Robot]]*weighting!$B$20)+(Table1[[#This Row],[Balanced]]*weighting!$B$21)</f>
        <v>0</v>
      </c>
      <c r="AL319" s="8">
        <f>+Table1[[#This Row],[Endgame our score]]+Table1[[#This Row],[teleop our score]]+Table1[[#This Row],[auton our score]]</f>
        <v>0</v>
      </c>
      <c r="AM319" s="20">
        <f t="shared" si="12"/>
        <v>0</v>
      </c>
      <c r="AN319" s="20">
        <f t="shared" si="13"/>
        <v>0</v>
      </c>
      <c r="AO319" s="20">
        <f t="shared" si="14"/>
        <v>0</v>
      </c>
      <c r="AP319" s="20">
        <f>Table1[[#This Row],[balls scored]]+Table1[[#This Row],[auton balls scored]]</f>
        <v>0</v>
      </c>
      <c r="AQ319" s="20">
        <f>Table1[[#This Row],[balls scored high]]+Table1[[#This Row],[Auton Scored High]]</f>
        <v>0</v>
      </c>
      <c r="AR319" s="20">
        <f>Table1[[#This Row],[balls scored low]]+Table1[[#This Row],[Auton Scored Low]]</f>
        <v>0</v>
      </c>
      <c r="AS319" s="50">
        <f>IF(Table1[[#This Row],[Control Panel Spun Time]]&gt;0,1,0)</f>
        <v>0</v>
      </c>
      <c r="AT319" s="20">
        <f>IF(Table1[[#This Row],[Control Panel Color Time]]&gt;0,1,0)</f>
        <v>0</v>
      </c>
    </row>
    <row r="320" spans="1:46" x14ac:dyDescent="0.25">
      <c r="A320"/>
      <c r="I320" s="8">
        <f>+Table1[[#This Row],[Auton ball picked up in our trench]]+Table1[[#This Row],[Auton Balls Picked Up in Mid]]+Table1[[#This Row],[Auton Balls Picked Up In Their Trench]]</f>
        <v>0</v>
      </c>
      <c r="J320" s="8">
        <f>+Table1[[#This Row],[Auton Scored High]]+Table1[[#This Row],[Auton Scored Low]]</f>
        <v>0</v>
      </c>
      <c r="K32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20" s="8">
        <f>Table1[[#This Row],[Balls Scored From Trench]]+Table1[[#This Row],[Balls Scored from Mid]]+Table1[[#This Row],[Balls Scored From Alliance zone]]</f>
        <v>0</v>
      </c>
      <c r="W320" s="8">
        <f>Table1[[#This Row],[balls scored high]]+Table1[[#This Row],[balls scored low]]</f>
        <v>0</v>
      </c>
      <c r="X320" s="8">
        <f>Table1[[#This Row],[Control Panel Spun Time]]+Table1[[#This Row],[Control Panel Color Time]]</f>
        <v>0</v>
      </c>
      <c r="Y320" s="8">
        <f>Table1[[#This Row],[Control Panels Spun]]+Table1[[#This Row],[Control Panel Color]]</f>
        <v>0</v>
      </c>
      <c r="Z32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20" s="17">
        <f>(Table1[[#This Row],[Climbed]]*weighting!$B$18)+(Table1[[#This Row],[Adjustable Climber]]*weighting!$B$19)+(Table1[[#This Row],[Lift other Robot]]*weighting!$B$20)+(Table1[[#This Row],[Balanced]]*weighting!$B$21)</f>
        <v>0</v>
      </c>
      <c r="AL320" s="8">
        <f>+Table1[[#This Row],[Endgame our score]]+Table1[[#This Row],[teleop our score]]+Table1[[#This Row],[auton our score]]</f>
        <v>0</v>
      </c>
      <c r="AM320" s="20">
        <f t="shared" si="12"/>
        <v>0</v>
      </c>
      <c r="AN320" s="20">
        <f t="shared" si="13"/>
        <v>0</v>
      </c>
      <c r="AO320" s="20">
        <f t="shared" si="14"/>
        <v>0</v>
      </c>
      <c r="AP320" s="20">
        <f>Table1[[#This Row],[balls scored]]+Table1[[#This Row],[auton balls scored]]</f>
        <v>0</v>
      </c>
      <c r="AQ320" s="20">
        <f>Table1[[#This Row],[balls scored high]]+Table1[[#This Row],[Auton Scored High]]</f>
        <v>0</v>
      </c>
      <c r="AR320" s="20">
        <f>Table1[[#This Row],[balls scored low]]+Table1[[#This Row],[Auton Scored Low]]</f>
        <v>0</v>
      </c>
      <c r="AS320" s="50">
        <f>IF(Table1[[#This Row],[Control Panel Spun Time]]&gt;0,1,0)</f>
        <v>0</v>
      </c>
      <c r="AT320" s="20">
        <f>IF(Table1[[#This Row],[Control Panel Color Time]]&gt;0,1,0)</f>
        <v>0</v>
      </c>
    </row>
    <row r="321" spans="1:46" s="2" customFormat="1" x14ac:dyDescent="0.25">
      <c r="A321"/>
      <c r="B321"/>
      <c r="C321"/>
      <c r="D321"/>
      <c r="E321"/>
      <c r="F321"/>
      <c r="G321"/>
      <c r="H321"/>
      <c r="I321" s="8">
        <f>+Table1[[#This Row],[Auton ball picked up in our trench]]+Table1[[#This Row],[Auton Balls Picked Up in Mid]]+Table1[[#This Row],[Auton Balls Picked Up In Their Trench]]</f>
        <v>0</v>
      </c>
      <c r="J321" s="8">
        <f>+Table1[[#This Row],[Auton Scored High]]+Table1[[#This Row],[Auton Scored Low]]</f>
        <v>0</v>
      </c>
      <c r="K32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21"/>
      <c r="M321"/>
      <c r="N321"/>
      <c r="O321"/>
      <c r="P321"/>
      <c r="Q321"/>
      <c r="R321"/>
      <c r="S321"/>
      <c r="T321"/>
      <c r="U321"/>
      <c r="V321" s="8">
        <f>Table1[[#This Row],[Balls Scored From Trench]]+Table1[[#This Row],[Balls Scored from Mid]]+Table1[[#This Row],[Balls Scored From Alliance zone]]</f>
        <v>0</v>
      </c>
      <c r="W321" s="8">
        <f>Table1[[#This Row],[balls scored high]]+Table1[[#This Row],[balls scored low]]</f>
        <v>0</v>
      </c>
      <c r="X321" s="8">
        <f>Table1[[#This Row],[Control Panel Spun Time]]+Table1[[#This Row],[Control Panel Color Time]]</f>
        <v>0</v>
      </c>
      <c r="Y321" s="8">
        <f>Table1[[#This Row],[Control Panels Spun]]+Table1[[#This Row],[Control Panel Color]]</f>
        <v>0</v>
      </c>
      <c r="Z32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21"/>
      <c r="AB321"/>
      <c r="AC321"/>
      <c r="AD321"/>
      <c r="AE321"/>
      <c r="AF321"/>
      <c r="AG321"/>
      <c r="AH321"/>
      <c r="AI321"/>
      <c r="AJ321"/>
      <c r="AK321" s="17">
        <f>(Table1[[#This Row],[Climbed]]*weighting!$B$18)+(Table1[[#This Row],[Adjustable Climber]]*weighting!$B$19)+(Table1[[#This Row],[Lift other Robot]]*weighting!$B$20)+(Table1[[#This Row],[Balanced]]*weighting!$B$21)</f>
        <v>0</v>
      </c>
      <c r="AL321" s="8">
        <f>+Table1[[#This Row],[Endgame our score]]+Table1[[#This Row],[teleop our score]]+Table1[[#This Row],[auton our score]]</f>
        <v>0</v>
      </c>
      <c r="AM321" s="20">
        <f t="shared" si="12"/>
        <v>0</v>
      </c>
      <c r="AN321" s="20">
        <f t="shared" si="13"/>
        <v>0</v>
      </c>
      <c r="AO321" s="20">
        <f t="shared" si="14"/>
        <v>0</v>
      </c>
      <c r="AP321" s="20">
        <f>Table1[[#This Row],[balls scored]]+Table1[[#This Row],[auton balls scored]]</f>
        <v>0</v>
      </c>
      <c r="AQ321" s="20">
        <f>Table1[[#This Row],[balls scored high]]+Table1[[#This Row],[Auton Scored High]]</f>
        <v>0</v>
      </c>
      <c r="AR321" s="20">
        <f>Table1[[#This Row],[balls scored low]]+Table1[[#This Row],[Auton Scored Low]]</f>
        <v>0</v>
      </c>
      <c r="AS321" s="50">
        <f>IF(Table1[[#This Row],[Control Panel Spun Time]]&gt;0,1,0)</f>
        <v>0</v>
      </c>
      <c r="AT321" s="20">
        <f>IF(Table1[[#This Row],[Control Panel Color Time]]&gt;0,1,0)</f>
        <v>0</v>
      </c>
    </row>
    <row r="322" spans="1:46" x14ac:dyDescent="0.25">
      <c r="A322"/>
      <c r="I322" s="8">
        <f>+Table1[[#This Row],[Auton ball picked up in our trench]]+Table1[[#This Row],[Auton Balls Picked Up in Mid]]+Table1[[#This Row],[Auton Balls Picked Up In Their Trench]]</f>
        <v>0</v>
      </c>
      <c r="J322" s="8">
        <f>+Table1[[#This Row],[Auton Scored High]]+Table1[[#This Row],[Auton Scored Low]]</f>
        <v>0</v>
      </c>
      <c r="K32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22" s="8">
        <f>Table1[[#This Row],[Balls Scored From Trench]]+Table1[[#This Row],[Balls Scored from Mid]]+Table1[[#This Row],[Balls Scored From Alliance zone]]</f>
        <v>0</v>
      </c>
      <c r="W322" s="8">
        <f>Table1[[#This Row],[balls scored high]]+Table1[[#This Row],[balls scored low]]</f>
        <v>0</v>
      </c>
      <c r="X322" s="8">
        <f>Table1[[#This Row],[Control Panel Spun Time]]+Table1[[#This Row],[Control Panel Color Time]]</f>
        <v>0</v>
      </c>
      <c r="Y322" s="8">
        <f>Table1[[#This Row],[Control Panels Spun]]+Table1[[#This Row],[Control Panel Color]]</f>
        <v>0</v>
      </c>
      <c r="Z32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22" s="17">
        <f>(Table1[[#This Row],[Climbed]]*weighting!$B$18)+(Table1[[#This Row],[Adjustable Climber]]*weighting!$B$19)+(Table1[[#This Row],[Lift other Robot]]*weighting!$B$20)+(Table1[[#This Row],[Balanced]]*weighting!$B$21)</f>
        <v>0</v>
      </c>
      <c r="AL322" s="8">
        <f>+Table1[[#This Row],[Endgame our score]]+Table1[[#This Row],[teleop our score]]+Table1[[#This Row],[auton our score]]</f>
        <v>0</v>
      </c>
      <c r="AM322" s="20">
        <f t="shared" ref="AM322:AM385" si="15">IF(B322=1,1,0)</f>
        <v>0</v>
      </c>
      <c r="AN322" s="20">
        <f t="shared" ref="AN322:AN385" si="16">IF(B322=2,1,0)</f>
        <v>0</v>
      </c>
      <c r="AO322" s="20">
        <f t="shared" ref="AO322:AO385" si="17">IF(B322=3,1,0)</f>
        <v>0</v>
      </c>
      <c r="AP322" s="20">
        <f>Table1[[#This Row],[balls scored]]+Table1[[#This Row],[auton balls scored]]</f>
        <v>0</v>
      </c>
      <c r="AQ322" s="20">
        <f>Table1[[#This Row],[balls scored high]]+Table1[[#This Row],[Auton Scored High]]</f>
        <v>0</v>
      </c>
      <c r="AR322" s="20">
        <f>Table1[[#This Row],[balls scored low]]+Table1[[#This Row],[Auton Scored Low]]</f>
        <v>0</v>
      </c>
      <c r="AS322" s="50">
        <f>IF(Table1[[#This Row],[Control Panel Spun Time]]&gt;0,1,0)</f>
        <v>0</v>
      </c>
      <c r="AT322" s="20">
        <f>IF(Table1[[#This Row],[Control Panel Color Time]]&gt;0,1,0)</f>
        <v>0</v>
      </c>
    </row>
    <row r="323" spans="1:46" s="2" customFormat="1" x14ac:dyDescent="0.25">
      <c r="A323"/>
      <c r="B323"/>
      <c r="C323"/>
      <c r="D323"/>
      <c r="E323"/>
      <c r="F323"/>
      <c r="G323"/>
      <c r="H323"/>
      <c r="I323" s="8">
        <f>+Table1[[#This Row],[Auton ball picked up in our trench]]+Table1[[#This Row],[Auton Balls Picked Up in Mid]]+Table1[[#This Row],[Auton Balls Picked Up In Their Trench]]</f>
        <v>0</v>
      </c>
      <c r="J323" s="8">
        <f>+Table1[[#This Row],[Auton Scored High]]+Table1[[#This Row],[Auton Scored Low]]</f>
        <v>0</v>
      </c>
      <c r="K32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23"/>
      <c r="M323"/>
      <c r="N323"/>
      <c r="O323"/>
      <c r="P323"/>
      <c r="Q323"/>
      <c r="R323"/>
      <c r="S323"/>
      <c r="T323"/>
      <c r="U323"/>
      <c r="V323" s="8">
        <f>Table1[[#This Row],[Balls Scored From Trench]]+Table1[[#This Row],[Balls Scored from Mid]]+Table1[[#This Row],[Balls Scored From Alliance zone]]</f>
        <v>0</v>
      </c>
      <c r="W323" s="8">
        <f>Table1[[#This Row],[balls scored high]]+Table1[[#This Row],[balls scored low]]</f>
        <v>0</v>
      </c>
      <c r="X323" s="8">
        <f>Table1[[#This Row],[Control Panel Spun Time]]+Table1[[#This Row],[Control Panel Color Time]]</f>
        <v>0</v>
      </c>
      <c r="Y323" s="8">
        <f>Table1[[#This Row],[Control Panels Spun]]+Table1[[#This Row],[Control Panel Color]]</f>
        <v>0</v>
      </c>
      <c r="Z32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23"/>
      <c r="AB323"/>
      <c r="AC323"/>
      <c r="AD323"/>
      <c r="AE323"/>
      <c r="AF323"/>
      <c r="AG323"/>
      <c r="AH323"/>
      <c r="AI323"/>
      <c r="AJ323"/>
      <c r="AK323" s="17">
        <f>(Table1[[#This Row],[Climbed]]*weighting!$B$18)+(Table1[[#This Row],[Adjustable Climber]]*weighting!$B$19)+(Table1[[#This Row],[Lift other Robot]]*weighting!$B$20)+(Table1[[#This Row],[Balanced]]*weighting!$B$21)</f>
        <v>0</v>
      </c>
      <c r="AL323" s="8">
        <f>+Table1[[#This Row],[Endgame our score]]+Table1[[#This Row],[teleop our score]]+Table1[[#This Row],[auton our score]]</f>
        <v>0</v>
      </c>
      <c r="AM323" s="20">
        <f t="shared" si="15"/>
        <v>0</v>
      </c>
      <c r="AN323" s="20">
        <f t="shared" si="16"/>
        <v>0</v>
      </c>
      <c r="AO323" s="20">
        <f t="shared" si="17"/>
        <v>0</v>
      </c>
      <c r="AP323" s="20">
        <f>Table1[[#This Row],[balls scored]]+Table1[[#This Row],[auton balls scored]]</f>
        <v>0</v>
      </c>
      <c r="AQ323" s="20">
        <f>Table1[[#This Row],[balls scored high]]+Table1[[#This Row],[Auton Scored High]]</f>
        <v>0</v>
      </c>
      <c r="AR323" s="20">
        <f>Table1[[#This Row],[balls scored low]]+Table1[[#This Row],[Auton Scored Low]]</f>
        <v>0</v>
      </c>
      <c r="AS323" s="50">
        <f>IF(Table1[[#This Row],[Control Panel Spun Time]]&gt;0,1,0)</f>
        <v>0</v>
      </c>
      <c r="AT323" s="20">
        <f>IF(Table1[[#This Row],[Control Panel Color Time]]&gt;0,1,0)</f>
        <v>0</v>
      </c>
    </row>
    <row r="324" spans="1:46" x14ac:dyDescent="0.25">
      <c r="A324"/>
      <c r="I324" s="8">
        <f>+Table1[[#This Row],[Auton ball picked up in our trench]]+Table1[[#This Row],[Auton Balls Picked Up in Mid]]+Table1[[#This Row],[Auton Balls Picked Up In Their Trench]]</f>
        <v>0</v>
      </c>
      <c r="J324" s="8">
        <f>+Table1[[#This Row],[Auton Scored High]]+Table1[[#This Row],[Auton Scored Low]]</f>
        <v>0</v>
      </c>
      <c r="K32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24" s="8">
        <f>Table1[[#This Row],[Balls Scored From Trench]]+Table1[[#This Row],[Balls Scored from Mid]]+Table1[[#This Row],[Balls Scored From Alliance zone]]</f>
        <v>0</v>
      </c>
      <c r="W324" s="8">
        <f>Table1[[#This Row],[balls scored high]]+Table1[[#This Row],[balls scored low]]</f>
        <v>0</v>
      </c>
      <c r="X324" s="8">
        <f>Table1[[#This Row],[Control Panel Spun Time]]+Table1[[#This Row],[Control Panel Color Time]]</f>
        <v>0</v>
      </c>
      <c r="Y324" s="8">
        <f>Table1[[#This Row],[Control Panels Spun]]+Table1[[#This Row],[Control Panel Color]]</f>
        <v>0</v>
      </c>
      <c r="Z32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24" s="17">
        <f>(Table1[[#This Row],[Climbed]]*weighting!$B$18)+(Table1[[#This Row],[Adjustable Climber]]*weighting!$B$19)+(Table1[[#This Row],[Lift other Robot]]*weighting!$B$20)+(Table1[[#This Row],[Balanced]]*weighting!$B$21)</f>
        <v>0</v>
      </c>
      <c r="AL324" s="8">
        <f>+Table1[[#This Row],[Endgame our score]]+Table1[[#This Row],[teleop our score]]+Table1[[#This Row],[auton our score]]</f>
        <v>0</v>
      </c>
      <c r="AM324" s="20">
        <f t="shared" si="15"/>
        <v>0</v>
      </c>
      <c r="AN324" s="20">
        <f t="shared" si="16"/>
        <v>0</v>
      </c>
      <c r="AO324" s="20">
        <f t="shared" si="17"/>
        <v>0</v>
      </c>
      <c r="AP324" s="20">
        <f>Table1[[#This Row],[balls scored]]+Table1[[#This Row],[auton balls scored]]</f>
        <v>0</v>
      </c>
      <c r="AQ324" s="20">
        <f>Table1[[#This Row],[balls scored high]]+Table1[[#This Row],[Auton Scored High]]</f>
        <v>0</v>
      </c>
      <c r="AR324" s="20">
        <f>Table1[[#This Row],[balls scored low]]+Table1[[#This Row],[Auton Scored Low]]</f>
        <v>0</v>
      </c>
      <c r="AS324" s="50">
        <f>IF(Table1[[#This Row],[Control Panel Spun Time]]&gt;0,1,0)</f>
        <v>0</v>
      </c>
      <c r="AT324" s="20">
        <f>IF(Table1[[#This Row],[Control Panel Color Time]]&gt;0,1,0)</f>
        <v>0</v>
      </c>
    </row>
    <row r="325" spans="1:46" s="2" customFormat="1" x14ac:dyDescent="0.25">
      <c r="A325"/>
      <c r="B325"/>
      <c r="C325"/>
      <c r="D325"/>
      <c r="E325"/>
      <c r="F325"/>
      <c r="G325"/>
      <c r="H325"/>
      <c r="I325" s="8">
        <f>+Table1[[#This Row],[Auton ball picked up in our trench]]+Table1[[#This Row],[Auton Balls Picked Up in Mid]]+Table1[[#This Row],[Auton Balls Picked Up In Their Trench]]</f>
        <v>0</v>
      </c>
      <c r="J325" s="8">
        <f>+Table1[[#This Row],[Auton Scored High]]+Table1[[#This Row],[Auton Scored Low]]</f>
        <v>0</v>
      </c>
      <c r="K32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25"/>
      <c r="M325"/>
      <c r="N325"/>
      <c r="O325"/>
      <c r="P325"/>
      <c r="Q325"/>
      <c r="R325"/>
      <c r="S325"/>
      <c r="T325"/>
      <c r="U325"/>
      <c r="V325" s="8">
        <f>Table1[[#This Row],[Balls Scored From Trench]]+Table1[[#This Row],[Balls Scored from Mid]]+Table1[[#This Row],[Balls Scored From Alliance zone]]</f>
        <v>0</v>
      </c>
      <c r="W325" s="8">
        <f>Table1[[#This Row],[balls scored high]]+Table1[[#This Row],[balls scored low]]</f>
        <v>0</v>
      </c>
      <c r="X325" s="8">
        <f>Table1[[#This Row],[Control Panel Spun Time]]+Table1[[#This Row],[Control Panel Color Time]]</f>
        <v>0</v>
      </c>
      <c r="Y325" s="8">
        <f>Table1[[#This Row],[Control Panels Spun]]+Table1[[#This Row],[Control Panel Color]]</f>
        <v>0</v>
      </c>
      <c r="Z32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25"/>
      <c r="AB325"/>
      <c r="AC325"/>
      <c r="AD325"/>
      <c r="AE325"/>
      <c r="AF325"/>
      <c r="AG325"/>
      <c r="AH325"/>
      <c r="AI325"/>
      <c r="AJ325"/>
      <c r="AK325" s="17">
        <f>(Table1[[#This Row],[Climbed]]*weighting!$B$18)+(Table1[[#This Row],[Adjustable Climber]]*weighting!$B$19)+(Table1[[#This Row],[Lift other Robot]]*weighting!$B$20)+(Table1[[#This Row],[Balanced]]*weighting!$B$21)</f>
        <v>0</v>
      </c>
      <c r="AL325" s="8">
        <f>+Table1[[#This Row],[Endgame our score]]+Table1[[#This Row],[teleop our score]]+Table1[[#This Row],[auton our score]]</f>
        <v>0</v>
      </c>
      <c r="AM325" s="20">
        <f t="shared" si="15"/>
        <v>0</v>
      </c>
      <c r="AN325" s="20">
        <f t="shared" si="16"/>
        <v>0</v>
      </c>
      <c r="AO325" s="20">
        <f t="shared" si="17"/>
        <v>0</v>
      </c>
      <c r="AP325" s="20">
        <f>Table1[[#This Row],[balls scored]]+Table1[[#This Row],[auton balls scored]]</f>
        <v>0</v>
      </c>
      <c r="AQ325" s="20">
        <f>Table1[[#This Row],[balls scored high]]+Table1[[#This Row],[Auton Scored High]]</f>
        <v>0</v>
      </c>
      <c r="AR325" s="20">
        <f>Table1[[#This Row],[balls scored low]]+Table1[[#This Row],[Auton Scored Low]]</f>
        <v>0</v>
      </c>
      <c r="AS325" s="50">
        <f>IF(Table1[[#This Row],[Control Panel Spun Time]]&gt;0,1,0)</f>
        <v>0</v>
      </c>
      <c r="AT325" s="20">
        <f>IF(Table1[[#This Row],[Control Panel Color Time]]&gt;0,1,0)</f>
        <v>0</v>
      </c>
    </row>
    <row r="326" spans="1:46" x14ac:dyDescent="0.25">
      <c r="A326"/>
      <c r="I326" s="8">
        <f>+Table1[[#This Row],[Auton ball picked up in our trench]]+Table1[[#This Row],[Auton Balls Picked Up in Mid]]+Table1[[#This Row],[Auton Balls Picked Up In Their Trench]]</f>
        <v>0</v>
      </c>
      <c r="J326" s="8">
        <f>+Table1[[#This Row],[Auton Scored High]]+Table1[[#This Row],[Auton Scored Low]]</f>
        <v>0</v>
      </c>
      <c r="K32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26" s="8">
        <f>Table1[[#This Row],[Balls Scored From Trench]]+Table1[[#This Row],[Balls Scored from Mid]]+Table1[[#This Row],[Balls Scored From Alliance zone]]</f>
        <v>0</v>
      </c>
      <c r="W326" s="8">
        <f>Table1[[#This Row],[balls scored high]]+Table1[[#This Row],[balls scored low]]</f>
        <v>0</v>
      </c>
      <c r="X326" s="8">
        <f>Table1[[#This Row],[Control Panel Spun Time]]+Table1[[#This Row],[Control Panel Color Time]]</f>
        <v>0</v>
      </c>
      <c r="Y326" s="8">
        <f>Table1[[#This Row],[Control Panels Spun]]+Table1[[#This Row],[Control Panel Color]]</f>
        <v>0</v>
      </c>
      <c r="Z32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26" s="17">
        <f>(Table1[[#This Row],[Climbed]]*weighting!$B$18)+(Table1[[#This Row],[Adjustable Climber]]*weighting!$B$19)+(Table1[[#This Row],[Lift other Robot]]*weighting!$B$20)+(Table1[[#This Row],[Balanced]]*weighting!$B$21)</f>
        <v>0</v>
      </c>
      <c r="AL326" s="8">
        <f>+Table1[[#This Row],[Endgame our score]]+Table1[[#This Row],[teleop our score]]+Table1[[#This Row],[auton our score]]</f>
        <v>0</v>
      </c>
      <c r="AM326" s="20">
        <f t="shared" si="15"/>
        <v>0</v>
      </c>
      <c r="AN326" s="20">
        <f t="shared" si="16"/>
        <v>0</v>
      </c>
      <c r="AO326" s="20">
        <f t="shared" si="17"/>
        <v>0</v>
      </c>
      <c r="AP326" s="20">
        <f>Table1[[#This Row],[balls scored]]+Table1[[#This Row],[auton balls scored]]</f>
        <v>0</v>
      </c>
      <c r="AQ326" s="20">
        <f>Table1[[#This Row],[balls scored high]]+Table1[[#This Row],[Auton Scored High]]</f>
        <v>0</v>
      </c>
      <c r="AR326" s="20">
        <f>Table1[[#This Row],[balls scored low]]+Table1[[#This Row],[Auton Scored Low]]</f>
        <v>0</v>
      </c>
      <c r="AS326" s="50">
        <f>IF(Table1[[#This Row],[Control Panel Spun Time]]&gt;0,1,0)</f>
        <v>0</v>
      </c>
      <c r="AT326" s="20">
        <f>IF(Table1[[#This Row],[Control Panel Color Time]]&gt;0,1,0)</f>
        <v>0</v>
      </c>
    </row>
    <row r="327" spans="1:46" s="2" customFormat="1" x14ac:dyDescent="0.25">
      <c r="A327"/>
      <c r="B327"/>
      <c r="C327"/>
      <c r="D327"/>
      <c r="E327"/>
      <c r="F327"/>
      <c r="G327"/>
      <c r="H327"/>
      <c r="I327" s="8">
        <f>+Table1[[#This Row],[Auton ball picked up in our trench]]+Table1[[#This Row],[Auton Balls Picked Up in Mid]]+Table1[[#This Row],[Auton Balls Picked Up In Their Trench]]</f>
        <v>0</v>
      </c>
      <c r="J327" s="8">
        <f>+Table1[[#This Row],[Auton Scored High]]+Table1[[#This Row],[Auton Scored Low]]</f>
        <v>0</v>
      </c>
      <c r="K32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27"/>
      <c r="M327"/>
      <c r="N327"/>
      <c r="O327"/>
      <c r="P327"/>
      <c r="Q327"/>
      <c r="R327"/>
      <c r="S327"/>
      <c r="T327"/>
      <c r="U327"/>
      <c r="V327" s="8">
        <f>Table1[[#This Row],[Balls Scored From Trench]]+Table1[[#This Row],[Balls Scored from Mid]]+Table1[[#This Row],[Balls Scored From Alliance zone]]</f>
        <v>0</v>
      </c>
      <c r="W327" s="8">
        <f>Table1[[#This Row],[balls scored high]]+Table1[[#This Row],[balls scored low]]</f>
        <v>0</v>
      </c>
      <c r="X327" s="8">
        <f>Table1[[#This Row],[Control Panel Spun Time]]+Table1[[#This Row],[Control Panel Color Time]]</f>
        <v>0</v>
      </c>
      <c r="Y327" s="8">
        <f>Table1[[#This Row],[Control Panels Spun]]+Table1[[#This Row],[Control Panel Color]]</f>
        <v>0</v>
      </c>
      <c r="Z32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27"/>
      <c r="AB327"/>
      <c r="AC327"/>
      <c r="AD327"/>
      <c r="AE327"/>
      <c r="AF327"/>
      <c r="AG327"/>
      <c r="AH327"/>
      <c r="AI327"/>
      <c r="AJ327"/>
      <c r="AK327" s="17">
        <f>(Table1[[#This Row],[Climbed]]*weighting!$B$18)+(Table1[[#This Row],[Adjustable Climber]]*weighting!$B$19)+(Table1[[#This Row],[Lift other Robot]]*weighting!$B$20)+(Table1[[#This Row],[Balanced]]*weighting!$B$21)</f>
        <v>0</v>
      </c>
      <c r="AL327" s="8">
        <f>+Table1[[#This Row],[Endgame our score]]+Table1[[#This Row],[teleop our score]]+Table1[[#This Row],[auton our score]]</f>
        <v>0</v>
      </c>
      <c r="AM327" s="20">
        <f t="shared" si="15"/>
        <v>0</v>
      </c>
      <c r="AN327" s="20">
        <f t="shared" si="16"/>
        <v>0</v>
      </c>
      <c r="AO327" s="20">
        <f t="shared" si="17"/>
        <v>0</v>
      </c>
      <c r="AP327" s="20">
        <f>Table1[[#This Row],[balls scored]]+Table1[[#This Row],[auton balls scored]]</f>
        <v>0</v>
      </c>
      <c r="AQ327" s="20">
        <f>Table1[[#This Row],[balls scored high]]+Table1[[#This Row],[Auton Scored High]]</f>
        <v>0</v>
      </c>
      <c r="AR327" s="20">
        <f>Table1[[#This Row],[balls scored low]]+Table1[[#This Row],[Auton Scored Low]]</f>
        <v>0</v>
      </c>
      <c r="AS327" s="50">
        <f>IF(Table1[[#This Row],[Control Panel Spun Time]]&gt;0,1,0)</f>
        <v>0</v>
      </c>
      <c r="AT327" s="20">
        <f>IF(Table1[[#This Row],[Control Panel Color Time]]&gt;0,1,0)</f>
        <v>0</v>
      </c>
    </row>
    <row r="328" spans="1:46" x14ac:dyDescent="0.25">
      <c r="A328"/>
      <c r="I328" s="8">
        <f>+Table1[[#This Row],[Auton ball picked up in our trench]]+Table1[[#This Row],[Auton Balls Picked Up in Mid]]+Table1[[#This Row],[Auton Balls Picked Up In Their Trench]]</f>
        <v>0</v>
      </c>
      <c r="J328" s="8">
        <f>+Table1[[#This Row],[Auton Scored High]]+Table1[[#This Row],[Auton Scored Low]]</f>
        <v>0</v>
      </c>
      <c r="K32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28" s="8">
        <f>Table1[[#This Row],[Balls Scored From Trench]]+Table1[[#This Row],[Balls Scored from Mid]]+Table1[[#This Row],[Balls Scored From Alliance zone]]</f>
        <v>0</v>
      </c>
      <c r="W328" s="8">
        <f>Table1[[#This Row],[balls scored high]]+Table1[[#This Row],[balls scored low]]</f>
        <v>0</v>
      </c>
      <c r="X328" s="8">
        <f>Table1[[#This Row],[Control Panel Spun Time]]+Table1[[#This Row],[Control Panel Color Time]]</f>
        <v>0</v>
      </c>
      <c r="Y328" s="8">
        <f>Table1[[#This Row],[Control Panels Spun]]+Table1[[#This Row],[Control Panel Color]]</f>
        <v>0</v>
      </c>
      <c r="Z32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28" s="17">
        <f>(Table1[[#This Row],[Climbed]]*weighting!$B$18)+(Table1[[#This Row],[Adjustable Climber]]*weighting!$B$19)+(Table1[[#This Row],[Lift other Robot]]*weighting!$B$20)+(Table1[[#This Row],[Balanced]]*weighting!$B$21)</f>
        <v>0</v>
      </c>
      <c r="AL328" s="8">
        <f>+Table1[[#This Row],[Endgame our score]]+Table1[[#This Row],[teleop our score]]+Table1[[#This Row],[auton our score]]</f>
        <v>0</v>
      </c>
      <c r="AM328" s="20">
        <f t="shared" si="15"/>
        <v>0</v>
      </c>
      <c r="AN328" s="20">
        <f t="shared" si="16"/>
        <v>0</v>
      </c>
      <c r="AO328" s="20">
        <f t="shared" si="17"/>
        <v>0</v>
      </c>
      <c r="AP328" s="20">
        <f>Table1[[#This Row],[balls scored]]+Table1[[#This Row],[auton balls scored]]</f>
        <v>0</v>
      </c>
      <c r="AQ328" s="20">
        <f>Table1[[#This Row],[balls scored high]]+Table1[[#This Row],[Auton Scored High]]</f>
        <v>0</v>
      </c>
      <c r="AR328" s="20">
        <f>Table1[[#This Row],[balls scored low]]+Table1[[#This Row],[Auton Scored Low]]</f>
        <v>0</v>
      </c>
      <c r="AS328" s="50">
        <f>IF(Table1[[#This Row],[Control Panel Spun Time]]&gt;0,1,0)</f>
        <v>0</v>
      </c>
      <c r="AT328" s="20">
        <f>IF(Table1[[#This Row],[Control Panel Color Time]]&gt;0,1,0)</f>
        <v>0</v>
      </c>
    </row>
    <row r="329" spans="1:46" s="2" customFormat="1" x14ac:dyDescent="0.25">
      <c r="A329"/>
      <c r="B329"/>
      <c r="C329"/>
      <c r="D329"/>
      <c r="E329"/>
      <c r="F329"/>
      <c r="G329"/>
      <c r="H329"/>
      <c r="I329" s="8">
        <f>+Table1[[#This Row],[Auton ball picked up in our trench]]+Table1[[#This Row],[Auton Balls Picked Up in Mid]]+Table1[[#This Row],[Auton Balls Picked Up In Their Trench]]</f>
        <v>0</v>
      </c>
      <c r="J329" s="8">
        <f>+Table1[[#This Row],[Auton Scored High]]+Table1[[#This Row],[Auton Scored Low]]</f>
        <v>0</v>
      </c>
      <c r="K32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29"/>
      <c r="M329"/>
      <c r="N329"/>
      <c r="O329"/>
      <c r="P329"/>
      <c r="Q329"/>
      <c r="R329"/>
      <c r="S329"/>
      <c r="T329"/>
      <c r="U329"/>
      <c r="V329" s="8">
        <f>Table1[[#This Row],[Balls Scored From Trench]]+Table1[[#This Row],[Balls Scored from Mid]]+Table1[[#This Row],[Balls Scored From Alliance zone]]</f>
        <v>0</v>
      </c>
      <c r="W329" s="8">
        <f>Table1[[#This Row],[balls scored high]]+Table1[[#This Row],[balls scored low]]</f>
        <v>0</v>
      </c>
      <c r="X329" s="8">
        <f>Table1[[#This Row],[Control Panel Spun Time]]+Table1[[#This Row],[Control Panel Color Time]]</f>
        <v>0</v>
      </c>
      <c r="Y329" s="8">
        <f>Table1[[#This Row],[Control Panels Spun]]+Table1[[#This Row],[Control Panel Color]]</f>
        <v>0</v>
      </c>
      <c r="Z32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29"/>
      <c r="AB329"/>
      <c r="AC329"/>
      <c r="AD329"/>
      <c r="AE329"/>
      <c r="AF329"/>
      <c r="AG329"/>
      <c r="AH329"/>
      <c r="AI329"/>
      <c r="AJ329"/>
      <c r="AK329" s="17">
        <f>(Table1[[#This Row],[Climbed]]*weighting!$B$18)+(Table1[[#This Row],[Adjustable Climber]]*weighting!$B$19)+(Table1[[#This Row],[Lift other Robot]]*weighting!$B$20)+(Table1[[#This Row],[Balanced]]*weighting!$B$21)</f>
        <v>0</v>
      </c>
      <c r="AL329" s="8">
        <f>+Table1[[#This Row],[Endgame our score]]+Table1[[#This Row],[teleop our score]]+Table1[[#This Row],[auton our score]]</f>
        <v>0</v>
      </c>
      <c r="AM329" s="20">
        <f t="shared" si="15"/>
        <v>0</v>
      </c>
      <c r="AN329" s="20">
        <f t="shared" si="16"/>
        <v>0</v>
      </c>
      <c r="AO329" s="20">
        <f t="shared" si="17"/>
        <v>0</v>
      </c>
      <c r="AP329" s="20">
        <f>Table1[[#This Row],[balls scored]]+Table1[[#This Row],[auton balls scored]]</f>
        <v>0</v>
      </c>
      <c r="AQ329" s="20">
        <f>Table1[[#This Row],[balls scored high]]+Table1[[#This Row],[Auton Scored High]]</f>
        <v>0</v>
      </c>
      <c r="AR329" s="20">
        <f>Table1[[#This Row],[balls scored low]]+Table1[[#This Row],[Auton Scored Low]]</f>
        <v>0</v>
      </c>
      <c r="AS329" s="50">
        <f>IF(Table1[[#This Row],[Control Panel Spun Time]]&gt;0,1,0)</f>
        <v>0</v>
      </c>
      <c r="AT329" s="20">
        <f>IF(Table1[[#This Row],[Control Panel Color Time]]&gt;0,1,0)</f>
        <v>0</v>
      </c>
    </row>
    <row r="330" spans="1:46" x14ac:dyDescent="0.25">
      <c r="A330"/>
      <c r="I330" s="8">
        <f>+Table1[[#This Row],[Auton ball picked up in our trench]]+Table1[[#This Row],[Auton Balls Picked Up in Mid]]+Table1[[#This Row],[Auton Balls Picked Up In Their Trench]]</f>
        <v>0</v>
      </c>
      <c r="J330" s="8">
        <f>+Table1[[#This Row],[Auton Scored High]]+Table1[[#This Row],[Auton Scored Low]]</f>
        <v>0</v>
      </c>
      <c r="K33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30" s="8">
        <f>Table1[[#This Row],[Balls Scored From Trench]]+Table1[[#This Row],[Balls Scored from Mid]]+Table1[[#This Row],[Balls Scored From Alliance zone]]</f>
        <v>0</v>
      </c>
      <c r="W330" s="8">
        <f>Table1[[#This Row],[balls scored high]]+Table1[[#This Row],[balls scored low]]</f>
        <v>0</v>
      </c>
      <c r="X330" s="8">
        <f>Table1[[#This Row],[Control Panel Spun Time]]+Table1[[#This Row],[Control Panel Color Time]]</f>
        <v>0</v>
      </c>
      <c r="Y330" s="8">
        <f>Table1[[#This Row],[Control Panels Spun]]+Table1[[#This Row],[Control Panel Color]]</f>
        <v>0</v>
      </c>
      <c r="Z33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30" s="17">
        <f>(Table1[[#This Row],[Climbed]]*weighting!$B$18)+(Table1[[#This Row],[Adjustable Climber]]*weighting!$B$19)+(Table1[[#This Row],[Lift other Robot]]*weighting!$B$20)+(Table1[[#This Row],[Balanced]]*weighting!$B$21)</f>
        <v>0</v>
      </c>
      <c r="AL330" s="8">
        <f>+Table1[[#This Row],[Endgame our score]]+Table1[[#This Row],[teleop our score]]+Table1[[#This Row],[auton our score]]</f>
        <v>0</v>
      </c>
      <c r="AM330" s="20">
        <f t="shared" si="15"/>
        <v>0</v>
      </c>
      <c r="AN330" s="20">
        <f t="shared" si="16"/>
        <v>0</v>
      </c>
      <c r="AO330" s="20">
        <f t="shared" si="17"/>
        <v>0</v>
      </c>
      <c r="AP330" s="20">
        <f>Table1[[#This Row],[balls scored]]+Table1[[#This Row],[auton balls scored]]</f>
        <v>0</v>
      </c>
      <c r="AQ330" s="20">
        <f>Table1[[#This Row],[balls scored high]]+Table1[[#This Row],[Auton Scored High]]</f>
        <v>0</v>
      </c>
      <c r="AR330" s="20">
        <f>Table1[[#This Row],[balls scored low]]+Table1[[#This Row],[Auton Scored Low]]</f>
        <v>0</v>
      </c>
      <c r="AS330" s="50">
        <f>IF(Table1[[#This Row],[Control Panel Spun Time]]&gt;0,1,0)</f>
        <v>0</v>
      </c>
      <c r="AT330" s="20">
        <f>IF(Table1[[#This Row],[Control Panel Color Time]]&gt;0,1,0)</f>
        <v>0</v>
      </c>
    </row>
    <row r="331" spans="1:46" s="2" customFormat="1" x14ac:dyDescent="0.25">
      <c r="A331"/>
      <c r="B331"/>
      <c r="C331"/>
      <c r="D331"/>
      <c r="E331"/>
      <c r="F331"/>
      <c r="G331"/>
      <c r="H331"/>
      <c r="I331" s="8">
        <f>+Table1[[#This Row],[Auton ball picked up in our trench]]+Table1[[#This Row],[Auton Balls Picked Up in Mid]]+Table1[[#This Row],[Auton Balls Picked Up In Their Trench]]</f>
        <v>0</v>
      </c>
      <c r="J331" s="8">
        <f>+Table1[[#This Row],[Auton Scored High]]+Table1[[#This Row],[Auton Scored Low]]</f>
        <v>0</v>
      </c>
      <c r="K33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31"/>
      <c r="M331"/>
      <c r="N331"/>
      <c r="O331"/>
      <c r="P331"/>
      <c r="Q331"/>
      <c r="R331"/>
      <c r="S331"/>
      <c r="T331"/>
      <c r="U331"/>
      <c r="V331" s="8">
        <f>Table1[[#This Row],[Balls Scored From Trench]]+Table1[[#This Row],[Balls Scored from Mid]]+Table1[[#This Row],[Balls Scored From Alliance zone]]</f>
        <v>0</v>
      </c>
      <c r="W331" s="8">
        <f>Table1[[#This Row],[balls scored high]]+Table1[[#This Row],[balls scored low]]</f>
        <v>0</v>
      </c>
      <c r="X331" s="8">
        <f>Table1[[#This Row],[Control Panel Spun Time]]+Table1[[#This Row],[Control Panel Color Time]]</f>
        <v>0</v>
      </c>
      <c r="Y331" s="8">
        <f>Table1[[#This Row],[Control Panels Spun]]+Table1[[#This Row],[Control Panel Color]]</f>
        <v>0</v>
      </c>
      <c r="Z33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31"/>
      <c r="AB331"/>
      <c r="AC331"/>
      <c r="AD331"/>
      <c r="AE331"/>
      <c r="AF331"/>
      <c r="AG331"/>
      <c r="AH331"/>
      <c r="AI331"/>
      <c r="AJ331"/>
      <c r="AK331" s="17">
        <f>(Table1[[#This Row],[Climbed]]*weighting!$B$18)+(Table1[[#This Row],[Adjustable Climber]]*weighting!$B$19)+(Table1[[#This Row],[Lift other Robot]]*weighting!$B$20)+(Table1[[#This Row],[Balanced]]*weighting!$B$21)</f>
        <v>0</v>
      </c>
      <c r="AL331" s="8">
        <f>+Table1[[#This Row],[Endgame our score]]+Table1[[#This Row],[teleop our score]]+Table1[[#This Row],[auton our score]]</f>
        <v>0</v>
      </c>
      <c r="AM331" s="20">
        <f t="shared" si="15"/>
        <v>0</v>
      </c>
      <c r="AN331" s="20">
        <f t="shared" si="16"/>
        <v>0</v>
      </c>
      <c r="AO331" s="20">
        <f t="shared" si="17"/>
        <v>0</v>
      </c>
      <c r="AP331" s="20">
        <f>Table1[[#This Row],[balls scored]]+Table1[[#This Row],[auton balls scored]]</f>
        <v>0</v>
      </c>
      <c r="AQ331" s="20">
        <f>Table1[[#This Row],[balls scored high]]+Table1[[#This Row],[Auton Scored High]]</f>
        <v>0</v>
      </c>
      <c r="AR331" s="20">
        <f>Table1[[#This Row],[balls scored low]]+Table1[[#This Row],[Auton Scored Low]]</f>
        <v>0</v>
      </c>
      <c r="AS331" s="50">
        <f>IF(Table1[[#This Row],[Control Panel Spun Time]]&gt;0,1,0)</f>
        <v>0</v>
      </c>
      <c r="AT331" s="20">
        <f>IF(Table1[[#This Row],[Control Panel Color Time]]&gt;0,1,0)</f>
        <v>0</v>
      </c>
    </row>
    <row r="332" spans="1:46" x14ac:dyDescent="0.25">
      <c r="A332"/>
      <c r="I332" s="8">
        <f>+Table1[[#This Row],[Auton ball picked up in our trench]]+Table1[[#This Row],[Auton Balls Picked Up in Mid]]+Table1[[#This Row],[Auton Balls Picked Up In Their Trench]]</f>
        <v>0</v>
      </c>
      <c r="J332" s="8">
        <f>+Table1[[#This Row],[Auton Scored High]]+Table1[[#This Row],[Auton Scored Low]]</f>
        <v>0</v>
      </c>
      <c r="K33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32" s="8">
        <f>Table1[[#This Row],[Balls Scored From Trench]]+Table1[[#This Row],[Balls Scored from Mid]]+Table1[[#This Row],[Balls Scored From Alliance zone]]</f>
        <v>0</v>
      </c>
      <c r="W332" s="8">
        <f>Table1[[#This Row],[balls scored high]]+Table1[[#This Row],[balls scored low]]</f>
        <v>0</v>
      </c>
      <c r="X332" s="8">
        <f>Table1[[#This Row],[Control Panel Spun Time]]+Table1[[#This Row],[Control Panel Color Time]]</f>
        <v>0</v>
      </c>
      <c r="Y332" s="8">
        <f>Table1[[#This Row],[Control Panels Spun]]+Table1[[#This Row],[Control Panel Color]]</f>
        <v>0</v>
      </c>
      <c r="Z33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32" s="17">
        <f>(Table1[[#This Row],[Climbed]]*weighting!$B$18)+(Table1[[#This Row],[Adjustable Climber]]*weighting!$B$19)+(Table1[[#This Row],[Lift other Robot]]*weighting!$B$20)+(Table1[[#This Row],[Balanced]]*weighting!$B$21)</f>
        <v>0</v>
      </c>
      <c r="AL332" s="8">
        <f>+Table1[[#This Row],[Endgame our score]]+Table1[[#This Row],[teleop our score]]+Table1[[#This Row],[auton our score]]</f>
        <v>0</v>
      </c>
      <c r="AM332" s="20">
        <f t="shared" si="15"/>
        <v>0</v>
      </c>
      <c r="AN332" s="20">
        <f t="shared" si="16"/>
        <v>0</v>
      </c>
      <c r="AO332" s="20">
        <f t="shared" si="17"/>
        <v>0</v>
      </c>
      <c r="AP332" s="20">
        <f>Table1[[#This Row],[balls scored]]+Table1[[#This Row],[auton balls scored]]</f>
        <v>0</v>
      </c>
      <c r="AQ332" s="20">
        <f>Table1[[#This Row],[balls scored high]]+Table1[[#This Row],[Auton Scored High]]</f>
        <v>0</v>
      </c>
      <c r="AR332" s="20">
        <f>Table1[[#This Row],[balls scored low]]+Table1[[#This Row],[Auton Scored Low]]</f>
        <v>0</v>
      </c>
      <c r="AS332" s="50">
        <f>IF(Table1[[#This Row],[Control Panel Spun Time]]&gt;0,1,0)</f>
        <v>0</v>
      </c>
      <c r="AT332" s="20">
        <f>IF(Table1[[#This Row],[Control Panel Color Time]]&gt;0,1,0)</f>
        <v>0</v>
      </c>
    </row>
    <row r="333" spans="1:46" s="2" customFormat="1" x14ac:dyDescent="0.25">
      <c r="A333"/>
      <c r="B333"/>
      <c r="C333"/>
      <c r="D333"/>
      <c r="E333"/>
      <c r="F333"/>
      <c r="G333"/>
      <c r="H333"/>
      <c r="I333" s="8">
        <f>+Table1[[#This Row],[Auton ball picked up in our trench]]+Table1[[#This Row],[Auton Balls Picked Up in Mid]]+Table1[[#This Row],[Auton Balls Picked Up In Their Trench]]</f>
        <v>0</v>
      </c>
      <c r="J333" s="8">
        <f>+Table1[[#This Row],[Auton Scored High]]+Table1[[#This Row],[Auton Scored Low]]</f>
        <v>0</v>
      </c>
      <c r="K33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33"/>
      <c r="M333"/>
      <c r="N333"/>
      <c r="O333"/>
      <c r="P333"/>
      <c r="Q333"/>
      <c r="R333"/>
      <c r="S333"/>
      <c r="T333"/>
      <c r="U333"/>
      <c r="V333" s="8">
        <f>Table1[[#This Row],[Balls Scored From Trench]]+Table1[[#This Row],[Balls Scored from Mid]]+Table1[[#This Row],[Balls Scored From Alliance zone]]</f>
        <v>0</v>
      </c>
      <c r="W333" s="8">
        <f>Table1[[#This Row],[balls scored high]]+Table1[[#This Row],[balls scored low]]</f>
        <v>0</v>
      </c>
      <c r="X333" s="8">
        <f>Table1[[#This Row],[Control Panel Spun Time]]+Table1[[#This Row],[Control Panel Color Time]]</f>
        <v>0</v>
      </c>
      <c r="Y333" s="8">
        <f>Table1[[#This Row],[Control Panels Spun]]+Table1[[#This Row],[Control Panel Color]]</f>
        <v>0</v>
      </c>
      <c r="Z33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33"/>
      <c r="AB333"/>
      <c r="AC333"/>
      <c r="AD333"/>
      <c r="AE333"/>
      <c r="AF333"/>
      <c r="AG333"/>
      <c r="AH333"/>
      <c r="AI333"/>
      <c r="AJ333"/>
      <c r="AK333" s="17">
        <f>(Table1[[#This Row],[Climbed]]*weighting!$B$18)+(Table1[[#This Row],[Adjustable Climber]]*weighting!$B$19)+(Table1[[#This Row],[Lift other Robot]]*weighting!$B$20)+(Table1[[#This Row],[Balanced]]*weighting!$B$21)</f>
        <v>0</v>
      </c>
      <c r="AL333" s="8">
        <f>+Table1[[#This Row],[Endgame our score]]+Table1[[#This Row],[teleop our score]]+Table1[[#This Row],[auton our score]]</f>
        <v>0</v>
      </c>
      <c r="AM333" s="20">
        <f t="shared" si="15"/>
        <v>0</v>
      </c>
      <c r="AN333" s="20">
        <f t="shared" si="16"/>
        <v>0</v>
      </c>
      <c r="AO333" s="20">
        <f t="shared" si="17"/>
        <v>0</v>
      </c>
      <c r="AP333" s="20">
        <f>Table1[[#This Row],[balls scored]]+Table1[[#This Row],[auton balls scored]]</f>
        <v>0</v>
      </c>
      <c r="AQ333" s="20">
        <f>Table1[[#This Row],[balls scored high]]+Table1[[#This Row],[Auton Scored High]]</f>
        <v>0</v>
      </c>
      <c r="AR333" s="20">
        <f>Table1[[#This Row],[balls scored low]]+Table1[[#This Row],[Auton Scored Low]]</f>
        <v>0</v>
      </c>
      <c r="AS333" s="50">
        <f>IF(Table1[[#This Row],[Control Panel Spun Time]]&gt;0,1,0)</f>
        <v>0</v>
      </c>
      <c r="AT333" s="20">
        <f>IF(Table1[[#This Row],[Control Panel Color Time]]&gt;0,1,0)</f>
        <v>0</v>
      </c>
    </row>
    <row r="334" spans="1:46" x14ac:dyDescent="0.25">
      <c r="A334"/>
      <c r="I334" s="8">
        <f>+Table1[[#This Row],[Auton ball picked up in our trench]]+Table1[[#This Row],[Auton Balls Picked Up in Mid]]+Table1[[#This Row],[Auton Balls Picked Up In Their Trench]]</f>
        <v>0</v>
      </c>
      <c r="J334" s="8">
        <f>+Table1[[#This Row],[Auton Scored High]]+Table1[[#This Row],[Auton Scored Low]]</f>
        <v>0</v>
      </c>
      <c r="K33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34" s="8">
        <f>Table1[[#This Row],[Balls Scored From Trench]]+Table1[[#This Row],[Balls Scored from Mid]]+Table1[[#This Row],[Balls Scored From Alliance zone]]</f>
        <v>0</v>
      </c>
      <c r="W334" s="8">
        <f>Table1[[#This Row],[balls scored high]]+Table1[[#This Row],[balls scored low]]</f>
        <v>0</v>
      </c>
      <c r="X334" s="8">
        <f>Table1[[#This Row],[Control Panel Spun Time]]+Table1[[#This Row],[Control Panel Color Time]]</f>
        <v>0</v>
      </c>
      <c r="Y334" s="8">
        <f>Table1[[#This Row],[Control Panels Spun]]+Table1[[#This Row],[Control Panel Color]]</f>
        <v>0</v>
      </c>
      <c r="Z33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34" s="17">
        <f>(Table1[[#This Row],[Climbed]]*weighting!$B$18)+(Table1[[#This Row],[Adjustable Climber]]*weighting!$B$19)+(Table1[[#This Row],[Lift other Robot]]*weighting!$B$20)+(Table1[[#This Row],[Balanced]]*weighting!$B$21)</f>
        <v>0</v>
      </c>
      <c r="AL334" s="8">
        <f>+Table1[[#This Row],[Endgame our score]]+Table1[[#This Row],[teleop our score]]+Table1[[#This Row],[auton our score]]</f>
        <v>0</v>
      </c>
      <c r="AM334" s="20">
        <f t="shared" si="15"/>
        <v>0</v>
      </c>
      <c r="AN334" s="20">
        <f t="shared" si="16"/>
        <v>0</v>
      </c>
      <c r="AO334" s="20">
        <f t="shared" si="17"/>
        <v>0</v>
      </c>
      <c r="AP334" s="20">
        <f>Table1[[#This Row],[balls scored]]+Table1[[#This Row],[auton balls scored]]</f>
        <v>0</v>
      </c>
      <c r="AQ334" s="20">
        <f>Table1[[#This Row],[balls scored high]]+Table1[[#This Row],[Auton Scored High]]</f>
        <v>0</v>
      </c>
      <c r="AR334" s="20">
        <f>Table1[[#This Row],[balls scored low]]+Table1[[#This Row],[Auton Scored Low]]</f>
        <v>0</v>
      </c>
      <c r="AS334" s="50">
        <f>IF(Table1[[#This Row],[Control Panel Spun Time]]&gt;0,1,0)</f>
        <v>0</v>
      </c>
      <c r="AT334" s="20">
        <f>IF(Table1[[#This Row],[Control Panel Color Time]]&gt;0,1,0)</f>
        <v>0</v>
      </c>
    </row>
    <row r="335" spans="1:46" s="2" customFormat="1" x14ac:dyDescent="0.25">
      <c r="A335"/>
      <c r="B335"/>
      <c r="C335"/>
      <c r="D335"/>
      <c r="E335"/>
      <c r="F335"/>
      <c r="G335"/>
      <c r="H335"/>
      <c r="I335" s="8">
        <f>+Table1[[#This Row],[Auton ball picked up in our trench]]+Table1[[#This Row],[Auton Balls Picked Up in Mid]]+Table1[[#This Row],[Auton Balls Picked Up In Their Trench]]</f>
        <v>0</v>
      </c>
      <c r="J335" s="8">
        <f>+Table1[[#This Row],[Auton Scored High]]+Table1[[#This Row],[Auton Scored Low]]</f>
        <v>0</v>
      </c>
      <c r="K33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35"/>
      <c r="M335"/>
      <c r="N335"/>
      <c r="O335"/>
      <c r="P335"/>
      <c r="Q335"/>
      <c r="R335"/>
      <c r="S335"/>
      <c r="T335"/>
      <c r="U335"/>
      <c r="V335" s="8">
        <f>Table1[[#This Row],[Balls Scored From Trench]]+Table1[[#This Row],[Balls Scored from Mid]]+Table1[[#This Row],[Balls Scored From Alliance zone]]</f>
        <v>0</v>
      </c>
      <c r="W335" s="8">
        <f>Table1[[#This Row],[balls scored high]]+Table1[[#This Row],[balls scored low]]</f>
        <v>0</v>
      </c>
      <c r="X335" s="8">
        <f>Table1[[#This Row],[Control Panel Spun Time]]+Table1[[#This Row],[Control Panel Color Time]]</f>
        <v>0</v>
      </c>
      <c r="Y335" s="8">
        <f>Table1[[#This Row],[Control Panels Spun]]+Table1[[#This Row],[Control Panel Color]]</f>
        <v>0</v>
      </c>
      <c r="Z33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35"/>
      <c r="AB335"/>
      <c r="AC335"/>
      <c r="AD335"/>
      <c r="AE335"/>
      <c r="AF335"/>
      <c r="AG335"/>
      <c r="AH335"/>
      <c r="AI335"/>
      <c r="AJ335"/>
      <c r="AK335" s="17">
        <f>(Table1[[#This Row],[Climbed]]*weighting!$B$18)+(Table1[[#This Row],[Adjustable Climber]]*weighting!$B$19)+(Table1[[#This Row],[Lift other Robot]]*weighting!$B$20)+(Table1[[#This Row],[Balanced]]*weighting!$B$21)</f>
        <v>0</v>
      </c>
      <c r="AL335" s="8">
        <f>+Table1[[#This Row],[Endgame our score]]+Table1[[#This Row],[teleop our score]]+Table1[[#This Row],[auton our score]]</f>
        <v>0</v>
      </c>
      <c r="AM335" s="20">
        <f t="shared" si="15"/>
        <v>0</v>
      </c>
      <c r="AN335" s="20">
        <f t="shared" si="16"/>
        <v>0</v>
      </c>
      <c r="AO335" s="20">
        <f t="shared" si="17"/>
        <v>0</v>
      </c>
      <c r="AP335" s="20">
        <f>Table1[[#This Row],[balls scored]]+Table1[[#This Row],[auton balls scored]]</f>
        <v>0</v>
      </c>
      <c r="AQ335" s="20">
        <f>Table1[[#This Row],[balls scored high]]+Table1[[#This Row],[Auton Scored High]]</f>
        <v>0</v>
      </c>
      <c r="AR335" s="20">
        <f>Table1[[#This Row],[balls scored low]]+Table1[[#This Row],[Auton Scored Low]]</f>
        <v>0</v>
      </c>
      <c r="AS335" s="50">
        <f>IF(Table1[[#This Row],[Control Panel Spun Time]]&gt;0,1,0)</f>
        <v>0</v>
      </c>
      <c r="AT335" s="20">
        <f>IF(Table1[[#This Row],[Control Panel Color Time]]&gt;0,1,0)</f>
        <v>0</v>
      </c>
    </row>
    <row r="336" spans="1:46" x14ac:dyDescent="0.25">
      <c r="A336"/>
      <c r="I336" s="8">
        <f>+Table1[[#This Row],[Auton ball picked up in our trench]]+Table1[[#This Row],[Auton Balls Picked Up in Mid]]+Table1[[#This Row],[Auton Balls Picked Up In Their Trench]]</f>
        <v>0</v>
      </c>
      <c r="J336" s="8">
        <f>+Table1[[#This Row],[Auton Scored High]]+Table1[[#This Row],[Auton Scored Low]]</f>
        <v>0</v>
      </c>
      <c r="K33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36" s="8">
        <f>Table1[[#This Row],[Balls Scored From Trench]]+Table1[[#This Row],[Balls Scored from Mid]]+Table1[[#This Row],[Balls Scored From Alliance zone]]</f>
        <v>0</v>
      </c>
      <c r="W336" s="8">
        <f>Table1[[#This Row],[balls scored high]]+Table1[[#This Row],[balls scored low]]</f>
        <v>0</v>
      </c>
      <c r="X336" s="8">
        <f>Table1[[#This Row],[Control Panel Spun Time]]+Table1[[#This Row],[Control Panel Color Time]]</f>
        <v>0</v>
      </c>
      <c r="Y336" s="8">
        <f>Table1[[#This Row],[Control Panels Spun]]+Table1[[#This Row],[Control Panel Color]]</f>
        <v>0</v>
      </c>
      <c r="Z33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36" s="17">
        <f>(Table1[[#This Row],[Climbed]]*weighting!$B$18)+(Table1[[#This Row],[Adjustable Climber]]*weighting!$B$19)+(Table1[[#This Row],[Lift other Robot]]*weighting!$B$20)+(Table1[[#This Row],[Balanced]]*weighting!$B$21)</f>
        <v>0</v>
      </c>
      <c r="AL336" s="8">
        <f>+Table1[[#This Row],[Endgame our score]]+Table1[[#This Row],[teleop our score]]+Table1[[#This Row],[auton our score]]</f>
        <v>0</v>
      </c>
      <c r="AM336" s="20">
        <f t="shared" si="15"/>
        <v>0</v>
      </c>
      <c r="AN336" s="20">
        <f t="shared" si="16"/>
        <v>0</v>
      </c>
      <c r="AO336" s="20">
        <f t="shared" si="17"/>
        <v>0</v>
      </c>
      <c r="AP336" s="20">
        <f>Table1[[#This Row],[balls scored]]+Table1[[#This Row],[auton balls scored]]</f>
        <v>0</v>
      </c>
      <c r="AQ336" s="20">
        <f>Table1[[#This Row],[balls scored high]]+Table1[[#This Row],[Auton Scored High]]</f>
        <v>0</v>
      </c>
      <c r="AR336" s="20">
        <f>Table1[[#This Row],[balls scored low]]+Table1[[#This Row],[Auton Scored Low]]</f>
        <v>0</v>
      </c>
      <c r="AS336" s="50">
        <f>IF(Table1[[#This Row],[Control Panel Spun Time]]&gt;0,1,0)</f>
        <v>0</v>
      </c>
      <c r="AT336" s="20">
        <f>IF(Table1[[#This Row],[Control Panel Color Time]]&gt;0,1,0)</f>
        <v>0</v>
      </c>
    </row>
    <row r="337" spans="1:46" s="2" customFormat="1" x14ac:dyDescent="0.25">
      <c r="A337"/>
      <c r="B337"/>
      <c r="C337"/>
      <c r="D337"/>
      <c r="E337"/>
      <c r="F337"/>
      <c r="G337"/>
      <c r="H337"/>
      <c r="I337" s="8">
        <f>+Table1[[#This Row],[Auton ball picked up in our trench]]+Table1[[#This Row],[Auton Balls Picked Up in Mid]]+Table1[[#This Row],[Auton Balls Picked Up In Their Trench]]</f>
        <v>0</v>
      </c>
      <c r="J337" s="8">
        <f>+Table1[[#This Row],[Auton Scored High]]+Table1[[#This Row],[Auton Scored Low]]</f>
        <v>0</v>
      </c>
      <c r="K33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37"/>
      <c r="M337"/>
      <c r="N337"/>
      <c r="O337"/>
      <c r="P337"/>
      <c r="Q337"/>
      <c r="R337"/>
      <c r="S337"/>
      <c r="T337"/>
      <c r="U337"/>
      <c r="V337" s="8">
        <f>Table1[[#This Row],[Balls Scored From Trench]]+Table1[[#This Row],[Balls Scored from Mid]]+Table1[[#This Row],[Balls Scored From Alliance zone]]</f>
        <v>0</v>
      </c>
      <c r="W337" s="8">
        <f>Table1[[#This Row],[balls scored high]]+Table1[[#This Row],[balls scored low]]</f>
        <v>0</v>
      </c>
      <c r="X337" s="8">
        <f>Table1[[#This Row],[Control Panel Spun Time]]+Table1[[#This Row],[Control Panel Color Time]]</f>
        <v>0</v>
      </c>
      <c r="Y337" s="8">
        <f>Table1[[#This Row],[Control Panels Spun]]+Table1[[#This Row],[Control Panel Color]]</f>
        <v>0</v>
      </c>
      <c r="Z33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37"/>
      <c r="AB337"/>
      <c r="AC337"/>
      <c r="AD337"/>
      <c r="AE337"/>
      <c r="AF337"/>
      <c r="AG337"/>
      <c r="AH337"/>
      <c r="AI337"/>
      <c r="AJ337"/>
      <c r="AK337" s="17">
        <f>(Table1[[#This Row],[Climbed]]*weighting!$B$18)+(Table1[[#This Row],[Adjustable Climber]]*weighting!$B$19)+(Table1[[#This Row],[Lift other Robot]]*weighting!$B$20)+(Table1[[#This Row],[Balanced]]*weighting!$B$21)</f>
        <v>0</v>
      </c>
      <c r="AL337" s="8">
        <f>+Table1[[#This Row],[Endgame our score]]+Table1[[#This Row],[teleop our score]]+Table1[[#This Row],[auton our score]]</f>
        <v>0</v>
      </c>
      <c r="AM337" s="20">
        <f t="shared" si="15"/>
        <v>0</v>
      </c>
      <c r="AN337" s="20">
        <f t="shared" si="16"/>
        <v>0</v>
      </c>
      <c r="AO337" s="20">
        <f t="shared" si="17"/>
        <v>0</v>
      </c>
      <c r="AP337" s="20">
        <f>Table1[[#This Row],[balls scored]]+Table1[[#This Row],[auton balls scored]]</f>
        <v>0</v>
      </c>
      <c r="AQ337" s="20">
        <f>Table1[[#This Row],[balls scored high]]+Table1[[#This Row],[Auton Scored High]]</f>
        <v>0</v>
      </c>
      <c r="AR337" s="20">
        <f>Table1[[#This Row],[balls scored low]]+Table1[[#This Row],[Auton Scored Low]]</f>
        <v>0</v>
      </c>
      <c r="AS337" s="50">
        <f>IF(Table1[[#This Row],[Control Panel Spun Time]]&gt;0,1,0)</f>
        <v>0</v>
      </c>
      <c r="AT337" s="20">
        <f>IF(Table1[[#This Row],[Control Panel Color Time]]&gt;0,1,0)</f>
        <v>0</v>
      </c>
    </row>
    <row r="338" spans="1:46" x14ac:dyDescent="0.25">
      <c r="A338"/>
      <c r="I338" s="8">
        <f>+Table1[[#This Row],[Auton ball picked up in our trench]]+Table1[[#This Row],[Auton Balls Picked Up in Mid]]+Table1[[#This Row],[Auton Balls Picked Up In Their Trench]]</f>
        <v>0</v>
      </c>
      <c r="J338" s="8">
        <f>+Table1[[#This Row],[Auton Scored High]]+Table1[[#This Row],[Auton Scored Low]]</f>
        <v>0</v>
      </c>
      <c r="K33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38" s="8">
        <f>Table1[[#This Row],[Balls Scored From Trench]]+Table1[[#This Row],[Balls Scored from Mid]]+Table1[[#This Row],[Balls Scored From Alliance zone]]</f>
        <v>0</v>
      </c>
      <c r="W338" s="8">
        <f>Table1[[#This Row],[balls scored high]]+Table1[[#This Row],[balls scored low]]</f>
        <v>0</v>
      </c>
      <c r="X338" s="8">
        <f>Table1[[#This Row],[Control Panel Spun Time]]+Table1[[#This Row],[Control Panel Color Time]]</f>
        <v>0</v>
      </c>
      <c r="Y338" s="8">
        <f>Table1[[#This Row],[Control Panels Spun]]+Table1[[#This Row],[Control Panel Color]]</f>
        <v>0</v>
      </c>
      <c r="Z33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38" s="17">
        <f>(Table1[[#This Row],[Climbed]]*weighting!$B$18)+(Table1[[#This Row],[Adjustable Climber]]*weighting!$B$19)+(Table1[[#This Row],[Lift other Robot]]*weighting!$B$20)+(Table1[[#This Row],[Balanced]]*weighting!$B$21)</f>
        <v>0</v>
      </c>
      <c r="AL338" s="8">
        <f>+Table1[[#This Row],[Endgame our score]]+Table1[[#This Row],[teleop our score]]+Table1[[#This Row],[auton our score]]</f>
        <v>0</v>
      </c>
      <c r="AM338" s="20">
        <f t="shared" si="15"/>
        <v>0</v>
      </c>
      <c r="AN338" s="20">
        <f t="shared" si="16"/>
        <v>0</v>
      </c>
      <c r="AO338" s="20">
        <f t="shared" si="17"/>
        <v>0</v>
      </c>
      <c r="AP338" s="20">
        <f>Table1[[#This Row],[balls scored]]+Table1[[#This Row],[auton balls scored]]</f>
        <v>0</v>
      </c>
      <c r="AQ338" s="20">
        <f>Table1[[#This Row],[balls scored high]]+Table1[[#This Row],[Auton Scored High]]</f>
        <v>0</v>
      </c>
      <c r="AR338" s="20">
        <f>Table1[[#This Row],[balls scored low]]+Table1[[#This Row],[Auton Scored Low]]</f>
        <v>0</v>
      </c>
      <c r="AS338" s="50">
        <f>IF(Table1[[#This Row],[Control Panel Spun Time]]&gt;0,1,0)</f>
        <v>0</v>
      </c>
      <c r="AT338" s="20">
        <f>IF(Table1[[#This Row],[Control Panel Color Time]]&gt;0,1,0)</f>
        <v>0</v>
      </c>
    </row>
    <row r="339" spans="1:46" s="2" customFormat="1" x14ac:dyDescent="0.25">
      <c r="A339"/>
      <c r="B339"/>
      <c r="C339"/>
      <c r="D339"/>
      <c r="E339"/>
      <c r="F339"/>
      <c r="G339"/>
      <c r="H339"/>
      <c r="I339" s="8">
        <f>+Table1[[#This Row],[Auton ball picked up in our trench]]+Table1[[#This Row],[Auton Balls Picked Up in Mid]]+Table1[[#This Row],[Auton Balls Picked Up In Their Trench]]</f>
        <v>0</v>
      </c>
      <c r="J339" s="8">
        <f>+Table1[[#This Row],[Auton Scored High]]+Table1[[#This Row],[Auton Scored Low]]</f>
        <v>0</v>
      </c>
      <c r="K33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39"/>
      <c r="M339"/>
      <c r="N339"/>
      <c r="O339"/>
      <c r="P339"/>
      <c r="Q339"/>
      <c r="R339"/>
      <c r="S339"/>
      <c r="T339"/>
      <c r="U339"/>
      <c r="V339" s="8">
        <f>Table1[[#This Row],[Balls Scored From Trench]]+Table1[[#This Row],[Balls Scored from Mid]]+Table1[[#This Row],[Balls Scored From Alliance zone]]</f>
        <v>0</v>
      </c>
      <c r="W339" s="8">
        <f>Table1[[#This Row],[balls scored high]]+Table1[[#This Row],[balls scored low]]</f>
        <v>0</v>
      </c>
      <c r="X339" s="8">
        <f>Table1[[#This Row],[Control Panel Spun Time]]+Table1[[#This Row],[Control Panel Color Time]]</f>
        <v>0</v>
      </c>
      <c r="Y339" s="8">
        <f>Table1[[#This Row],[Control Panels Spun]]+Table1[[#This Row],[Control Panel Color]]</f>
        <v>0</v>
      </c>
      <c r="Z33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39"/>
      <c r="AB339"/>
      <c r="AC339"/>
      <c r="AD339"/>
      <c r="AE339"/>
      <c r="AF339"/>
      <c r="AG339"/>
      <c r="AH339"/>
      <c r="AI339"/>
      <c r="AJ339"/>
      <c r="AK339" s="17">
        <f>(Table1[[#This Row],[Climbed]]*weighting!$B$18)+(Table1[[#This Row],[Adjustable Climber]]*weighting!$B$19)+(Table1[[#This Row],[Lift other Robot]]*weighting!$B$20)+(Table1[[#This Row],[Balanced]]*weighting!$B$21)</f>
        <v>0</v>
      </c>
      <c r="AL339" s="8">
        <f>+Table1[[#This Row],[Endgame our score]]+Table1[[#This Row],[teleop our score]]+Table1[[#This Row],[auton our score]]</f>
        <v>0</v>
      </c>
      <c r="AM339" s="20">
        <f t="shared" si="15"/>
        <v>0</v>
      </c>
      <c r="AN339" s="20">
        <f t="shared" si="16"/>
        <v>0</v>
      </c>
      <c r="AO339" s="20">
        <f t="shared" si="17"/>
        <v>0</v>
      </c>
      <c r="AP339" s="20">
        <f>Table1[[#This Row],[balls scored]]+Table1[[#This Row],[auton balls scored]]</f>
        <v>0</v>
      </c>
      <c r="AQ339" s="20">
        <f>Table1[[#This Row],[balls scored high]]+Table1[[#This Row],[Auton Scored High]]</f>
        <v>0</v>
      </c>
      <c r="AR339" s="20">
        <f>Table1[[#This Row],[balls scored low]]+Table1[[#This Row],[Auton Scored Low]]</f>
        <v>0</v>
      </c>
      <c r="AS339" s="50">
        <f>IF(Table1[[#This Row],[Control Panel Spun Time]]&gt;0,1,0)</f>
        <v>0</v>
      </c>
      <c r="AT339" s="20">
        <f>IF(Table1[[#This Row],[Control Panel Color Time]]&gt;0,1,0)</f>
        <v>0</v>
      </c>
    </row>
    <row r="340" spans="1:46" x14ac:dyDescent="0.25">
      <c r="A340"/>
      <c r="I340" s="8">
        <f>+Table1[[#This Row],[Auton ball picked up in our trench]]+Table1[[#This Row],[Auton Balls Picked Up in Mid]]+Table1[[#This Row],[Auton Balls Picked Up In Their Trench]]</f>
        <v>0</v>
      </c>
      <c r="J340" s="8">
        <f>+Table1[[#This Row],[Auton Scored High]]+Table1[[#This Row],[Auton Scored Low]]</f>
        <v>0</v>
      </c>
      <c r="K34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40" s="8">
        <f>Table1[[#This Row],[Balls Scored From Trench]]+Table1[[#This Row],[Balls Scored from Mid]]+Table1[[#This Row],[Balls Scored From Alliance zone]]</f>
        <v>0</v>
      </c>
      <c r="W340" s="8">
        <f>Table1[[#This Row],[balls scored high]]+Table1[[#This Row],[balls scored low]]</f>
        <v>0</v>
      </c>
      <c r="X340" s="8">
        <f>Table1[[#This Row],[Control Panel Spun Time]]+Table1[[#This Row],[Control Panel Color Time]]</f>
        <v>0</v>
      </c>
      <c r="Y340" s="8">
        <f>Table1[[#This Row],[Control Panels Spun]]+Table1[[#This Row],[Control Panel Color]]</f>
        <v>0</v>
      </c>
      <c r="Z34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40" s="17">
        <f>(Table1[[#This Row],[Climbed]]*weighting!$B$18)+(Table1[[#This Row],[Adjustable Climber]]*weighting!$B$19)+(Table1[[#This Row],[Lift other Robot]]*weighting!$B$20)+(Table1[[#This Row],[Balanced]]*weighting!$B$21)</f>
        <v>0</v>
      </c>
      <c r="AL340" s="8">
        <f>+Table1[[#This Row],[Endgame our score]]+Table1[[#This Row],[teleop our score]]+Table1[[#This Row],[auton our score]]</f>
        <v>0</v>
      </c>
      <c r="AM340" s="20">
        <f t="shared" si="15"/>
        <v>0</v>
      </c>
      <c r="AN340" s="20">
        <f t="shared" si="16"/>
        <v>0</v>
      </c>
      <c r="AO340" s="20">
        <f t="shared" si="17"/>
        <v>0</v>
      </c>
      <c r="AP340" s="20">
        <f>Table1[[#This Row],[balls scored]]+Table1[[#This Row],[auton balls scored]]</f>
        <v>0</v>
      </c>
      <c r="AQ340" s="20">
        <f>Table1[[#This Row],[balls scored high]]+Table1[[#This Row],[Auton Scored High]]</f>
        <v>0</v>
      </c>
      <c r="AR340" s="20">
        <f>Table1[[#This Row],[balls scored low]]+Table1[[#This Row],[Auton Scored Low]]</f>
        <v>0</v>
      </c>
      <c r="AS340" s="50">
        <f>IF(Table1[[#This Row],[Control Panel Spun Time]]&gt;0,1,0)</f>
        <v>0</v>
      </c>
      <c r="AT340" s="20">
        <f>IF(Table1[[#This Row],[Control Panel Color Time]]&gt;0,1,0)</f>
        <v>0</v>
      </c>
    </row>
    <row r="341" spans="1:46" s="2" customFormat="1" x14ac:dyDescent="0.25">
      <c r="A341"/>
      <c r="B341"/>
      <c r="C341"/>
      <c r="D341"/>
      <c r="E341"/>
      <c r="F341"/>
      <c r="G341"/>
      <c r="H341"/>
      <c r="I341" s="8">
        <f>+Table1[[#This Row],[Auton ball picked up in our trench]]+Table1[[#This Row],[Auton Balls Picked Up in Mid]]+Table1[[#This Row],[Auton Balls Picked Up In Their Trench]]</f>
        <v>0</v>
      </c>
      <c r="J341" s="8">
        <f>+Table1[[#This Row],[Auton Scored High]]+Table1[[#This Row],[Auton Scored Low]]</f>
        <v>0</v>
      </c>
      <c r="K34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41"/>
      <c r="M341"/>
      <c r="N341"/>
      <c r="O341"/>
      <c r="P341"/>
      <c r="Q341"/>
      <c r="R341"/>
      <c r="S341"/>
      <c r="T341"/>
      <c r="U341"/>
      <c r="V341" s="8">
        <f>Table1[[#This Row],[Balls Scored From Trench]]+Table1[[#This Row],[Balls Scored from Mid]]+Table1[[#This Row],[Balls Scored From Alliance zone]]</f>
        <v>0</v>
      </c>
      <c r="W341" s="8">
        <f>Table1[[#This Row],[balls scored high]]+Table1[[#This Row],[balls scored low]]</f>
        <v>0</v>
      </c>
      <c r="X341" s="8">
        <f>Table1[[#This Row],[Control Panel Spun Time]]+Table1[[#This Row],[Control Panel Color Time]]</f>
        <v>0</v>
      </c>
      <c r="Y341" s="8">
        <f>Table1[[#This Row],[Control Panels Spun]]+Table1[[#This Row],[Control Panel Color]]</f>
        <v>0</v>
      </c>
      <c r="Z34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41"/>
      <c r="AB341"/>
      <c r="AC341"/>
      <c r="AD341"/>
      <c r="AE341"/>
      <c r="AF341"/>
      <c r="AG341"/>
      <c r="AH341"/>
      <c r="AI341"/>
      <c r="AJ341"/>
      <c r="AK341" s="17">
        <f>(Table1[[#This Row],[Climbed]]*weighting!$B$18)+(Table1[[#This Row],[Adjustable Climber]]*weighting!$B$19)+(Table1[[#This Row],[Lift other Robot]]*weighting!$B$20)+(Table1[[#This Row],[Balanced]]*weighting!$B$21)</f>
        <v>0</v>
      </c>
      <c r="AL341" s="8">
        <f>+Table1[[#This Row],[Endgame our score]]+Table1[[#This Row],[teleop our score]]+Table1[[#This Row],[auton our score]]</f>
        <v>0</v>
      </c>
      <c r="AM341" s="20">
        <f t="shared" si="15"/>
        <v>0</v>
      </c>
      <c r="AN341" s="20">
        <f t="shared" si="16"/>
        <v>0</v>
      </c>
      <c r="AO341" s="20">
        <f t="shared" si="17"/>
        <v>0</v>
      </c>
      <c r="AP341" s="20">
        <f>Table1[[#This Row],[balls scored]]+Table1[[#This Row],[auton balls scored]]</f>
        <v>0</v>
      </c>
      <c r="AQ341" s="20">
        <f>Table1[[#This Row],[balls scored high]]+Table1[[#This Row],[Auton Scored High]]</f>
        <v>0</v>
      </c>
      <c r="AR341" s="20">
        <f>Table1[[#This Row],[balls scored low]]+Table1[[#This Row],[Auton Scored Low]]</f>
        <v>0</v>
      </c>
      <c r="AS341" s="50">
        <f>IF(Table1[[#This Row],[Control Panel Spun Time]]&gt;0,1,0)</f>
        <v>0</v>
      </c>
      <c r="AT341" s="20">
        <f>IF(Table1[[#This Row],[Control Panel Color Time]]&gt;0,1,0)</f>
        <v>0</v>
      </c>
    </row>
    <row r="342" spans="1:46" x14ac:dyDescent="0.25">
      <c r="A342"/>
      <c r="I342" s="8">
        <f>+Table1[[#This Row],[Auton ball picked up in our trench]]+Table1[[#This Row],[Auton Balls Picked Up in Mid]]+Table1[[#This Row],[Auton Balls Picked Up In Their Trench]]</f>
        <v>0</v>
      </c>
      <c r="J342" s="8">
        <f>+Table1[[#This Row],[Auton Scored High]]+Table1[[#This Row],[Auton Scored Low]]</f>
        <v>0</v>
      </c>
      <c r="K34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42" s="8">
        <f>Table1[[#This Row],[Balls Scored From Trench]]+Table1[[#This Row],[Balls Scored from Mid]]+Table1[[#This Row],[Balls Scored From Alliance zone]]</f>
        <v>0</v>
      </c>
      <c r="W342" s="8">
        <f>Table1[[#This Row],[balls scored high]]+Table1[[#This Row],[balls scored low]]</f>
        <v>0</v>
      </c>
      <c r="X342" s="8">
        <f>Table1[[#This Row],[Control Panel Spun Time]]+Table1[[#This Row],[Control Panel Color Time]]</f>
        <v>0</v>
      </c>
      <c r="Y342" s="8">
        <f>Table1[[#This Row],[Control Panels Spun]]+Table1[[#This Row],[Control Panel Color]]</f>
        <v>0</v>
      </c>
      <c r="Z34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42" s="17">
        <f>(Table1[[#This Row],[Climbed]]*weighting!$B$18)+(Table1[[#This Row],[Adjustable Climber]]*weighting!$B$19)+(Table1[[#This Row],[Lift other Robot]]*weighting!$B$20)+(Table1[[#This Row],[Balanced]]*weighting!$B$21)</f>
        <v>0</v>
      </c>
      <c r="AL342" s="8">
        <f>+Table1[[#This Row],[Endgame our score]]+Table1[[#This Row],[teleop our score]]+Table1[[#This Row],[auton our score]]</f>
        <v>0</v>
      </c>
      <c r="AM342" s="20">
        <f t="shared" si="15"/>
        <v>0</v>
      </c>
      <c r="AN342" s="20">
        <f t="shared" si="16"/>
        <v>0</v>
      </c>
      <c r="AO342" s="20">
        <f t="shared" si="17"/>
        <v>0</v>
      </c>
      <c r="AP342" s="20">
        <f>Table1[[#This Row],[balls scored]]+Table1[[#This Row],[auton balls scored]]</f>
        <v>0</v>
      </c>
      <c r="AQ342" s="20">
        <f>Table1[[#This Row],[balls scored high]]+Table1[[#This Row],[Auton Scored High]]</f>
        <v>0</v>
      </c>
      <c r="AR342" s="20">
        <f>Table1[[#This Row],[balls scored low]]+Table1[[#This Row],[Auton Scored Low]]</f>
        <v>0</v>
      </c>
      <c r="AS342" s="50">
        <f>IF(Table1[[#This Row],[Control Panel Spun Time]]&gt;0,1,0)</f>
        <v>0</v>
      </c>
      <c r="AT342" s="20">
        <f>IF(Table1[[#This Row],[Control Panel Color Time]]&gt;0,1,0)</f>
        <v>0</v>
      </c>
    </row>
    <row r="343" spans="1:46" s="2" customFormat="1" x14ac:dyDescent="0.25">
      <c r="A343"/>
      <c r="B343"/>
      <c r="C343"/>
      <c r="D343"/>
      <c r="E343"/>
      <c r="F343"/>
      <c r="G343"/>
      <c r="H343"/>
      <c r="I343" s="8">
        <f>+Table1[[#This Row],[Auton ball picked up in our trench]]+Table1[[#This Row],[Auton Balls Picked Up in Mid]]+Table1[[#This Row],[Auton Balls Picked Up In Their Trench]]</f>
        <v>0</v>
      </c>
      <c r="J343" s="8">
        <f>+Table1[[#This Row],[Auton Scored High]]+Table1[[#This Row],[Auton Scored Low]]</f>
        <v>0</v>
      </c>
      <c r="K34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43"/>
      <c r="M343"/>
      <c r="N343"/>
      <c r="O343"/>
      <c r="P343"/>
      <c r="Q343"/>
      <c r="R343"/>
      <c r="S343"/>
      <c r="T343"/>
      <c r="U343"/>
      <c r="V343" s="8">
        <f>Table1[[#This Row],[Balls Scored From Trench]]+Table1[[#This Row],[Balls Scored from Mid]]+Table1[[#This Row],[Balls Scored From Alliance zone]]</f>
        <v>0</v>
      </c>
      <c r="W343" s="8">
        <f>Table1[[#This Row],[balls scored high]]+Table1[[#This Row],[balls scored low]]</f>
        <v>0</v>
      </c>
      <c r="X343" s="8">
        <f>Table1[[#This Row],[Control Panel Spun Time]]+Table1[[#This Row],[Control Panel Color Time]]</f>
        <v>0</v>
      </c>
      <c r="Y343" s="8">
        <f>Table1[[#This Row],[Control Panels Spun]]+Table1[[#This Row],[Control Panel Color]]</f>
        <v>0</v>
      </c>
      <c r="Z34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43"/>
      <c r="AB343"/>
      <c r="AC343"/>
      <c r="AD343"/>
      <c r="AE343"/>
      <c r="AF343"/>
      <c r="AG343"/>
      <c r="AH343"/>
      <c r="AI343"/>
      <c r="AJ343"/>
      <c r="AK343" s="17">
        <f>(Table1[[#This Row],[Climbed]]*weighting!$B$18)+(Table1[[#This Row],[Adjustable Climber]]*weighting!$B$19)+(Table1[[#This Row],[Lift other Robot]]*weighting!$B$20)+(Table1[[#This Row],[Balanced]]*weighting!$B$21)</f>
        <v>0</v>
      </c>
      <c r="AL343" s="8">
        <f>+Table1[[#This Row],[Endgame our score]]+Table1[[#This Row],[teleop our score]]+Table1[[#This Row],[auton our score]]</f>
        <v>0</v>
      </c>
      <c r="AM343" s="20">
        <f t="shared" si="15"/>
        <v>0</v>
      </c>
      <c r="AN343" s="20">
        <f t="shared" si="16"/>
        <v>0</v>
      </c>
      <c r="AO343" s="20">
        <f t="shared" si="17"/>
        <v>0</v>
      </c>
      <c r="AP343" s="20">
        <f>Table1[[#This Row],[balls scored]]+Table1[[#This Row],[auton balls scored]]</f>
        <v>0</v>
      </c>
      <c r="AQ343" s="20">
        <f>Table1[[#This Row],[balls scored high]]+Table1[[#This Row],[Auton Scored High]]</f>
        <v>0</v>
      </c>
      <c r="AR343" s="20">
        <f>Table1[[#This Row],[balls scored low]]+Table1[[#This Row],[Auton Scored Low]]</f>
        <v>0</v>
      </c>
      <c r="AS343" s="50">
        <f>IF(Table1[[#This Row],[Control Panel Spun Time]]&gt;0,1,0)</f>
        <v>0</v>
      </c>
      <c r="AT343" s="20">
        <f>IF(Table1[[#This Row],[Control Panel Color Time]]&gt;0,1,0)</f>
        <v>0</v>
      </c>
    </row>
    <row r="344" spans="1:46" x14ac:dyDescent="0.25">
      <c r="A344"/>
      <c r="I344" s="8">
        <f>+Table1[[#This Row],[Auton ball picked up in our trench]]+Table1[[#This Row],[Auton Balls Picked Up in Mid]]+Table1[[#This Row],[Auton Balls Picked Up In Their Trench]]</f>
        <v>0</v>
      </c>
      <c r="J344" s="8">
        <f>+Table1[[#This Row],[Auton Scored High]]+Table1[[#This Row],[Auton Scored Low]]</f>
        <v>0</v>
      </c>
      <c r="K34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44" s="8">
        <f>Table1[[#This Row],[Balls Scored From Trench]]+Table1[[#This Row],[Balls Scored from Mid]]+Table1[[#This Row],[Balls Scored From Alliance zone]]</f>
        <v>0</v>
      </c>
      <c r="W344" s="8">
        <f>Table1[[#This Row],[balls scored high]]+Table1[[#This Row],[balls scored low]]</f>
        <v>0</v>
      </c>
      <c r="X344" s="8">
        <f>Table1[[#This Row],[Control Panel Spun Time]]+Table1[[#This Row],[Control Panel Color Time]]</f>
        <v>0</v>
      </c>
      <c r="Y344" s="8">
        <f>Table1[[#This Row],[Control Panels Spun]]+Table1[[#This Row],[Control Panel Color]]</f>
        <v>0</v>
      </c>
      <c r="Z34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44" s="17">
        <f>(Table1[[#This Row],[Climbed]]*weighting!$B$18)+(Table1[[#This Row],[Adjustable Climber]]*weighting!$B$19)+(Table1[[#This Row],[Lift other Robot]]*weighting!$B$20)+(Table1[[#This Row],[Balanced]]*weighting!$B$21)</f>
        <v>0</v>
      </c>
      <c r="AL344" s="8">
        <f>+Table1[[#This Row],[Endgame our score]]+Table1[[#This Row],[teleop our score]]+Table1[[#This Row],[auton our score]]</f>
        <v>0</v>
      </c>
      <c r="AM344" s="20">
        <f t="shared" si="15"/>
        <v>0</v>
      </c>
      <c r="AN344" s="20">
        <f t="shared" si="16"/>
        <v>0</v>
      </c>
      <c r="AO344" s="20">
        <f t="shared" si="17"/>
        <v>0</v>
      </c>
      <c r="AP344" s="20">
        <f>Table1[[#This Row],[balls scored]]+Table1[[#This Row],[auton balls scored]]</f>
        <v>0</v>
      </c>
      <c r="AQ344" s="20">
        <f>Table1[[#This Row],[balls scored high]]+Table1[[#This Row],[Auton Scored High]]</f>
        <v>0</v>
      </c>
      <c r="AR344" s="20">
        <f>Table1[[#This Row],[balls scored low]]+Table1[[#This Row],[Auton Scored Low]]</f>
        <v>0</v>
      </c>
      <c r="AS344" s="50">
        <f>IF(Table1[[#This Row],[Control Panel Spun Time]]&gt;0,1,0)</f>
        <v>0</v>
      </c>
      <c r="AT344" s="20">
        <f>IF(Table1[[#This Row],[Control Panel Color Time]]&gt;0,1,0)</f>
        <v>0</v>
      </c>
    </row>
    <row r="345" spans="1:46" s="2" customFormat="1" x14ac:dyDescent="0.25">
      <c r="A345"/>
      <c r="B345"/>
      <c r="C345"/>
      <c r="D345"/>
      <c r="E345"/>
      <c r="F345"/>
      <c r="G345"/>
      <c r="H345"/>
      <c r="I345" s="8">
        <f>+Table1[[#This Row],[Auton ball picked up in our trench]]+Table1[[#This Row],[Auton Balls Picked Up in Mid]]+Table1[[#This Row],[Auton Balls Picked Up In Their Trench]]</f>
        <v>0</v>
      </c>
      <c r="J345" s="8">
        <f>+Table1[[#This Row],[Auton Scored High]]+Table1[[#This Row],[Auton Scored Low]]</f>
        <v>0</v>
      </c>
      <c r="K34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45"/>
      <c r="M345"/>
      <c r="N345"/>
      <c r="O345"/>
      <c r="P345"/>
      <c r="Q345"/>
      <c r="R345"/>
      <c r="S345"/>
      <c r="T345"/>
      <c r="U345"/>
      <c r="V345" s="8">
        <f>Table1[[#This Row],[Balls Scored From Trench]]+Table1[[#This Row],[Balls Scored from Mid]]+Table1[[#This Row],[Balls Scored From Alliance zone]]</f>
        <v>0</v>
      </c>
      <c r="W345" s="8">
        <f>Table1[[#This Row],[balls scored high]]+Table1[[#This Row],[balls scored low]]</f>
        <v>0</v>
      </c>
      <c r="X345" s="8">
        <f>Table1[[#This Row],[Control Panel Spun Time]]+Table1[[#This Row],[Control Panel Color Time]]</f>
        <v>0</v>
      </c>
      <c r="Y345" s="8">
        <f>Table1[[#This Row],[Control Panels Spun]]+Table1[[#This Row],[Control Panel Color]]</f>
        <v>0</v>
      </c>
      <c r="Z34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45"/>
      <c r="AB345"/>
      <c r="AC345"/>
      <c r="AD345"/>
      <c r="AE345"/>
      <c r="AF345"/>
      <c r="AG345"/>
      <c r="AH345"/>
      <c r="AI345"/>
      <c r="AJ345"/>
      <c r="AK345" s="17">
        <f>(Table1[[#This Row],[Climbed]]*weighting!$B$18)+(Table1[[#This Row],[Adjustable Climber]]*weighting!$B$19)+(Table1[[#This Row],[Lift other Robot]]*weighting!$B$20)+(Table1[[#This Row],[Balanced]]*weighting!$B$21)</f>
        <v>0</v>
      </c>
      <c r="AL345" s="8">
        <f>+Table1[[#This Row],[Endgame our score]]+Table1[[#This Row],[teleop our score]]+Table1[[#This Row],[auton our score]]</f>
        <v>0</v>
      </c>
      <c r="AM345" s="20">
        <f t="shared" si="15"/>
        <v>0</v>
      </c>
      <c r="AN345" s="20">
        <f t="shared" si="16"/>
        <v>0</v>
      </c>
      <c r="AO345" s="20">
        <f t="shared" si="17"/>
        <v>0</v>
      </c>
      <c r="AP345" s="20">
        <f>Table1[[#This Row],[balls scored]]+Table1[[#This Row],[auton balls scored]]</f>
        <v>0</v>
      </c>
      <c r="AQ345" s="20">
        <f>Table1[[#This Row],[balls scored high]]+Table1[[#This Row],[Auton Scored High]]</f>
        <v>0</v>
      </c>
      <c r="AR345" s="20">
        <f>Table1[[#This Row],[balls scored low]]+Table1[[#This Row],[Auton Scored Low]]</f>
        <v>0</v>
      </c>
      <c r="AS345" s="50">
        <f>IF(Table1[[#This Row],[Control Panel Spun Time]]&gt;0,1,0)</f>
        <v>0</v>
      </c>
      <c r="AT345" s="20">
        <f>IF(Table1[[#This Row],[Control Panel Color Time]]&gt;0,1,0)</f>
        <v>0</v>
      </c>
    </row>
    <row r="346" spans="1:46" x14ac:dyDescent="0.25">
      <c r="A346"/>
      <c r="I346" s="8">
        <f>+Table1[[#This Row],[Auton ball picked up in our trench]]+Table1[[#This Row],[Auton Balls Picked Up in Mid]]+Table1[[#This Row],[Auton Balls Picked Up In Their Trench]]</f>
        <v>0</v>
      </c>
      <c r="J346" s="8">
        <f>+Table1[[#This Row],[Auton Scored High]]+Table1[[#This Row],[Auton Scored Low]]</f>
        <v>0</v>
      </c>
      <c r="K34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46" s="8">
        <f>Table1[[#This Row],[Balls Scored From Trench]]+Table1[[#This Row],[Balls Scored from Mid]]+Table1[[#This Row],[Balls Scored From Alliance zone]]</f>
        <v>0</v>
      </c>
      <c r="W346" s="8">
        <f>Table1[[#This Row],[balls scored high]]+Table1[[#This Row],[balls scored low]]</f>
        <v>0</v>
      </c>
      <c r="X346" s="8">
        <f>Table1[[#This Row],[Control Panel Spun Time]]+Table1[[#This Row],[Control Panel Color Time]]</f>
        <v>0</v>
      </c>
      <c r="Y346" s="8">
        <f>Table1[[#This Row],[Control Panels Spun]]+Table1[[#This Row],[Control Panel Color]]</f>
        <v>0</v>
      </c>
      <c r="Z34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46" s="17">
        <f>(Table1[[#This Row],[Climbed]]*weighting!$B$18)+(Table1[[#This Row],[Adjustable Climber]]*weighting!$B$19)+(Table1[[#This Row],[Lift other Robot]]*weighting!$B$20)+(Table1[[#This Row],[Balanced]]*weighting!$B$21)</f>
        <v>0</v>
      </c>
      <c r="AL346" s="8">
        <f>+Table1[[#This Row],[Endgame our score]]+Table1[[#This Row],[teleop our score]]+Table1[[#This Row],[auton our score]]</f>
        <v>0</v>
      </c>
      <c r="AM346" s="20">
        <f t="shared" si="15"/>
        <v>0</v>
      </c>
      <c r="AN346" s="20">
        <f t="shared" si="16"/>
        <v>0</v>
      </c>
      <c r="AO346" s="20">
        <f t="shared" si="17"/>
        <v>0</v>
      </c>
      <c r="AP346" s="20">
        <f>Table1[[#This Row],[balls scored]]+Table1[[#This Row],[auton balls scored]]</f>
        <v>0</v>
      </c>
      <c r="AQ346" s="20">
        <f>Table1[[#This Row],[balls scored high]]+Table1[[#This Row],[Auton Scored High]]</f>
        <v>0</v>
      </c>
      <c r="AR346" s="20">
        <f>Table1[[#This Row],[balls scored low]]+Table1[[#This Row],[Auton Scored Low]]</f>
        <v>0</v>
      </c>
      <c r="AS346" s="50">
        <f>IF(Table1[[#This Row],[Control Panel Spun Time]]&gt;0,1,0)</f>
        <v>0</v>
      </c>
      <c r="AT346" s="20">
        <f>IF(Table1[[#This Row],[Control Panel Color Time]]&gt;0,1,0)</f>
        <v>0</v>
      </c>
    </row>
    <row r="347" spans="1:46" s="2" customFormat="1" x14ac:dyDescent="0.25">
      <c r="A347"/>
      <c r="B347"/>
      <c r="C347"/>
      <c r="D347"/>
      <c r="E347"/>
      <c r="F347"/>
      <c r="G347"/>
      <c r="H347"/>
      <c r="I347" s="8">
        <f>+Table1[[#This Row],[Auton ball picked up in our trench]]+Table1[[#This Row],[Auton Balls Picked Up in Mid]]+Table1[[#This Row],[Auton Balls Picked Up In Their Trench]]</f>
        <v>0</v>
      </c>
      <c r="J347" s="8">
        <f>+Table1[[#This Row],[Auton Scored High]]+Table1[[#This Row],[Auton Scored Low]]</f>
        <v>0</v>
      </c>
      <c r="K34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47"/>
      <c r="M347"/>
      <c r="N347"/>
      <c r="O347"/>
      <c r="P347"/>
      <c r="Q347"/>
      <c r="R347"/>
      <c r="S347"/>
      <c r="T347"/>
      <c r="U347"/>
      <c r="V347" s="8">
        <f>Table1[[#This Row],[Balls Scored From Trench]]+Table1[[#This Row],[Balls Scored from Mid]]+Table1[[#This Row],[Balls Scored From Alliance zone]]</f>
        <v>0</v>
      </c>
      <c r="W347" s="8">
        <f>Table1[[#This Row],[balls scored high]]+Table1[[#This Row],[balls scored low]]</f>
        <v>0</v>
      </c>
      <c r="X347" s="8">
        <f>Table1[[#This Row],[Control Panel Spun Time]]+Table1[[#This Row],[Control Panel Color Time]]</f>
        <v>0</v>
      </c>
      <c r="Y347" s="8">
        <f>Table1[[#This Row],[Control Panels Spun]]+Table1[[#This Row],[Control Panel Color]]</f>
        <v>0</v>
      </c>
      <c r="Z34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47"/>
      <c r="AB347"/>
      <c r="AC347"/>
      <c r="AD347"/>
      <c r="AE347"/>
      <c r="AF347"/>
      <c r="AG347"/>
      <c r="AH347"/>
      <c r="AI347"/>
      <c r="AJ347"/>
      <c r="AK347" s="17">
        <f>(Table1[[#This Row],[Climbed]]*weighting!$B$18)+(Table1[[#This Row],[Adjustable Climber]]*weighting!$B$19)+(Table1[[#This Row],[Lift other Robot]]*weighting!$B$20)+(Table1[[#This Row],[Balanced]]*weighting!$B$21)</f>
        <v>0</v>
      </c>
      <c r="AL347" s="8">
        <f>+Table1[[#This Row],[Endgame our score]]+Table1[[#This Row],[teleop our score]]+Table1[[#This Row],[auton our score]]</f>
        <v>0</v>
      </c>
      <c r="AM347" s="20">
        <f t="shared" si="15"/>
        <v>0</v>
      </c>
      <c r="AN347" s="20">
        <f t="shared" si="16"/>
        <v>0</v>
      </c>
      <c r="AO347" s="20">
        <f t="shared" si="17"/>
        <v>0</v>
      </c>
      <c r="AP347" s="20">
        <f>Table1[[#This Row],[balls scored]]+Table1[[#This Row],[auton balls scored]]</f>
        <v>0</v>
      </c>
      <c r="AQ347" s="20">
        <f>Table1[[#This Row],[balls scored high]]+Table1[[#This Row],[Auton Scored High]]</f>
        <v>0</v>
      </c>
      <c r="AR347" s="20">
        <f>Table1[[#This Row],[balls scored low]]+Table1[[#This Row],[Auton Scored Low]]</f>
        <v>0</v>
      </c>
      <c r="AS347" s="50">
        <f>IF(Table1[[#This Row],[Control Panel Spun Time]]&gt;0,1,0)</f>
        <v>0</v>
      </c>
      <c r="AT347" s="20">
        <f>IF(Table1[[#This Row],[Control Panel Color Time]]&gt;0,1,0)</f>
        <v>0</v>
      </c>
    </row>
    <row r="348" spans="1:46" x14ac:dyDescent="0.25">
      <c r="A348"/>
      <c r="I348" s="8">
        <f>+Table1[[#This Row],[Auton ball picked up in our trench]]+Table1[[#This Row],[Auton Balls Picked Up in Mid]]+Table1[[#This Row],[Auton Balls Picked Up In Their Trench]]</f>
        <v>0</v>
      </c>
      <c r="J348" s="8">
        <f>+Table1[[#This Row],[Auton Scored High]]+Table1[[#This Row],[Auton Scored Low]]</f>
        <v>0</v>
      </c>
      <c r="K34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48" s="8">
        <f>Table1[[#This Row],[Balls Scored From Trench]]+Table1[[#This Row],[Balls Scored from Mid]]+Table1[[#This Row],[Balls Scored From Alliance zone]]</f>
        <v>0</v>
      </c>
      <c r="W348" s="8">
        <f>Table1[[#This Row],[balls scored high]]+Table1[[#This Row],[balls scored low]]</f>
        <v>0</v>
      </c>
      <c r="X348" s="8">
        <f>Table1[[#This Row],[Control Panel Spun Time]]+Table1[[#This Row],[Control Panel Color Time]]</f>
        <v>0</v>
      </c>
      <c r="Y348" s="8">
        <f>Table1[[#This Row],[Control Panels Spun]]+Table1[[#This Row],[Control Panel Color]]</f>
        <v>0</v>
      </c>
      <c r="Z34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48" s="17">
        <f>(Table1[[#This Row],[Climbed]]*weighting!$B$18)+(Table1[[#This Row],[Adjustable Climber]]*weighting!$B$19)+(Table1[[#This Row],[Lift other Robot]]*weighting!$B$20)+(Table1[[#This Row],[Balanced]]*weighting!$B$21)</f>
        <v>0</v>
      </c>
      <c r="AL348" s="8">
        <f>+Table1[[#This Row],[Endgame our score]]+Table1[[#This Row],[teleop our score]]+Table1[[#This Row],[auton our score]]</f>
        <v>0</v>
      </c>
      <c r="AM348" s="20">
        <f t="shared" si="15"/>
        <v>0</v>
      </c>
      <c r="AN348" s="20">
        <f t="shared" si="16"/>
        <v>0</v>
      </c>
      <c r="AO348" s="20">
        <f t="shared" si="17"/>
        <v>0</v>
      </c>
      <c r="AP348" s="20">
        <f>Table1[[#This Row],[balls scored]]+Table1[[#This Row],[auton balls scored]]</f>
        <v>0</v>
      </c>
      <c r="AQ348" s="20">
        <f>Table1[[#This Row],[balls scored high]]+Table1[[#This Row],[Auton Scored High]]</f>
        <v>0</v>
      </c>
      <c r="AR348" s="20">
        <f>Table1[[#This Row],[balls scored low]]+Table1[[#This Row],[Auton Scored Low]]</f>
        <v>0</v>
      </c>
      <c r="AS348" s="50">
        <f>IF(Table1[[#This Row],[Control Panel Spun Time]]&gt;0,1,0)</f>
        <v>0</v>
      </c>
      <c r="AT348" s="20">
        <f>IF(Table1[[#This Row],[Control Panel Color Time]]&gt;0,1,0)</f>
        <v>0</v>
      </c>
    </row>
    <row r="349" spans="1:46" s="2" customFormat="1" x14ac:dyDescent="0.25">
      <c r="A349"/>
      <c r="B349"/>
      <c r="C349"/>
      <c r="D349"/>
      <c r="E349"/>
      <c r="F349"/>
      <c r="G349"/>
      <c r="H349"/>
      <c r="I349" s="8">
        <f>+Table1[[#This Row],[Auton ball picked up in our trench]]+Table1[[#This Row],[Auton Balls Picked Up in Mid]]+Table1[[#This Row],[Auton Balls Picked Up In Their Trench]]</f>
        <v>0</v>
      </c>
      <c r="J349" s="8">
        <f>+Table1[[#This Row],[Auton Scored High]]+Table1[[#This Row],[Auton Scored Low]]</f>
        <v>0</v>
      </c>
      <c r="K34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49"/>
      <c r="M349"/>
      <c r="N349"/>
      <c r="O349"/>
      <c r="P349"/>
      <c r="Q349"/>
      <c r="R349"/>
      <c r="S349"/>
      <c r="T349"/>
      <c r="U349"/>
      <c r="V349" s="8">
        <f>Table1[[#This Row],[Balls Scored From Trench]]+Table1[[#This Row],[Balls Scored from Mid]]+Table1[[#This Row],[Balls Scored From Alliance zone]]</f>
        <v>0</v>
      </c>
      <c r="W349" s="8">
        <f>Table1[[#This Row],[balls scored high]]+Table1[[#This Row],[balls scored low]]</f>
        <v>0</v>
      </c>
      <c r="X349" s="8">
        <f>Table1[[#This Row],[Control Panel Spun Time]]+Table1[[#This Row],[Control Panel Color Time]]</f>
        <v>0</v>
      </c>
      <c r="Y349" s="8">
        <f>Table1[[#This Row],[Control Panels Spun]]+Table1[[#This Row],[Control Panel Color]]</f>
        <v>0</v>
      </c>
      <c r="Z34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49"/>
      <c r="AB349"/>
      <c r="AC349"/>
      <c r="AD349"/>
      <c r="AE349"/>
      <c r="AF349"/>
      <c r="AG349"/>
      <c r="AH349"/>
      <c r="AI349"/>
      <c r="AJ349"/>
      <c r="AK349" s="17">
        <f>(Table1[[#This Row],[Climbed]]*weighting!$B$18)+(Table1[[#This Row],[Adjustable Climber]]*weighting!$B$19)+(Table1[[#This Row],[Lift other Robot]]*weighting!$B$20)+(Table1[[#This Row],[Balanced]]*weighting!$B$21)</f>
        <v>0</v>
      </c>
      <c r="AL349" s="8">
        <f>+Table1[[#This Row],[Endgame our score]]+Table1[[#This Row],[teleop our score]]+Table1[[#This Row],[auton our score]]</f>
        <v>0</v>
      </c>
      <c r="AM349" s="20">
        <f t="shared" si="15"/>
        <v>0</v>
      </c>
      <c r="AN349" s="20">
        <f t="shared" si="16"/>
        <v>0</v>
      </c>
      <c r="AO349" s="20">
        <f t="shared" si="17"/>
        <v>0</v>
      </c>
      <c r="AP349" s="20">
        <f>Table1[[#This Row],[balls scored]]+Table1[[#This Row],[auton balls scored]]</f>
        <v>0</v>
      </c>
      <c r="AQ349" s="20">
        <f>Table1[[#This Row],[balls scored high]]+Table1[[#This Row],[Auton Scored High]]</f>
        <v>0</v>
      </c>
      <c r="AR349" s="20">
        <f>Table1[[#This Row],[balls scored low]]+Table1[[#This Row],[Auton Scored Low]]</f>
        <v>0</v>
      </c>
      <c r="AS349" s="50">
        <f>IF(Table1[[#This Row],[Control Panel Spun Time]]&gt;0,1,0)</f>
        <v>0</v>
      </c>
      <c r="AT349" s="20">
        <f>IF(Table1[[#This Row],[Control Panel Color Time]]&gt;0,1,0)</f>
        <v>0</v>
      </c>
    </row>
    <row r="350" spans="1:46" x14ac:dyDescent="0.25">
      <c r="A350"/>
      <c r="I350" s="8">
        <f>+Table1[[#This Row],[Auton ball picked up in our trench]]+Table1[[#This Row],[Auton Balls Picked Up in Mid]]+Table1[[#This Row],[Auton Balls Picked Up In Their Trench]]</f>
        <v>0</v>
      </c>
      <c r="J350" s="8">
        <f>+Table1[[#This Row],[Auton Scored High]]+Table1[[#This Row],[Auton Scored Low]]</f>
        <v>0</v>
      </c>
      <c r="K35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50" s="8">
        <f>Table1[[#This Row],[Balls Scored From Trench]]+Table1[[#This Row],[Balls Scored from Mid]]+Table1[[#This Row],[Balls Scored From Alliance zone]]</f>
        <v>0</v>
      </c>
      <c r="W350" s="8">
        <f>Table1[[#This Row],[balls scored high]]+Table1[[#This Row],[balls scored low]]</f>
        <v>0</v>
      </c>
      <c r="X350" s="8">
        <f>Table1[[#This Row],[Control Panel Spun Time]]+Table1[[#This Row],[Control Panel Color Time]]</f>
        <v>0</v>
      </c>
      <c r="Y350" s="8">
        <f>Table1[[#This Row],[Control Panels Spun]]+Table1[[#This Row],[Control Panel Color]]</f>
        <v>0</v>
      </c>
      <c r="Z35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50" s="17">
        <f>(Table1[[#This Row],[Climbed]]*weighting!$B$18)+(Table1[[#This Row],[Adjustable Climber]]*weighting!$B$19)+(Table1[[#This Row],[Lift other Robot]]*weighting!$B$20)+(Table1[[#This Row],[Balanced]]*weighting!$B$21)</f>
        <v>0</v>
      </c>
      <c r="AL350" s="8">
        <f>+Table1[[#This Row],[Endgame our score]]+Table1[[#This Row],[teleop our score]]+Table1[[#This Row],[auton our score]]</f>
        <v>0</v>
      </c>
      <c r="AM350" s="20">
        <f t="shared" si="15"/>
        <v>0</v>
      </c>
      <c r="AN350" s="20">
        <f t="shared" si="16"/>
        <v>0</v>
      </c>
      <c r="AO350" s="20">
        <f t="shared" si="17"/>
        <v>0</v>
      </c>
      <c r="AP350" s="20">
        <f>Table1[[#This Row],[balls scored]]+Table1[[#This Row],[auton balls scored]]</f>
        <v>0</v>
      </c>
      <c r="AQ350" s="20">
        <f>Table1[[#This Row],[balls scored high]]+Table1[[#This Row],[Auton Scored High]]</f>
        <v>0</v>
      </c>
      <c r="AR350" s="20">
        <f>Table1[[#This Row],[balls scored low]]+Table1[[#This Row],[Auton Scored Low]]</f>
        <v>0</v>
      </c>
      <c r="AS350" s="50">
        <f>IF(Table1[[#This Row],[Control Panel Spun Time]]&gt;0,1,0)</f>
        <v>0</v>
      </c>
      <c r="AT350" s="20">
        <f>IF(Table1[[#This Row],[Control Panel Color Time]]&gt;0,1,0)</f>
        <v>0</v>
      </c>
    </row>
    <row r="351" spans="1:46" s="2" customFormat="1" x14ac:dyDescent="0.25">
      <c r="A351"/>
      <c r="B351"/>
      <c r="C351"/>
      <c r="D351"/>
      <c r="E351"/>
      <c r="F351"/>
      <c r="G351"/>
      <c r="H351"/>
      <c r="I351" s="8">
        <f>+Table1[[#This Row],[Auton ball picked up in our trench]]+Table1[[#This Row],[Auton Balls Picked Up in Mid]]+Table1[[#This Row],[Auton Balls Picked Up In Their Trench]]</f>
        <v>0</v>
      </c>
      <c r="J351" s="8">
        <f>+Table1[[#This Row],[Auton Scored High]]+Table1[[#This Row],[Auton Scored Low]]</f>
        <v>0</v>
      </c>
      <c r="K35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51"/>
      <c r="M351"/>
      <c r="N351"/>
      <c r="O351"/>
      <c r="P351"/>
      <c r="Q351"/>
      <c r="R351"/>
      <c r="S351"/>
      <c r="T351"/>
      <c r="U351"/>
      <c r="V351" s="8">
        <f>Table1[[#This Row],[Balls Scored From Trench]]+Table1[[#This Row],[Balls Scored from Mid]]+Table1[[#This Row],[Balls Scored From Alliance zone]]</f>
        <v>0</v>
      </c>
      <c r="W351" s="8">
        <f>Table1[[#This Row],[balls scored high]]+Table1[[#This Row],[balls scored low]]</f>
        <v>0</v>
      </c>
      <c r="X351" s="8">
        <f>Table1[[#This Row],[Control Panel Spun Time]]+Table1[[#This Row],[Control Panel Color Time]]</f>
        <v>0</v>
      </c>
      <c r="Y351" s="8">
        <f>Table1[[#This Row],[Control Panels Spun]]+Table1[[#This Row],[Control Panel Color]]</f>
        <v>0</v>
      </c>
      <c r="Z35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51"/>
      <c r="AB351"/>
      <c r="AC351"/>
      <c r="AD351"/>
      <c r="AE351"/>
      <c r="AF351"/>
      <c r="AG351"/>
      <c r="AH351"/>
      <c r="AI351"/>
      <c r="AJ351"/>
      <c r="AK351" s="17">
        <f>(Table1[[#This Row],[Climbed]]*weighting!$B$18)+(Table1[[#This Row],[Adjustable Climber]]*weighting!$B$19)+(Table1[[#This Row],[Lift other Robot]]*weighting!$B$20)+(Table1[[#This Row],[Balanced]]*weighting!$B$21)</f>
        <v>0</v>
      </c>
      <c r="AL351" s="8">
        <f>+Table1[[#This Row],[Endgame our score]]+Table1[[#This Row],[teleop our score]]+Table1[[#This Row],[auton our score]]</f>
        <v>0</v>
      </c>
      <c r="AM351" s="20">
        <f t="shared" si="15"/>
        <v>0</v>
      </c>
      <c r="AN351" s="20">
        <f t="shared" si="16"/>
        <v>0</v>
      </c>
      <c r="AO351" s="20">
        <f t="shared" si="17"/>
        <v>0</v>
      </c>
      <c r="AP351" s="20">
        <f>Table1[[#This Row],[balls scored]]+Table1[[#This Row],[auton balls scored]]</f>
        <v>0</v>
      </c>
      <c r="AQ351" s="20">
        <f>Table1[[#This Row],[balls scored high]]+Table1[[#This Row],[Auton Scored High]]</f>
        <v>0</v>
      </c>
      <c r="AR351" s="20">
        <f>Table1[[#This Row],[balls scored low]]+Table1[[#This Row],[Auton Scored Low]]</f>
        <v>0</v>
      </c>
      <c r="AS351" s="50">
        <f>IF(Table1[[#This Row],[Control Panel Spun Time]]&gt;0,1,0)</f>
        <v>0</v>
      </c>
      <c r="AT351" s="20">
        <f>IF(Table1[[#This Row],[Control Panel Color Time]]&gt;0,1,0)</f>
        <v>0</v>
      </c>
    </row>
    <row r="352" spans="1:46" x14ac:dyDescent="0.25">
      <c r="A352"/>
      <c r="I352" s="8">
        <f>+Table1[[#This Row],[Auton ball picked up in our trench]]+Table1[[#This Row],[Auton Balls Picked Up in Mid]]+Table1[[#This Row],[Auton Balls Picked Up In Their Trench]]</f>
        <v>0</v>
      </c>
      <c r="J352" s="8">
        <f>+Table1[[#This Row],[Auton Scored High]]+Table1[[#This Row],[Auton Scored Low]]</f>
        <v>0</v>
      </c>
      <c r="K35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52" s="8">
        <f>Table1[[#This Row],[Balls Scored From Trench]]+Table1[[#This Row],[Balls Scored from Mid]]+Table1[[#This Row],[Balls Scored From Alliance zone]]</f>
        <v>0</v>
      </c>
      <c r="W352" s="8">
        <f>Table1[[#This Row],[balls scored high]]+Table1[[#This Row],[balls scored low]]</f>
        <v>0</v>
      </c>
      <c r="X352" s="8">
        <f>Table1[[#This Row],[Control Panel Spun Time]]+Table1[[#This Row],[Control Panel Color Time]]</f>
        <v>0</v>
      </c>
      <c r="Y352" s="8">
        <f>Table1[[#This Row],[Control Panels Spun]]+Table1[[#This Row],[Control Panel Color]]</f>
        <v>0</v>
      </c>
      <c r="Z35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52" s="17">
        <f>(Table1[[#This Row],[Climbed]]*weighting!$B$18)+(Table1[[#This Row],[Adjustable Climber]]*weighting!$B$19)+(Table1[[#This Row],[Lift other Robot]]*weighting!$B$20)+(Table1[[#This Row],[Balanced]]*weighting!$B$21)</f>
        <v>0</v>
      </c>
      <c r="AL352" s="8">
        <f>+Table1[[#This Row],[Endgame our score]]+Table1[[#This Row],[teleop our score]]+Table1[[#This Row],[auton our score]]</f>
        <v>0</v>
      </c>
      <c r="AM352" s="20">
        <f t="shared" si="15"/>
        <v>0</v>
      </c>
      <c r="AN352" s="20">
        <f t="shared" si="16"/>
        <v>0</v>
      </c>
      <c r="AO352" s="20">
        <f t="shared" si="17"/>
        <v>0</v>
      </c>
      <c r="AP352" s="20">
        <f>Table1[[#This Row],[balls scored]]+Table1[[#This Row],[auton balls scored]]</f>
        <v>0</v>
      </c>
      <c r="AQ352" s="20">
        <f>Table1[[#This Row],[balls scored high]]+Table1[[#This Row],[Auton Scored High]]</f>
        <v>0</v>
      </c>
      <c r="AR352" s="20">
        <f>Table1[[#This Row],[balls scored low]]+Table1[[#This Row],[Auton Scored Low]]</f>
        <v>0</v>
      </c>
      <c r="AS352" s="50">
        <f>IF(Table1[[#This Row],[Control Panel Spun Time]]&gt;0,1,0)</f>
        <v>0</v>
      </c>
      <c r="AT352" s="20">
        <f>IF(Table1[[#This Row],[Control Panel Color Time]]&gt;0,1,0)</f>
        <v>0</v>
      </c>
    </row>
    <row r="353" spans="1:46" s="2" customFormat="1" x14ac:dyDescent="0.25">
      <c r="A353"/>
      <c r="B353"/>
      <c r="C353"/>
      <c r="D353"/>
      <c r="E353"/>
      <c r="F353"/>
      <c r="G353"/>
      <c r="H353"/>
      <c r="I353" s="8">
        <f>+Table1[[#This Row],[Auton ball picked up in our trench]]+Table1[[#This Row],[Auton Balls Picked Up in Mid]]+Table1[[#This Row],[Auton Balls Picked Up In Their Trench]]</f>
        <v>0</v>
      </c>
      <c r="J353" s="8">
        <f>+Table1[[#This Row],[Auton Scored High]]+Table1[[#This Row],[Auton Scored Low]]</f>
        <v>0</v>
      </c>
      <c r="K35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53"/>
      <c r="M353"/>
      <c r="N353"/>
      <c r="O353"/>
      <c r="P353"/>
      <c r="Q353"/>
      <c r="R353"/>
      <c r="S353"/>
      <c r="T353"/>
      <c r="U353"/>
      <c r="V353" s="8">
        <f>Table1[[#This Row],[Balls Scored From Trench]]+Table1[[#This Row],[Balls Scored from Mid]]+Table1[[#This Row],[Balls Scored From Alliance zone]]</f>
        <v>0</v>
      </c>
      <c r="W353" s="8">
        <f>Table1[[#This Row],[balls scored high]]+Table1[[#This Row],[balls scored low]]</f>
        <v>0</v>
      </c>
      <c r="X353" s="8">
        <f>Table1[[#This Row],[Control Panel Spun Time]]+Table1[[#This Row],[Control Panel Color Time]]</f>
        <v>0</v>
      </c>
      <c r="Y353" s="8">
        <f>Table1[[#This Row],[Control Panels Spun]]+Table1[[#This Row],[Control Panel Color]]</f>
        <v>0</v>
      </c>
      <c r="Z35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53"/>
      <c r="AB353"/>
      <c r="AC353"/>
      <c r="AD353"/>
      <c r="AE353"/>
      <c r="AF353"/>
      <c r="AG353"/>
      <c r="AH353"/>
      <c r="AI353"/>
      <c r="AJ353"/>
      <c r="AK353" s="17">
        <f>(Table1[[#This Row],[Climbed]]*weighting!$B$18)+(Table1[[#This Row],[Adjustable Climber]]*weighting!$B$19)+(Table1[[#This Row],[Lift other Robot]]*weighting!$B$20)+(Table1[[#This Row],[Balanced]]*weighting!$B$21)</f>
        <v>0</v>
      </c>
      <c r="AL353" s="8">
        <f>+Table1[[#This Row],[Endgame our score]]+Table1[[#This Row],[teleop our score]]+Table1[[#This Row],[auton our score]]</f>
        <v>0</v>
      </c>
      <c r="AM353" s="20">
        <f t="shared" si="15"/>
        <v>0</v>
      </c>
      <c r="AN353" s="20">
        <f t="shared" si="16"/>
        <v>0</v>
      </c>
      <c r="AO353" s="20">
        <f t="shared" si="17"/>
        <v>0</v>
      </c>
      <c r="AP353" s="20">
        <f>Table1[[#This Row],[balls scored]]+Table1[[#This Row],[auton balls scored]]</f>
        <v>0</v>
      </c>
      <c r="AQ353" s="20">
        <f>Table1[[#This Row],[balls scored high]]+Table1[[#This Row],[Auton Scored High]]</f>
        <v>0</v>
      </c>
      <c r="AR353" s="20">
        <f>Table1[[#This Row],[balls scored low]]+Table1[[#This Row],[Auton Scored Low]]</f>
        <v>0</v>
      </c>
      <c r="AS353" s="50">
        <f>IF(Table1[[#This Row],[Control Panel Spun Time]]&gt;0,1,0)</f>
        <v>0</v>
      </c>
      <c r="AT353" s="20">
        <f>IF(Table1[[#This Row],[Control Panel Color Time]]&gt;0,1,0)</f>
        <v>0</v>
      </c>
    </row>
    <row r="354" spans="1:46" x14ac:dyDescent="0.25">
      <c r="A354"/>
      <c r="I354" s="8">
        <f>+Table1[[#This Row],[Auton ball picked up in our trench]]+Table1[[#This Row],[Auton Balls Picked Up in Mid]]+Table1[[#This Row],[Auton Balls Picked Up In Their Trench]]</f>
        <v>0</v>
      </c>
      <c r="J354" s="8">
        <f>+Table1[[#This Row],[Auton Scored High]]+Table1[[#This Row],[Auton Scored Low]]</f>
        <v>0</v>
      </c>
      <c r="K35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54" s="8">
        <f>Table1[[#This Row],[Balls Scored From Trench]]+Table1[[#This Row],[Balls Scored from Mid]]+Table1[[#This Row],[Balls Scored From Alliance zone]]</f>
        <v>0</v>
      </c>
      <c r="W354" s="8">
        <f>Table1[[#This Row],[balls scored high]]+Table1[[#This Row],[balls scored low]]</f>
        <v>0</v>
      </c>
      <c r="X354" s="8">
        <f>Table1[[#This Row],[Control Panel Spun Time]]+Table1[[#This Row],[Control Panel Color Time]]</f>
        <v>0</v>
      </c>
      <c r="Y354" s="8">
        <f>Table1[[#This Row],[Control Panels Spun]]+Table1[[#This Row],[Control Panel Color]]</f>
        <v>0</v>
      </c>
      <c r="Z35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54" s="17">
        <f>(Table1[[#This Row],[Climbed]]*weighting!$B$18)+(Table1[[#This Row],[Adjustable Climber]]*weighting!$B$19)+(Table1[[#This Row],[Lift other Robot]]*weighting!$B$20)+(Table1[[#This Row],[Balanced]]*weighting!$B$21)</f>
        <v>0</v>
      </c>
      <c r="AL354" s="8">
        <f>+Table1[[#This Row],[Endgame our score]]+Table1[[#This Row],[teleop our score]]+Table1[[#This Row],[auton our score]]</f>
        <v>0</v>
      </c>
      <c r="AM354" s="20">
        <f t="shared" si="15"/>
        <v>0</v>
      </c>
      <c r="AN354" s="20">
        <f t="shared" si="16"/>
        <v>0</v>
      </c>
      <c r="AO354" s="20">
        <f t="shared" si="17"/>
        <v>0</v>
      </c>
      <c r="AP354" s="20">
        <f>Table1[[#This Row],[balls scored]]+Table1[[#This Row],[auton balls scored]]</f>
        <v>0</v>
      </c>
      <c r="AQ354" s="20">
        <f>Table1[[#This Row],[balls scored high]]+Table1[[#This Row],[Auton Scored High]]</f>
        <v>0</v>
      </c>
      <c r="AR354" s="20">
        <f>Table1[[#This Row],[balls scored low]]+Table1[[#This Row],[Auton Scored Low]]</f>
        <v>0</v>
      </c>
      <c r="AS354" s="50">
        <f>IF(Table1[[#This Row],[Control Panel Spun Time]]&gt;0,1,0)</f>
        <v>0</v>
      </c>
      <c r="AT354" s="20">
        <f>IF(Table1[[#This Row],[Control Panel Color Time]]&gt;0,1,0)</f>
        <v>0</v>
      </c>
    </row>
    <row r="355" spans="1:46" s="2" customFormat="1" x14ac:dyDescent="0.25">
      <c r="A355"/>
      <c r="B355"/>
      <c r="C355"/>
      <c r="D355"/>
      <c r="E355"/>
      <c r="F355"/>
      <c r="G355"/>
      <c r="H355"/>
      <c r="I355" s="8">
        <f>+Table1[[#This Row],[Auton ball picked up in our trench]]+Table1[[#This Row],[Auton Balls Picked Up in Mid]]+Table1[[#This Row],[Auton Balls Picked Up In Their Trench]]</f>
        <v>0</v>
      </c>
      <c r="J355" s="8">
        <f>+Table1[[#This Row],[Auton Scored High]]+Table1[[#This Row],[Auton Scored Low]]</f>
        <v>0</v>
      </c>
      <c r="K35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55"/>
      <c r="M355"/>
      <c r="N355"/>
      <c r="O355"/>
      <c r="P355"/>
      <c r="Q355"/>
      <c r="R355"/>
      <c r="S355"/>
      <c r="T355"/>
      <c r="U355"/>
      <c r="V355" s="8">
        <f>Table1[[#This Row],[Balls Scored From Trench]]+Table1[[#This Row],[Balls Scored from Mid]]+Table1[[#This Row],[Balls Scored From Alliance zone]]</f>
        <v>0</v>
      </c>
      <c r="W355" s="8">
        <f>Table1[[#This Row],[balls scored high]]+Table1[[#This Row],[balls scored low]]</f>
        <v>0</v>
      </c>
      <c r="X355" s="8">
        <f>Table1[[#This Row],[Control Panel Spun Time]]+Table1[[#This Row],[Control Panel Color Time]]</f>
        <v>0</v>
      </c>
      <c r="Y355" s="8">
        <f>Table1[[#This Row],[Control Panels Spun]]+Table1[[#This Row],[Control Panel Color]]</f>
        <v>0</v>
      </c>
      <c r="Z35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55"/>
      <c r="AB355"/>
      <c r="AC355"/>
      <c r="AD355"/>
      <c r="AE355"/>
      <c r="AF355"/>
      <c r="AG355"/>
      <c r="AH355"/>
      <c r="AI355"/>
      <c r="AJ355"/>
      <c r="AK355" s="17">
        <f>(Table1[[#This Row],[Climbed]]*weighting!$B$18)+(Table1[[#This Row],[Adjustable Climber]]*weighting!$B$19)+(Table1[[#This Row],[Lift other Robot]]*weighting!$B$20)+(Table1[[#This Row],[Balanced]]*weighting!$B$21)</f>
        <v>0</v>
      </c>
      <c r="AL355" s="8">
        <f>+Table1[[#This Row],[Endgame our score]]+Table1[[#This Row],[teleop our score]]+Table1[[#This Row],[auton our score]]</f>
        <v>0</v>
      </c>
      <c r="AM355" s="20">
        <f t="shared" si="15"/>
        <v>0</v>
      </c>
      <c r="AN355" s="20">
        <f t="shared" si="16"/>
        <v>0</v>
      </c>
      <c r="AO355" s="20">
        <f t="shared" si="17"/>
        <v>0</v>
      </c>
      <c r="AP355" s="20">
        <f>Table1[[#This Row],[balls scored]]+Table1[[#This Row],[auton balls scored]]</f>
        <v>0</v>
      </c>
      <c r="AQ355" s="20">
        <f>Table1[[#This Row],[balls scored high]]+Table1[[#This Row],[Auton Scored High]]</f>
        <v>0</v>
      </c>
      <c r="AR355" s="20">
        <f>Table1[[#This Row],[balls scored low]]+Table1[[#This Row],[Auton Scored Low]]</f>
        <v>0</v>
      </c>
      <c r="AS355" s="50">
        <f>IF(Table1[[#This Row],[Control Panel Spun Time]]&gt;0,1,0)</f>
        <v>0</v>
      </c>
      <c r="AT355" s="20">
        <f>IF(Table1[[#This Row],[Control Panel Color Time]]&gt;0,1,0)</f>
        <v>0</v>
      </c>
    </row>
    <row r="356" spans="1:46" x14ac:dyDescent="0.25">
      <c r="A356"/>
      <c r="I356" s="8">
        <f>+Table1[[#This Row],[Auton ball picked up in our trench]]+Table1[[#This Row],[Auton Balls Picked Up in Mid]]+Table1[[#This Row],[Auton Balls Picked Up In Their Trench]]</f>
        <v>0</v>
      </c>
      <c r="J356" s="8">
        <f>+Table1[[#This Row],[Auton Scored High]]+Table1[[#This Row],[Auton Scored Low]]</f>
        <v>0</v>
      </c>
      <c r="K35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56" s="8">
        <f>Table1[[#This Row],[Balls Scored From Trench]]+Table1[[#This Row],[Balls Scored from Mid]]+Table1[[#This Row],[Balls Scored From Alliance zone]]</f>
        <v>0</v>
      </c>
      <c r="W356" s="8">
        <f>Table1[[#This Row],[balls scored high]]+Table1[[#This Row],[balls scored low]]</f>
        <v>0</v>
      </c>
      <c r="X356" s="8">
        <f>Table1[[#This Row],[Control Panel Spun Time]]+Table1[[#This Row],[Control Panel Color Time]]</f>
        <v>0</v>
      </c>
      <c r="Y356" s="8">
        <f>Table1[[#This Row],[Control Panels Spun]]+Table1[[#This Row],[Control Panel Color]]</f>
        <v>0</v>
      </c>
      <c r="Z35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56" s="17">
        <f>(Table1[[#This Row],[Climbed]]*weighting!$B$18)+(Table1[[#This Row],[Adjustable Climber]]*weighting!$B$19)+(Table1[[#This Row],[Lift other Robot]]*weighting!$B$20)+(Table1[[#This Row],[Balanced]]*weighting!$B$21)</f>
        <v>0</v>
      </c>
      <c r="AL356" s="8">
        <f>+Table1[[#This Row],[Endgame our score]]+Table1[[#This Row],[teleop our score]]+Table1[[#This Row],[auton our score]]</f>
        <v>0</v>
      </c>
      <c r="AM356" s="20">
        <f t="shared" si="15"/>
        <v>0</v>
      </c>
      <c r="AN356" s="20">
        <f t="shared" si="16"/>
        <v>0</v>
      </c>
      <c r="AO356" s="20">
        <f t="shared" si="17"/>
        <v>0</v>
      </c>
      <c r="AP356" s="20">
        <f>Table1[[#This Row],[balls scored]]+Table1[[#This Row],[auton balls scored]]</f>
        <v>0</v>
      </c>
      <c r="AQ356" s="20">
        <f>Table1[[#This Row],[balls scored high]]+Table1[[#This Row],[Auton Scored High]]</f>
        <v>0</v>
      </c>
      <c r="AR356" s="20">
        <f>Table1[[#This Row],[balls scored low]]+Table1[[#This Row],[Auton Scored Low]]</f>
        <v>0</v>
      </c>
      <c r="AS356" s="50">
        <f>IF(Table1[[#This Row],[Control Panel Spun Time]]&gt;0,1,0)</f>
        <v>0</v>
      </c>
      <c r="AT356" s="20">
        <f>IF(Table1[[#This Row],[Control Panel Color Time]]&gt;0,1,0)</f>
        <v>0</v>
      </c>
    </row>
    <row r="357" spans="1:46" s="2" customFormat="1" x14ac:dyDescent="0.25">
      <c r="A357"/>
      <c r="B357"/>
      <c r="C357"/>
      <c r="D357"/>
      <c r="E357"/>
      <c r="F357"/>
      <c r="G357"/>
      <c r="H357"/>
      <c r="I357" s="8">
        <f>+Table1[[#This Row],[Auton ball picked up in our trench]]+Table1[[#This Row],[Auton Balls Picked Up in Mid]]+Table1[[#This Row],[Auton Balls Picked Up In Their Trench]]</f>
        <v>0</v>
      </c>
      <c r="J357" s="8">
        <f>+Table1[[#This Row],[Auton Scored High]]+Table1[[#This Row],[Auton Scored Low]]</f>
        <v>0</v>
      </c>
      <c r="K35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57"/>
      <c r="M357"/>
      <c r="N357"/>
      <c r="O357"/>
      <c r="P357"/>
      <c r="Q357"/>
      <c r="R357"/>
      <c r="S357"/>
      <c r="T357"/>
      <c r="U357"/>
      <c r="V357" s="8">
        <f>Table1[[#This Row],[Balls Scored From Trench]]+Table1[[#This Row],[Balls Scored from Mid]]+Table1[[#This Row],[Balls Scored From Alliance zone]]</f>
        <v>0</v>
      </c>
      <c r="W357" s="8">
        <f>Table1[[#This Row],[balls scored high]]+Table1[[#This Row],[balls scored low]]</f>
        <v>0</v>
      </c>
      <c r="X357" s="8">
        <f>Table1[[#This Row],[Control Panel Spun Time]]+Table1[[#This Row],[Control Panel Color Time]]</f>
        <v>0</v>
      </c>
      <c r="Y357" s="8">
        <f>Table1[[#This Row],[Control Panels Spun]]+Table1[[#This Row],[Control Panel Color]]</f>
        <v>0</v>
      </c>
      <c r="Z35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57"/>
      <c r="AB357"/>
      <c r="AC357"/>
      <c r="AD357"/>
      <c r="AE357"/>
      <c r="AF357"/>
      <c r="AG357"/>
      <c r="AH357"/>
      <c r="AI357"/>
      <c r="AJ357"/>
      <c r="AK357" s="17">
        <f>(Table1[[#This Row],[Climbed]]*weighting!$B$18)+(Table1[[#This Row],[Adjustable Climber]]*weighting!$B$19)+(Table1[[#This Row],[Lift other Robot]]*weighting!$B$20)+(Table1[[#This Row],[Balanced]]*weighting!$B$21)</f>
        <v>0</v>
      </c>
      <c r="AL357" s="8">
        <f>+Table1[[#This Row],[Endgame our score]]+Table1[[#This Row],[teleop our score]]+Table1[[#This Row],[auton our score]]</f>
        <v>0</v>
      </c>
      <c r="AM357" s="20">
        <f t="shared" si="15"/>
        <v>0</v>
      </c>
      <c r="AN357" s="20">
        <f t="shared" si="16"/>
        <v>0</v>
      </c>
      <c r="AO357" s="20">
        <f t="shared" si="17"/>
        <v>0</v>
      </c>
      <c r="AP357" s="20">
        <f>Table1[[#This Row],[balls scored]]+Table1[[#This Row],[auton balls scored]]</f>
        <v>0</v>
      </c>
      <c r="AQ357" s="20">
        <f>Table1[[#This Row],[balls scored high]]+Table1[[#This Row],[Auton Scored High]]</f>
        <v>0</v>
      </c>
      <c r="AR357" s="20">
        <f>Table1[[#This Row],[balls scored low]]+Table1[[#This Row],[Auton Scored Low]]</f>
        <v>0</v>
      </c>
      <c r="AS357" s="50">
        <f>IF(Table1[[#This Row],[Control Panel Spun Time]]&gt;0,1,0)</f>
        <v>0</v>
      </c>
      <c r="AT357" s="20">
        <f>IF(Table1[[#This Row],[Control Panel Color Time]]&gt;0,1,0)</f>
        <v>0</v>
      </c>
    </row>
    <row r="358" spans="1:46" x14ac:dyDescent="0.25">
      <c r="A358"/>
      <c r="I358" s="8">
        <f>+Table1[[#This Row],[Auton ball picked up in our trench]]+Table1[[#This Row],[Auton Balls Picked Up in Mid]]+Table1[[#This Row],[Auton Balls Picked Up In Their Trench]]</f>
        <v>0</v>
      </c>
      <c r="J358" s="8">
        <f>+Table1[[#This Row],[Auton Scored High]]+Table1[[#This Row],[Auton Scored Low]]</f>
        <v>0</v>
      </c>
      <c r="K35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58" s="8">
        <f>Table1[[#This Row],[Balls Scored From Trench]]+Table1[[#This Row],[Balls Scored from Mid]]+Table1[[#This Row],[Balls Scored From Alliance zone]]</f>
        <v>0</v>
      </c>
      <c r="W358" s="8">
        <f>Table1[[#This Row],[balls scored high]]+Table1[[#This Row],[balls scored low]]</f>
        <v>0</v>
      </c>
      <c r="X358" s="8">
        <f>Table1[[#This Row],[Control Panel Spun Time]]+Table1[[#This Row],[Control Panel Color Time]]</f>
        <v>0</v>
      </c>
      <c r="Y358" s="8">
        <f>Table1[[#This Row],[Control Panels Spun]]+Table1[[#This Row],[Control Panel Color]]</f>
        <v>0</v>
      </c>
      <c r="Z35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58" s="17">
        <f>(Table1[[#This Row],[Climbed]]*weighting!$B$18)+(Table1[[#This Row],[Adjustable Climber]]*weighting!$B$19)+(Table1[[#This Row],[Lift other Robot]]*weighting!$B$20)+(Table1[[#This Row],[Balanced]]*weighting!$B$21)</f>
        <v>0</v>
      </c>
      <c r="AL358" s="8">
        <f>+Table1[[#This Row],[Endgame our score]]+Table1[[#This Row],[teleop our score]]+Table1[[#This Row],[auton our score]]</f>
        <v>0</v>
      </c>
      <c r="AM358" s="20">
        <f t="shared" si="15"/>
        <v>0</v>
      </c>
      <c r="AN358" s="20">
        <f t="shared" si="16"/>
        <v>0</v>
      </c>
      <c r="AO358" s="20">
        <f t="shared" si="17"/>
        <v>0</v>
      </c>
      <c r="AP358" s="20">
        <f>Table1[[#This Row],[balls scored]]+Table1[[#This Row],[auton balls scored]]</f>
        <v>0</v>
      </c>
      <c r="AQ358" s="20">
        <f>Table1[[#This Row],[balls scored high]]+Table1[[#This Row],[Auton Scored High]]</f>
        <v>0</v>
      </c>
      <c r="AR358" s="20">
        <f>Table1[[#This Row],[balls scored low]]+Table1[[#This Row],[Auton Scored Low]]</f>
        <v>0</v>
      </c>
      <c r="AS358" s="50">
        <f>IF(Table1[[#This Row],[Control Panel Spun Time]]&gt;0,1,0)</f>
        <v>0</v>
      </c>
      <c r="AT358" s="20">
        <f>IF(Table1[[#This Row],[Control Panel Color Time]]&gt;0,1,0)</f>
        <v>0</v>
      </c>
    </row>
    <row r="359" spans="1:46" s="2" customFormat="1" x14ac:dyDescent="0.25">
      <c r="A359"/>
      <c r="B359"/>
      <c r="C359"/>
      <c r="D359"/>
      <c r="E359"/>
      <c r="F359"/>
      <c r="G359"/>
      <c r="H359"/>
      <c r="I359" s="8">
        <f>+Table1[[#This Row],[Auton ball picked up in our trench]]+Table1[[#This Row],[Auton Balls Picked Up in Mid]]+Table1[[#This Row],[Auton Balls Picked Up In Their Trench]]</f>
        <v>0</v>
      </c>
      <c r="J359" s="8">
        <f>+Table1[[#This Row],[Auton Scored High]]+Table1[[#This Row],[Auton Scored Low]]</f>
        <v>0</v>
      </c>
      <c r="K35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59"/>
      <c r="M359"/>
      <c r="N359"/>
      <c r="O359"/>
      <c r="P359"/>
      <c r="Q359"/>
      <c r="R359"/>
      <c r="S359"/>
      <c r="T359"/>
      <c r="U359"/>
      <c r="V359" s="8">
        <f>Table1[[#This Row],[Balls Scored From Trench]]+Table1[[#This Row],[Balls Scored from Mid]]+Table1[[#This Row],[Balls Scored From Alliance zone]]</f>
        <v>0</v>
      </c>
      <c r="W359" s="8">
        <f>Table1[[#This Row],[balls scored high]]+Table1[[#This Row],[balls scored low]]</f>
        <v>0</v>
      </c>
      <c r="X359" s="8">
        <f>Table1[[#This Row],[Control Panel Spun Time]]+Table1[[#This Row],[Control Panel Color Time]]</f>
        <v>0</v>
      </c>
      <c r="Y359" s="8">
        <f>Table1[[#This Row],[Control Panels Spun]]+Table1[[#This Row],[Control Panel Color]]</f>
        <v>0</v>
      </c>
      <c r="Z35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59"/>
      <c r="AB359"/>
      <c r="AC359"/>
      <c r="AD359"/>
      <c r="AE359"/>
      <c r="AF359"/>
      <c r="AG359"/>
      <c r="AH359"/>
      <c r="AI359"/>
      <c r="AJ359"/>
      <c r="AK359" s="17">
        <f>(Table1[[#This Row],[Climbed]]*weighting!$B$18)+(Table1[[#This Row],[Adjustable Climber]]*weighting!$B$19)+(Table1[[#This Row],[Lift other Robot]]*weighting!$B$20)+(Table1[[#This Row],[Balanced]]*weighting!$B$21)</f>
        <v>0</v>
      </c>
      <c r="AL359" s="8">
        <f>+Table1[[#This Row],[Endgame our score]]+Table1[[#This Row],[teleop our score]]+Table1[[#This Row],[auton our score]]</f>
        <v>0</v>
      </c>
      <c r="AM359" s="20">
        <f t="shared" si="15"/>
        <v>0</v>
      </c>
      <c r="AN359" s="20">
        <f t="shared" si="16"/>
        <v>0</v>
      </c>
      <c r="AO359" s="20">
        <f t="shared" si="17"/>
        <v>0</v>
      </c>
      <c r="AP359" s="20">
        <f>Table1[[#This Row],[balls scored]]+Table1[[#This Row],[auton balls scored]]</f>
        <v>0</v>
      </c>
      <c r="AQ359" s="20">
        <f>Table1[[#This Row],[balls scored high]]+Table1[[#This Row],[Auton Scored High]]</f>
        <v>0</v>
      </c>
      <c r="AR359" s="20">
        <f>Table1[[#This Row],[balls scored low]]+Table1[[#This Row],[Auton Scored Low]]</f>
        <v>0</v>
      </c>
      <c r="AS359" s="50">
        <f>IF(Table1[[#This Row],[Control Panel Spun Time]]&gt;0,1,0)</f>
        <v>0</v>
      </c>
      <c r="AT359" s="20">
        <f>IF(Table1[[#This Row],[Control Panel Color Time]]&gt;0,1,0)</f>
        <v>0</v>
      </c>
    </row>
    <row r="360" spans="1:46" x14ac:dyDescent="0.25">
      <c r="A360"/>
      <c r="I360" s="8">
        <f>+Table1[[#This Row],[Auton ball picked up in our trench]]+Table1[[#This Row],[Auton Balls Picked Up in Mid]]+Table1[[#This Row],[Auton Balls Picked Up In Their Trench]]</f>
        <v>0</v>
      </c>
      <c r="J360" s="8">
        <f>+Table1[[#This Row],[Auton Scored High]]+Table1[[#This Row],[Auton Scored Low]]</f>
        <v>0</v>
      </c>
      <c r="K36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60" s="8">
        <f>Table1[[#This Row],[Balls Scored From Trench]]+Table1[[#This Row],[Balls Scored from Mid]]+Table1[[#This Row],[Balls Scored From Alliance zone]]</f>
        <v>0</v>
      </c>
      <c r="W360" s="8">
        <f>Table1[[#This Row],[balls scored high]]+Table1[[#This Row],[balls scored low]]</f>
        <v>0</v>
      </c>
      <c r="X360" s="8">
        <f>Table1[[#This Row],[Control Panel Spun Time]]+Table1[[#This Row],[Control Panel Color Time]]</f>
        <v>0</v>
      </c>
      <c r="Y360" s="8">
        <f>Table1[[#This Row],[Control Panels Spun]]+Table1[[#This Row],[Control Panel Color]]</f>
        <v>0</v>
      </c>
      <c r="Z36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60" s="17">
        <f>(Table1[[#This Row],[Climbed]]*weighting!$B$18)+(Table1[[#This Row],[Adjustable Climber]]*weighting!$B$19)+(Table1[[#This Row],[Lift other Robot]]*weighting!$B$20)+(Table1[[#This Row],[Balanced]]*weighting!$B$21)</f>
        <v>0</v>
      </c>
      <c r="AL360" s="8">
        <f>+Table1[[#This Row],[Endgame our score]]+Table1[[#This Row],[teleop our score]]+Table1[[#This Row],[auton our score]]</f>
        <v>0</v>
      </c>
      <c r="AM360" s="20">
        <f t="shared" si="15"/>
        <v>0</v>
      </c>
      <c r="AN360" s="20">
        <f t="shared" si="16"/>
        <v>0</v>
      </c>
      <c r="AO360" s="20">
        <f t="shared" si="17"/>
        <v>0</v>
      </c>
      <c r="AP360" s="20">
        <f>Table1[[#This Row],[balls scored]]+Table1[[#This Row],[auton balls scored]]</f>
        <v>0</v>
      </c>
      <c r="AQ360" s="20">
        <f>Table1[[#This Row],[balls scored high]]+Table1[[#This Row],[Auton Scored High]]</f>
        <v>0</v>
      </c>
      <c r="AR360" s="20">
        <f>Table1[[#This Row],[balls scored low]]+Table1[[#This Row],[Auton Scored Low]]</f>
        <v>0</v>
      </c>
      <c r="AS360" s="50">
        <f>IF(Table1[[#This Row],[Control Panel Spun Time]]&gt;0,1,0)</f>
        <v>0</v>
      </c>
      <c r="AT360" s="20">
        <f>IF(Table1[[#This Row],[Control Panel Color Time]]&gt;0,1,0)</f>
        <v>0</v>
      </c>
    </row>
    <row r="361" spans="1:46" s="2" customFormat="1" x14ac:dyDescent="0.25">
      <c r="A361"/>
      <c r="B361"/>
      <c r="C361"/>
      <c r="D361"/>
      <c r="E361"/>
      <c r="F361"/>
      <c r="G361"/>
      <c r="H361"/>
      <c r="I361" s="8">
        <f>+Table1[[#This Row],[Auton ball picked up in our trench]]+Table1[[#This Row],[Auton Balls Picked Up in Mid]]+Table1[[#This Row],[Auton Balls Picked Up In Their Trench]]</f>
        <v>0</v>
      </c>
      <c r="J361" s="8">
        <f>+Table1[[#This Row],[Auton Scored High]]+Table1[[#This Row],[Auton Scored Low]]</f>
        <v>0</v>
      </c>
      <c r="K36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61"/>
      <c r="M361"/>
      <c r="N361"/>
      <c r="O361"/>
      <c r="P361"/>
      <c r="Q361"/>
      <c r="R361"/>
      <c r="S361"/>
      <c r="T361"/>
      <c r="U361"/>
      <c r="V361" s="8">
        <f>Table1[[#This Row],[Balls Scored From Trench]]+Table1[[#This Row],[Balls Scored from Mid]]+Table1[[#This Row],[Balls Scored From Alliance zone]]</f>
        <v>0</v>
      </c>
      <c r="W361" s="8">
        <f>Table1[[#This Row],[balls scored high]]+Table1[[#This Row],[balls scored low]]</f>
        <v>0</v>
      </c>
      <c r="X361" s="8">
        <f>Table1[[#This Row],[Control Panel Spun Time]]+Table1[[#This Row],[Control Panel Color Time]]</f>
        <v>0</v>
      </c>
      <c r="Y361" s="8">
        <f>Table1[[#This Row],[Control Panels Spun]]+Table1[[#This Row],[Control Panel Color]]</f>
        <v>0</v>
      </c>
      <c r="Z36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61"/>
      <c r="AB361"/>
      <c r="AC361"/>
      <c r="AD361"/>
      <c r="AE361"/>
      <c r="AF361"/>
      <c r="AG361"/>
      <c r="AH361"/>
      <c r="AI361"/>
      <c r="AJ361"/>
      <c r="AK361" s="17">
        <f>(Table1[[#This Row],[Climbed]]*weighting!$B$18)+(Table1[[#This Row],[Adjustable Climber]]*weighting!$B$19)+(Table1[[#This Row],[Lift other Robot]]*weighting!$B$20)+(Table1[[#This Row],[Balanced]]*weighting!$B$21)</f>
        <v>0</v>
      </c>
      <c r="AL361" s="8">
        <f>+Table1[[#This Row],[Endgame our score]]+Table1[[#This Row],[teleop our score]]+Table1[[#This Row],[auton our score]]</f>
        <v>0</v>
      </c>
      <c r="AM361" s="20">
        <f t="shared" si="15"/>
        <v>0</v>
      </c>
      <c r="AN361" s="20">
        <f t="shared" si="16"/>
        <v>0</v>
      </c>
      <c r="AO361" s="20">
        <f t="shared" si="17"/>
        <v>0</v>
      </c>
      <c r="AP361" s="20">
        <f>Table1[[#This Row],[balls scored]]+Table1[[#This Row],[auton balls scored]]</f>
        <v>0</v>
      </c>
      <c r="AQ361" s="20">
        <f>Table1[[#This Row],[balls scored high]]+Table1[[#This Row],[Auton Scored High]]</f>
        <v>0</v>
      </c>
      <c r="AR361" s="20">
        <f>Table1[[#This Row],[balls scored low]]+Table1[[#This Row],[Auton Scored Low]]</f>
        <v>0</v>
      </c>
      <c r="AS361" s="50">
        <f>IF(Table1[[#This Row],[Control Panel Spun Time]]&gt;0,1,0)</f>
        <v>0</v>
      </c>
      <c r="AT361" s="20">
        <f>IF(Table1[[#This Row],[Control Panel Color Time]]&gt;0,1,0)</f>
        <v>0</v>
      </c>
    </row>
    <row r="362" spans="1:46" x14ac:dyDescent="0.25">
      <c r="A362"/>
      <c r="I362" s="8">
        <f>+Table1[[#This Row],[Auton ball picked up in our trench]]+Table1[[#This Row],[Auton Balls Picked Up in Mid]]+Table1[[#This Row],[Auton Balls Picked Up In Their Trench]]</f>
        <v>0</v>
      </c>
      <c r="J362" s="8">
        <f>+Table1[[#This Row],[Auton Scored High]]+Table1[[#This Row],[Auton Scored Low]]</f>
        <v>0</v>
      </c>
      <c r="K36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62" s="8">
        <f>Table1[[#This Row],[Balls Scored From Trench]]+Table1[[#This Row],[Balls Scored from Mid]]+Table1[[#This Row],[Balls Scored From Alliance zone]]</f>
        <v>0</v>
      </c>
      <c r="W362" s="8">
        <f>Table1[[#This Row],[balls scored high]]+Table1[[#This Row],[balls scored low]]</f>
        <v>0</v>
      </c>
      <c r="X362" s="8">
        <f>Table1[[#This Row],[Control Panel Spun Time]]+Table1[[#This Row],[Control Panel Color Time]]</f>
        <v>0</v>
      </c>
      <c r="Y362" s="8">
        <f>Table1[[#This Row],[Control Panels Spun]]+Table1[[#This Row],[Control Panel Color]]</f>
        <v>0</v>
      </c>
      <c r="Z36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62" s="17">
        <f>(Table1[[#This Row],[Climbed]]*weighting!$B$18)+(Table1[[#This Row],[Adjustable Climber]]*weighting!$B$19)+(Table1[[#This Row],[Lift other Robot]]*weighting!$B$20)+(Table1[[#This Row],[Balanced]]*weighting!$B$21)</f>
        <v>0</v>
      </c>
      <c r="AL362" s="8">
        <f>+Table1[[#This Row],[Endgame our score]]+Table1[[#This Row],[teleop our score]]+Table1[[#This Row],[auton our score]]</f>
        <v>0</v>
      </c>
      <c r="AM362" s="20">
        <f t="shared" si="15"/>
        <v>0</v>
      </c>
      <c r="AN362" s="20">
        <f t="shared" si="16"/>
        <v>0</v>
      </c>
      <c r="AO362" s="20">
        <f t="shared" si="17"/>
        <v>0</v>
      </c>
      <c r="AP362" s="20">
        <f>Table1[[#This Row],[balls scored]]+Table1[[#This Row],[auton balls scored]]</f>
        <v>0</v>
      </c>
      <c r="AQ362" s="20">
        <f>Table1[[#This Row],[balls scored high]]+Table1[[#This Row],[Auton Scored High]]</f>
        <v>0</v>
      </c>
      <c r="AR362" s="20">
        <f>Table1[[#This Row],[balls scored low]]+Table1[[#This Row],[Auton Scored Low]]</f>
        <v>0</v>
      </c>
      <c r="AS362" s="50">
        <f>IF(Table1[[#This Row],[Control Panel Spun Time]]&gt;0,1,0)</f>
        <v>0</v>
      </c>
      <c r="AT362" s="20">
        <f>IF(Table1[[#This Row],[Control Panel Color Time]]&gt;0,1,0)</f>
        <v>0</v>
      </c>
    </row>
    <row r="363" spans="1:46" s="2" customFormat="1" x14ac:dyDescent="0.25">
      <c r="A363"/>
      <c r="B363"/>
      <c r="C363"/>
      <c r="D363"/>
      <c r="E363"/>
      <c r="F363"/>
      <c r="G363"/>
      <c r="H363"/>
      <c r="I363" s="8">
        <f>+Table1[[#This Row],[Auton ball picked up in our trench]]+Table1[[#This Row],[Auton Balls Picked Up in Mid]]+Table1[[#This Row],[Auton Balls Picked Up In Their Trench]]</f>
        <v>0</v>
      </c>
      <c r="J363" s="8">
        <f>+Table1[[#This Row],[Auton Scored High]]+Table1[[#This Row],[Auton Scored Low]]</f>
        <v>0</v>
      </c>
      <c r="K36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63"/>
      <c r="M363"/>
      <c r="N363"/>
      <c r="O363"/>
      <c r="P363"/>
      <c r="Q363"/>
      <c r="R363"/>
      <c r="S363"/>
      <c r="T363"/>
      <c r="U363"/>
      <c r="V363" s="8">
        <f>Table1[[#This Row],[Balls Scored From Trench]]+Table1[[#This Row],[Balls Scored from Mid]]+Table1[[#This Row],[Balls Scored From Alliance zone]]</f>
        <v>0</v>
      </c>
      <c r="W363" s="8">
        <f>Table1[[#This Row],[balls scored high]]+Table1[[#This Row],[balls scored low]]</f>
        <v>0</v>
      </c>
      <c r="X363" s="8">
        <f>Table1[[#This Row],[Control Panel Spun Time]]+Table1[[#This Row],[Control Panel Color Time]]</f>
        <v>0</v>
      </c>
      <c r="Y363" s="8">
        <f>Table1[[#This Row],[Control Panels Spun]]+Table1[[#This Row],[Control Panel Color]]</f>
        <v>0</v>
      </c>
      <c r="Z36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63"/>
      <c r="AB363"/>
      <c r="AC363"/>
      <c r="AD363"/>
      <c r="AE363"/>
      <c r="AF363"/>
      <c r="AG363"/>
      <c r="AH363"/>
      <c r="AI363"/>
      <c r="AJ363"/>
      <c r="AK363" s="17">
        <f>(Table1[[#This Row],[Climbed]]*weighting!$B$18)+(Table1[[#This Row],[Adjustable Climber]]*weighting!$B$19)+(Table1[[#This Row],[Lift other Robot]]*weighting!$B$20)+(Table1[[#This Row],[Balanced]]*weighting!$B$21)</f>
        <v>0</v>
      </c>
      <c r="AL363" s="8">
        <f>+Table1[[#This Row],[Endgame our score]]+Table1[[#This Row],[teleop our score]]+Table1[[#This Row],[auton our score]]</f>
        <v>0</v>
      </c>
      <c r="AM363" s="20">
        <f t="shared" si="15"/>
        <v>0</v>
      </c>
      <c r="AN363" s="20">
        <f t="shared" si="16"/>
        <v>0</v>
      </c>
      <c r="AO363" s="20">
        <f t="shared" si="17"/>
        <v>0</v>
      </c>
      <c r="AP363" s="20">
        <f>Table1[[#This Row],[balls scored]]+Table1[[#This Row],[auton balls scored]]</f>
        <v>0</v>
      </c>
      <c r="AQ363" s="20">
        <f>Table1[[#This Row],[balls scored high]]+Table1[[#This Row],[Auton Scored High]]</f>
        <v>0</v>
      </c>
      <c r="AR363" s="20">
        <f>Table1[[#This Row],[balls scored low]]+Table1[[#This Row],[Auton Scored Low]]</f>
        <v>0</v>
      </c>
      <c r="AS363" s="50">
        <f>IF(Table1[[#This Row],[Control Panel Spun Time]]&gt;0,1,0)</f>
        <v>0</v>
      </c>
      <c r="AT363" s="20">
        <f>IF(Table1[[#This Row],[Control Panel Color Time]]&gt;0,1,0)</f>
        <v>0</v>
      </c>
    </row>
    <row r="364" spans="1:46" x14ac:dyDescent="0.25">
      <c r="A364"/>
      <c r="I364" s="8">
        <f>+Table1[[#This Row],[Auton ball picked up in our trench]]+Table1[[#This Row],[Auton Balls Picked Up in Mid]]+Table1[[#This Row],[Auton Balls Picked Up In Their Trench]]</f>
        <v>0</v>
      </c>
      <c r="J364" s="8">
        <f>+Table1[[#This Row],[Auton Scored High]]+Table1[[#This Row],[Auton Scored Low]]</f>
        <v>0</v>
      </c>
      <c r="K36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64" s="8">
        <f>Table1[[#This Row],[Balls Scored From Trench]]+Table1[[#This Row],[Balls Scored from Mid]]+Table1[[#This Row],[Balls Scored From Alliance zone]]</f>
        <v>0</v>
      </c>
      <c r="W364" s="8">
        <f>Table1[[#This Row],[balls scored high]]+Table1[[#This Row],[balls scored low]]</f>
        <v>0</v>
      </c>
      <c r="X364" s="8">
        <f>Table1[[#This Row],[Control Panel Spun Time]]+Table1[[#This Row],[Control Panel Color Time]]</f>
        <v>0</v>
      </c>
      <c r="Y364" s="8">
        <f>Table1[[#This Row],[Control Panels Spun]]+Table1[[#This Row],[Control Panel Color]]</f>
        <v>0</v>
      </c>
      <c r="Z36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64" s="17">
        <f>(Table1[[#This Row],[Climbed]]*weighting!$B$18)+(Table1[[#This Row],[Adjustable Climber]]*weighting!$B$19)+(Table1[[#This Row],[Lift other Robot]]*weighting!$B$20)+(Table1[[#This Row],[Balanced]]*weighting!$B$21)</f>
        <v>0</v>
      </c>
      <c r="AL364" s="8">
        <f>+Table1[[#This Row],[Endgame our score]]+Table1[[#This Row],[teleop our score]]+Table1[[#This Row],[auton our score]]</f>
        <v>0</v>
      </c>
      <c r="AM364" s="20">
        <f t="shared" si="15"/>
        <v>0</v>
      </c>
      <c r="AN364" s="20">
        <f t="shared" si="16"/>
        <v>0</v>
      </c>
      <c r="AO364" s="20">
        <f t="shared" si="17"/>
        <v>0</v>
      </c>
      <c r="AP364" s="20">
        <f>Table1[[#This Row],[balls scored]]+Table1[[#This Row],[auton balls scored]]</f>
        <v>0</v>
      </c>
      <c r="AQ364" s="20">
        <f>Table1[[#This Row],[balls scored high]]+Table1[[#This Row],[Auton Scored High]]</f>
        <v>0</v>
      </c>
      <c r="AR364" s="20">
        <f>Table1[[#This Row],[balls scored low]]+Table1[[#This Row],[Auton Scored Low]]</f>
        <v>0</v>
      </c>
      <c r="AS364" s="50">
        <f>IF(Table1[[#This Row],[Control Panel Spun Time]]&gt;0,1,0)</f>
        <v>0</v>
      </c>
      <c r="AT364" s="20">
        <f>IF(Table1[[#This Row],[Control Panel Color Time]]&gt;0,1,0)</f>
        <v>0</v>
      </c>
    </row>
    <row r="365" spans="1:46" s="2" customFormat="1" x14ac:dyDescent="0.25">
      <c r="A365"/>
      <c r="B365"/>
      <c r="C365"/>
      <c r="D365"/>
      <c r="E365"/>
      <c r="F365"/>
      <c r="G365"/>
      <c r="H365"/>
      <c r="I365" s="8">
        <f>+Table1[[#This Row],[Auton ball picked up in our trench]]+Table1[[#This Row],[Auton Balls Picked Up in Mid]]+Table1[[#This Row],[Auton Balls Picked Up In Their Trench]]</f>
        <v>0</v>
      </c>
      <c r="J365" s="8">
        <f>+Table1[[#This Row],[Auton Scored High]]+Table1[[#This Row],[Auton Scored Low]]</f>
        <v>0</v>
      </c>
      <c r="K36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65"/>
      <c r="M365"/>
      <c r="N365"/>
      <c r="O365"/>
      <c r="P365"/>
      <c r="Q365"/>
      <c r="R365"/>
      <c r="S365"/>
      <c r="T365"/>
      <c r="U365"/>
      <c r="V365" s="8">
        <f>Table1[[#This Row],[Balls Scored From Trench]]+Table1[[#This Row],[Balls Scored from Mid]]+Table1[[#This Row],[Balls Scored From Alliance zone]]</f>
        <v>0</v>
      </c>
      <c r="W365" s="8">
        <f>Table1[[#This Row],[balls scored high]]+Table1[[#This Row],[balls scored low]]</f>
        <v>0</v>
      </c>
      <c r="X365" s="8">
        <f>Table1[[#This Row],[Control Panel Spun Time]]+Table1[[#This Row],[Control Panel Color Time]]</f>
        <v>0</v>
      </c>
      <c r="Y365" s="8">
        <f>Table1[[#This Row],[Control Panels Spun]]+Table1[[#This Row],[Control Panel Color]]</f>
        <v>0</v>
      </c>
      <c r="Z36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65"/>
      <c r="AB365"/>
      <c r="AC365"/>
      <c r="AD365"/>
      <c r="AE365"/>
      <c r="AF365"/>
      <c r="AG365"/>
      <c r="AH365"/>
      <c r="AI365"/>
      <c r="AJ365"/>
      <c r="AK365" s="17">
        <f>(Table1[[#This Row],[Climbed]]*weighting!$B$18)+(Table1[[#This Row],[Adjustable Climber]]*weighting!$B$19)+(Table1[[#This Row],[Lift other Robot]]*weighting!$B$20)+(Table1[[#This Row],[Balanced]]*weighting!$B$21)</f>
        <v>0</v>
      </c>
      <c r="AL365" s="8">
        <f>+Table1[[#This Row],[Endgame our score]]+Table1[[#This Row],[teleop our score]]+Table1[[#This Row],[auton our score]]</f>
        <v>0</v>
      </c>
      <c r="AM365" s="20">
        <f t="shared" si="15"/>
        <v>0</v>
      </c>
      <c r="AN365" s="20">
        <f t="shared" si="16"/>
        <v>0</v>
      </c>
      <c r="AO365" s="20">
        <f t="shared" si="17"/>
        <v>0</v>
      </c>
      <c r="AP365" s="20">
        <f>Table1[[#This Row],[balls scored]]+Table1[[#This Row],[auton balls scored]]</f>
        <v>0</v>
      </c>
      <c r="AQ365" s="20">
        <f>Table1[[#This Row],[balls scored high]]+Table1[[#This Row],[Auton Scored High]]</f>
        <v>0</v>
      </c>
      <c r="AR365" s="20">
        <f>Table1[[#This Row],[balls scored low]]+Table1[[#This Row],[Auton Scored Low]]</f>
        <v>0</v>
      </c>
      <c r="AS365" s="50">
        <f>IF(Table1[[#This Row],[Control Panel Spun Time]]&gt;0,1,0)</f>
        <v>0</v>
      </c>
      <c r="AT365" s="20">
        <f>IF(Table1[[#This Row],[Control Panel Color Time]]&gt;0,1,0)</f>
        <v>0</v>
      </c>
    </row>
    <row r="366" spans="1:46" x14ac:dyDescent="0.25">
      <c r="A366"/>
      <c r="I366" s="8">
        <f>+Table1[[#This Row],[Auton ball picked up in our trench]]+Table1[[#This Row],[Auton Balls Picked Up in Mid]]+Table1[[#This Row],[Auton Balls Picked Up In Their Trench]]</f>
        <v>0</v>
      </c>
      <c r="J366" s="8">
        <f>+Table1[[#This Row],[Auton Scored High]]+Table1[[#This Row],[Auton Scored Low]]</f>
        <v>0</v>
      </c>
      <c r="K36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66" s="8">
        <f>Table1[[#This Row],[Balls Scored From Trench]]+Table1[[#This Row],[Balls Scored from Mid]]+Table1[[#This Row],[Balls Scored From Alliance zone]]</f>
        <v>0</v>
      </c>
      <c r="W366" s="8">
        <f>Table1[[#This Row],[balls scored high]]+Table1[[#This Row],[balls scored low]]</f>
        <v>0</v>
      </c>
      <c r="X366" s="8">
        <f>Table1[[#This Row],[Control Panel Spun Time]]+Table1[[#This Row],[Control Panel Color Time]]</f>
        <v>0</v>
      </c>
      <c r="Y366" s="8">
        <f>Table1[[#This Row],[Control Panels Spun]]+Table1[[#This Row],[Control Panel Color]]</f>
        <v>0</v>
      </c>
      <c r="Z36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66" s="17">
        <f>(Table1[[#This Row],[Climbed]]*weighting!$B$18)+(Table1[[#This Row],[Adjustable Climber]]*weighting!$B$19)+(Table1[[#This Row],[Lift other Robot]]*weighting!$B$20)+(Table1[[#This Row],[Balanced]]*weighting!$B$21)</f>
        <v>0</v>
      </c>
      <c r="AL366" s="8">
        <f>+Table1[[#This Row],[Endgame our score]]+Table1[[#This Row],[teleop our score]]+Table1[[#This Row],[auton our score]]</f>
        <v>0</v>
      </c>
      <c r="AM366" s="20">
        <f t="shared" si="15"/>
        <v>0</v>
      </c>
      <c r="AN366" s="20">
        <f t="shared" si="16"/>
        <v>0</v>
      </c>
      <c r="AO366" s="20">
        <f t="shared" si="17"/>
        <v>0</v>
      </c>
      <c r="AP366" s="20">
        <f>Table1[[#This Row],[balls scored]]+Table1[[#This Row],[auton balls scored]]</f>
        <v>0</v>
      </c>
      <c r="AQ366" s="20">
        <f>Table1[[#This Row],[balls scored high]]+Table1[[#This Row],[Auton Scored High]]</f>
        <v>0</v>
      </c>
      <c r="AR366" s="20">
        <f>Table1[[#This Row],[balls scored low]]+Table1[[#This Row],[Auton Scored Low]]</f>
        <v>0</v>
      </c>
      <c r="AS366" s="50">
        <f>IF(Table1[[#This Row],[Control Panel Spun Time]]&gt;0,1,0)</f>
        <v>0</v>
      </c>
      <c r="AT366" s="20">
        <f>IF(Table1[[#This Row],[Control Panel Color Time]]&gt;0,1,0)</f>
        <v>0</v>
      </c>
    </row>
    <row r="367" spans="1:46" s="2" customFormat="1" x14ac:dyDescent="0.25">
      <c r="A367"/>
      <c r="B367"/>
      <c r="C367"/>
      <c r="D367"/>
      <c r="E367"/>
      <c r="F367"/>
      <c r="G367"/>
      <c r="H367"/>
      <c r="I367" s="8">
        <f>+Table1[[#This Row],[Auton ball picked up in our trench]]+Table1[[#This Row],[Auton Balls Picked Up in Mid]]+Table1[[#This Row],[Auton Balls Picked Up In Their Trench]]</f>
        <v>0</v>
      </c>
      <c r="J367" s="8">
        <f>+Table1[[#This Row],[Auton Scored High]]+Table1[[#This Row],[Auton Scored Low]]</f>
        <v>0</v>
      </c>
      <c r="K36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67"/>
      <c r="M367"/>
      <c r="N367"/>
      <c r="O367"/>
      <c r="P367"/>
      <c r="Q367"/>
      <c r="R367"/>
      <c r="S367"/>
      <c r="T367"/>
      <c r="U367"/>
      <c r="V367" s="8">
        <f>Table1[[#This Row],[Balls Scored From Trench]]+Table1[[#This Row],[Balls Scored from Mid]]+Table1[[#This Row],[Balls Scored From Alliance zone]]</f>
        <v>0</v>
      </c>
      <c r="W367" s="8">
        <f>Table1[[#This Row],[balls scored high]]+Table1[[#This Row],[balls scored low]]</f>
        <v>0</v>
      </c>
      <c r="X367" s="8">
        <f>Table1[[#This Row],[Control Panel Spun Time]]+Table1[[#This Row],[Control Panel Color Time]]</f>
        <v>0</v>
      </c>
      <c r="Y367" s="8">
        <f>Table1[[#This Row],[Control Panels Spun]]+Table1[[#This Row],[Control Panel Color]]</f>
        <v>0</v>
      </c>
      <c r="Z36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67"/>
      <c r="AB367"/>
      <c r="AC367"/>
      <c r="AD367"/>
      <c r="AE367"/>
      <c r="AF367"/>
      <c r="AG367"/>
      <c r="AH367"/>
      <c r="AI367"/>
      <c r="AJ367"/>
      <c r="AK367" s="17">
        <f>(Table1[[#This Row],[Climbed]]*weighting!$B$18)+(Table1[[#This Row],[Adjustable Climber]]*weighting!$B$19)+(Table1[[#This Row],[Lift other Robot]]*weighting!$B$20)+(Table1[[#This Row],[Balanced]]*weighting!$B$21)</f>
        <v>0</v>
      </c>
      <c r="AL367" s="8">
        <f>+Table1[[#This Row],[Endgame our score]]+Table1[[#This Row],[teleop our score]]+Table1[[#This Row],[auton our score]]</f>
        <v>0</v>
      </c>
      <c r="AM367" s="20">
        <f t="shared" si="15"/>
        <v>0</v>
      </c>
      <c r="AN367" s="20">
        <f t="shared" si="16"/>
        <v>0</v>
      </c>
      <c r="AO367" s="20">
        <f t="shared" si="17"/>
        <v>0</v>
      </c>
      <c r="AP367" s="20">
        <f>Table1[[#This Row],[balls scored]]+Table1[[#This Row],[auton balls scored]]</f>
        <v>0</v>
      </c>
      <c r="AQ367" s="20">
        <f>Table1[[#This Row],[balls scored high]]+Table1[[#This Row],[Auton Scored High]]</f>
        <v>0</v>
      </c>
      <c r="AR367" s="20">
        <f>Table1[[#This Row],[balls scored low]]+Table1[[#This Row],[Auton Scored Low]]</f>
        <v>0</v>
      </c>
      <c r="AS367" s="50">
        <f>IF(Table1[[#This Row],[Control Panel Spun Time]]&gt;0,1,0)</f>
        <v>0</v>
      </c>
      <c r="AT367" s="20">
        <f>IF(Table1[[#This Row],[Control Panel Color Time]]&gt;0,1,0)</f>
        <v>0</v>
      </c>
    </row>
    <row r="368" spans="1:46" x14ac:dyDescent="0.25">
      <c r="A368"/>
      <c r="I368" s="8">
        <f>+Table1[[#This Row],[Auton ball picked up in our trench]]+Table1[[#This Row],[Auton Balls Picked Up in Mid]]+Table1[[#This Row],[Auton Balls Picked Up In Their Trench]]</f>
        <v>0</v>
      </c>
      <c r="J368" s="8">
        <f>+Table1[[#This Row],[Auton Scored High]]+Table1[[#This Row],[Auton Scored Low]]</f>
        <v>0</v>
      </c>
      <c r="K36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68" s="8">
        <f>Table1[[#This Row],[Balls Scored From Trench]]+Table1[[#This Row],[Balls Scored from Mid]]+Table1[[#This Row],[Balls Scored From Alliance zone]]</f>
        <v>0</v>
      </c>
      <c r="W368" s="8">
        <f>Table1[[#This Row],[balls scored high]]+Table1[[#This Row],[balls scored low]]</f>
        <v>0</v>
      </c>
      <c r="X368" s="8">
        <f>Table1[[#This Row],[Control Panel Spun Time]]+Table1[[#This Row],[Control Panel Color Time]]</f>
        <v>0</v>
      </c>
      <c r="Y368" s="8">
        <f>Table1[[#This Row],[Control Panels Spun]]+Table1[[#This Row],[Control Panel Color]]</f>
        <v>0</v>
      </c>
      <c r="Z36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68" s="17">
        <f>(Table1[[#This Row],[Climbed]]*weighting!$B$18)+(Table1[[#This Row],[Adjustable Climber]]*weighting!$B$19)+(Table1[[#This Row],[Lift other Robot]]*weighting!$B$20)+(Table1[[#This Row],[Balanced]]*weighting!$B$21)</f>
        <v>0</v>
      </c>
      <c r="AL368" s="8">
        <f>+Table1[[#This Row],[Endgame our score]]+Table1[[#This Row],[teleop our score]]+Table1[[#This Row],[auton our score]]</f>
        <v>0</v>
      </c>
      <c r="AM368" s="20">
        <f t="shared" si="15"/>
        <v>0</v>
      </c>
      <c r="AN368" s="20">
        <f t="shared" si="16"/>
        <v>0</v>
      </c>
      <c r="AO368" s="20">
        <f t="shared" si="17"/>
        <v>0</v>
      </c>
      <c r="AP368" s="20">
        <f>Table1[[#This Row],[balls scored]]+Table1[[#This Row],[auton balls scored]]</f>
        <v>0</v>
      </c>
      <c r="AQ368" s="20">
        <f>Table1[[#This Row],[balls scored high]]+Table1[[#This Row],[Auton Scored High]]</f>
        <v>0</v>
      </c>
      <c r="AR368" s="20">
        <f>Table1[[#This Row],[balls scored low]]+Table1[[#This Row],[Auton Scored Low]]</f>
        <v>0</v>
      </c>
      <c r="AS368" s="50">
        <f>IF(Table1[[#This Row],[Control Panel Spun Time]]&gt;0,1,0)</f>
        <v>0</v>
      </c>
      <c r="AT368" s="20">
        <f>IF(Table1[[#This Row],[Control Panel Color Time]]&gt;0,1,0)</f>
        <v>0</v>
      </c>
    </row>
    <row r="369" spans="1:46" s="2" customFormat="1" x14ac:dyDescent="0.25">
      <c r="A369"/>
      <c r="B369"/>
      <c r="C369"/>
      <c r="D369"/>
      <c r="E369"/>
      <c r="F369"/>
      <c r="G369"/>
      <c r="H369"/>
      <c r="I369" s="8">
        <f>+Table1[[#This Row],[Auton ball picked up in our trench]]+Table1[[#This Row],[Auton Balls Picked Up in Mid]]+Table1[[#This Row],[Auton Balls Picked Up In Their Trench]]</f>
        <v>0</v>
      </c>
      <c r="J369" s="8">
        <f>+Table1[[#This Row],[Auton Scored High]]+Table1[[#This Row],[Auton Scored Low]]</f>
        <v>0</v>
      </c>
      <c r="K36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69"/>
      <c r="M369"/>
      <c r="N369"/>
      <c r="O369"/>
      <c r="P369"/>
      <c r="Q369"/>
      <c r="R369"/>
      <c r="S369"/>
      <c r="T369"/>
      <c r="U369"/>
      <c r="V369" s="8">
        <f>Table1[[#This Row],[Balls Scored From Trench]]+Table1[[#This Row],[Balls Scored from Mid]]+Table1[[#This Row],[Balls Scored From Alliance zone]]</f>
        <v>0</v>
      </c>
      <c r="W369" s="8">
        <f>Table1[[#This Row],[balls scored high]]+Table1[[#This Row],[balls scored low]]</f>
        <v>0</v>
      </c>
      <c r="X369" s="8">
        <f>Table1[[#This Row],[Control Panel Spun Time]]+Table1[[#This Row],[Control Panel Color Time]]</f>
        <v>0</v>
      </c>
      <c r="Y369" s="8">
        <f>Table1[[#This Row],[Control Panels Spun]]+Table1[[#This Row],[Control Panel Color]]</f>
        <v>0</v>
      </c>
      <c r="Z36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69"/>
      <c r="AB369"/>
      <c r="AC369"/>
      <c r="AD369"/>
      <c r="AE369"/>
      <c r="AF369"/>
      <c r="AG369"/>
      <c r="AH369"/>
      <c r="AI369"/>
      <c r="AJ369"/>
      <c r="AK369" s="17">
        <f>(Table1[[#This Row],[Climbed]]*weighting!$B$18)+(Table1[[#This Row],[Adjustable Climber]]*weighting!$B$19)+(Table1[[#This Row],[Lift other Robot]]*weighting!$B$20)+(Table1[[#This Row],[Balanced]]*weighting!$B$21)</f>
        <v>0</v>
      </c>
      <c r="AL369" s="8">
        <f>+Table1[[#This Row],[Endgame our score]]+Table1[[#This Row],[teleop our score]]+Table1[[#This Row],[auton our score]]</f>
        <v>0</v>
      </c>
      <c r="AM369" s="20">
        <f t="shared" si="15"/>
        <v>0</v>
      </c>
      <c r="AN369" s="20">
        <f t="shared" si="16"/>
        <v>0</v>
      </c>
      <c r="AO369" s="20">
        <f t="shared" si="17"/>
        <v>0</v>
      </c>
      <c r="AP369" s="20">
        <f>Table1[[#This Row],[balls scored]]+Table1[[#This Row],[auton balls scored]]</f>
        <v>0</v>
      </c>
      <c r="AQ369" s="20">
        <f>Table1[[#This Row],[balls scored high]]+Table1[[#This Row],[Auton Scored High]]</f>
        <v>0</v>
      </c>
      <c r="AR369" s="20">
        <f>Table1[[#This Row],[balls scored low]]+Table1[[#This Row],[Auton Scored Low]]</f>
        <v>0</v>
      </c>
      <c r="AS369" s="50">
        <f>IF(Table1[[#This Row],[Control Panel Spun Time]]&gt;0,1,0)</f>
        <v>0</v>
      </c>
      <c r="AT369" s="20">
        <f>IF(Table1[[#This Row],[Control Panel Color Time]]&gt;0,1,0)</f>
        <v>0</v>
      </c>
    </row>
    <row r="370" spans="1:46" x14ac:dyDescent="0.25">
      <c r="A370"/>
      <c r="I370" s="8">
        <f>+Table1[[#This Row],[Auton ball picked up in our trench]]+Table1[[#This Row],[Auton Balls Picked Up in Mid]]+Table1[[#This Row],[Auton Balls Picked Up In Their Trench]]</f>
        <v>0</v>
      </c>
      <c r="J370" s="8">
        <f>+Table1[[#This Row],[Auton Scored High]]+Table1[[#This Row],[Auton Scored Low]]</f>
        <v>0</v>
      </c>
      <c r="K37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70" s="8">
        <f>Table1[[#This Row],[Balls Scored From Trench]]+Table1[[#This Row],[Balls Scored from Mid]]+Table1[[#This Row],[Balls Scored From Alliance zone]]</f>
        <v>0</v>
      </c>
      <c r="W370" s="8">
        <f>Table1[[#This Row],[balls scored high]]+Table1[[#This Row],[balls scored low]]</f>
        <v>0</v>
      </c>
      <c r="X370" s="8">
        <f>Table1[[#This Row],[Control Panel Spun Time]]+Table1[[#This Row],[Control Panel Color Time]]</f>
        <v>0</v>
      </c>
      <c r="Y370" s="8">
        <f>Table1[[#This Row],[Control Panels Spun]]+Table1[[#This Row],[Control Panel Color]]</f>
        <v>0</v>
      </c>
      <c r="Z37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70" s="17">
        <f>(Table1[[#This Row],[Climbed]]*weighting!$B$18)+(Table1[[#This Row],[Adjustable Climber]]*weighting!$B$19)+(Table1[[#This Row],[Lift other Robot]]*weighting!$B$20)+(Table1[[#This Row],[Balanced]]*weighting!$B$21)</f>
        <v>0</v>
      </c>
      <c r="AL370" s="8">
        <f>+Table1[[#This Row],[Endgame our score]]+Table1[[#This Row],[teleop our score]]+Table1[[#This Row],[auton our score]]</f>
        <v>0</v>
      </c>
      <c r="AM370" s="20">
        <f t="shared" si="15"/>
        <v>0</v>
      </c>
      <c r="AN370" s="20">
        <f t="shared" si="16"/>
        <v>0</v>
      </c>
      <c r="AO370" s="20">
        <f t="shared" si="17"/>
        <v>0</v>
      </c>
      <c r="AP370" s="20">
        <f>Table1[[#This Row],[balls scored]]+Table1[[#This Row],[auton balls scored]]</f>
        <v>0</v>
      </c>
      <c r="AQ370" s="20">
        <f>Table1[[#This Row],[balls scored high]]+Table1[[#This Row],[Auton Scored High]]</f>
        <v>0</v>
      </c>
      <c r="AR370" s="20">
        <f>Table1[[#This Row],[balls scored low]]+Table1[[#This Row],[Auton Scored Low]]</f>
        <v>0</v>
      </c>
      <c r="AS370" s="50">
        <f>IF(Table1[[#This Row],[Control Panel Spun Time]]&gt;0,1,0)</f>
        <v>0</v>
      </c>
      <c r="AT370" s="20">
        <f>IF(Table1[[#This Row],[Control Panel Color Time]]&gt;0,1,0)</f>
        <v>0</v>
      </c>
    </row>
    <row r="371" spans="1:46" s="2" customFormat="1" x14ac:dyDescent="0.25">
      <c r="A371"/>
      <c r="B371"/>
      <c r="C371"/>
      <c r="D371"/>
      <c r="E371"/>
      <c r="F371"/>
      <c r="G371"/>
      <c r="H371"/>
      <c r="I371" s="8">
        <f>+Table1[[#This Row],[Auton ball picked up in our trench]]+Table1[[#This Row],[Auton Balls Picked Up in Mid]]+Table1[[#This Row],[Auton Balls Picked Up In Their Trench]]</f>
        <v>0</v>
      </c>
      <c r="J371" s="8">
        <f>+Table1[[#This Row],[Auton Scored High]]+Table1[[#This Row],[Auton Scored Low]]</f>
        <v>0</v>
      </c>
      <c r="K37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71"/>
      <c r="M371"/>
      <c r="N371"/>
      <c r="O371"/>
      <c r="P371"/>
      <c r="Q371"/>
      <c r="R371"/>
      <c r="S371"/>
      <c r="T371"/>
      <c r="U371"/>
      <c r="V371" s="8">
        <f>Table1[[#This Row],[Balls Scored From Trench]]+Table1[[#This Row],[Balls Scored from Mid]]+Table1[[#This Row],[Balls Scored From Alliance zone]]</f>
        <v>0</v>
      </c>
      <c r="W371" s="8">
        <f>Table1[[#This Row],[balls scored high]]+Table1[[#This Row],[balls scored low]]</f>
        <v>0</v>
      </c>
      <c r="X371" s="8">
        <f>Table1[[#This Row],[Control Panel Spun Time]]+Table1[[#This Row],[Control Panel Color Time]]</f>
        <v>0</v>
      </c>
      <c r="Y371" s="8">
        <f>Table1[[#This Row],[Control Panels Spun]]+Table1[[#This Row],[Control Panel Color]]</f>
        <v>0</v>
      </c>
      <c r="Z37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71"/>
      <c r="AB371"/>
      <c r="AC371"/>
      <c r="AD371"/>
      <c r="AE371"/>
      <c r="AF371"/>
      <c r="AG371"/>
      <c r="AH371"/>
      <c r="AI371"/>
      <c r="AJ371"/>
      <c r="AK371" s="17">
        <f>(Table1[[#This Row],[Climbed]]*weighting!$B$18)+(Table1[[#This Row],[Adjustable Climber]]*weighting!$B$19)+(Table1[[#This Row],[Lift other Robot]]*weighting!$B$20)+(Table1[[#This Row],[Balanced]]*weighting!$B$21)</f>
        <v>0</v>
      </c>
      <c r="AL371" s="8">
        <f>+Table1[[#This Row],[Endgame our score]]+Table1[[#This Row],[teleop our score]]+Table1[[#This Row],[auton our score]]</f>
        <v>0</v>
      </c>
      <c r="AM371" s="20">
        <f t="shared" si="15"/>
        <v>0</v>
      </c>
      <c r="AN371" s="20">
        <f t="shared" si="16"/>
        <v>0</v>
      </c>
      <c r="AO371" s="20">
        <f t="shared" si="17"/>
        <v>0</v>
      </c>
      <c r="AP371" s="20">
        <f>Table1[[#This Row],[balls scored]]+Table1[[#This Row],[auton balls scored]]</f>
        <v>0</v>
      </c>
      <c r="AQ371" s="20">
        <f>Table1[[#This Row],[balls scored high]]+Table1[[#This Row],[Auton Scored High]]</f>
        <v>0</v>
      </c>
      <c r="AR371" s="20">
        <f>Table1[[#This Row],[balls scored low]]+Table1[[#This Row],[Auton Scored Low]]</f>
        <v>0</v>
      </c>
      <c r="AS371" s="50">
        <f>IF(Table1[[#This Row],[Control Panel Spun Time]]&gt;0,1,0)</f>
        <v>0</v>
      </c>
      <c r="AT371" s="20">
        <f>IF(Table1[[#This Row],[Control Panel Color Time]]&gt;0,1,0)</f>
        <v>0</v>
      </c>
    </row>
    <row r="372" spans="1:46" x14ac:dyDescent="0.25">
      <c r="A372"/>
      <c r="I372" s="8">
        <f>+Table1[[#This Row],[Auton ball picked up in our trench]]+Table1[[#This Row],[Auton Balls Picked Up in Mid]]+Table1[[#This Row],[Auton Balls Picked Up In Their Trench]]</f>
        <v>0</v>
      </c>
      <c r="J372" s="8">
        <f>+Table1[[#This Row],[Auton Scored High]]+Table1[[#This Row],[Auton Scored Low]]</f>
        <v>0</v>
      </c>
      <c r="K37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72" s="8">
        <f>Table1[[#This Row],[Balls Scored From Trench]]+Table1[[#This Row],[Balls Scored from Mid]]+Table1[[#This Row],[Balls Scored From Alliance zone]]</f>
        <v>0</v>
      </c>
      <c r="W372" s="8">
        <f>Table1[[#This Row],[balls scored high]]+Table1[[#This Row],[balls scored low]]</f>
        <v>0</v>
      </c>
      <c r="X372" s="8">
        <f>Table1[[#This Row],[Control Panel Spun Time]]+Table1[[#This Row],[Control Panel Color Time]]</f>
        <v>0</v>
      </c>
      <c r="Y372" s="8">
        <f>Table1[[#This Row],[Control Panels Spun]]+Table1[[#This Row],[Control Panel Color]]</f>
        <v>0</v>
      </c>
      <c r="Z37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72" s="17">
        <f>(Table1[[#This Row],[Climbed]]*weighting!$B$18)+(Table1[[#This Row],[Adjustable Climber]]*weighting!$B$19)+(Table1[[#This Row],[Lift other Robot]]*weighting!$B$20)+(Table1[[#This Row],[Balanced]]*weighting!$B$21)</f>
        <v>0</v>
      </c>
      <c r="AL372" s="8">
        <f>+Table1[[#This Row],[Endgame our score]]+Table1[[#This Row],[teleop our score]]+Table1[[#This Row],[auton our score]]</f>
        <v>0</v>
      </c>
      <c r="AM372" s="20">
        <f t="shared" si="15"/>
        <v>0</v>
      </c>
      <c r="AN372" s="20">
        <f t="shared" si="16"/>
        <v>0</v>
      </c>
      <c r="AO372" s="20">
        <f t="shared" si="17"/>
        <v>0</v>
      </c>
      <c r="AP372" s="20">
        <f>Table1[[#This Row],[balls scored]]+Table1[[#This Row],[auton balls scored]]</f>
        <v>0</v>
      </c>
      <c r="AQ372" s="20">
        <f>Table1[[#This Row],[balls scored high]]+Table1[[#This Row],[Auton Scored High]]</f>
        <v>0</v>
      </c>
      <c r="AR372" s="20">
        <f>Table1[[#This Row],[balls scored low]]+Table1[[#This Row],[Auton Scored Low]]</f>
        <v>0</v>
      </c>
      <c r="AS372" s="50">
        <f>IF(Table1[[#This Row],[Control Panel Spun Time]]&gt;0,1,0)</f>
        <v>0</v>
      </c>
      <c r="AT372" s="20">
        <f>IF(Table1[[#This Row],[Control Panel Color Time]]&gt;0,1,0)</f>
        <v>0</v>
      </c>
    </row>
    <row r="373" spans="1:46" s="2" customFormat="1" x14ac:dyDescent="0.25">
      <c r="A373"/>
      <c r="B373"/>
      <c r="C373"/>
      <c r="D373"/>
      <c r="E373"/>
      <c r="F373"/>
      <c r="G373"/>
      <c r="H373"/>
      <c r="I373" s="8">
        <f>+Table1[[#This Row],[Auton ball picked up in our trench]]+Table1[[#This Row],[Auton Balls Picked Up in Mid]]+Table1[[#This Row],[Auton Balls Picked Up In Their Trench]]</f>
        <v>0</v>
      </c>
      <c r="J373" s="8">
        <f>+Table1[[#This Row],[Auton Scored High]]+Table1[[#This Row],[Auton Scored Low]]</f>
        <v>0</v>
      </c>
      <c r="K37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73"/>
      <c r="M373"/>
      <c r="N373"/>
      <c r="O373"/>
      <c r="P373"/>
      <c r="Q373"/>
      <c r="R373"/>
      <c r="S373"/>
      <c r="T373"/>
      <c r="U373"/>
      <c r="V373" s="8">
        <f>Table1[[#This Row],[Balls Scored From Trench]]+Table1[[#This Row],[Balls Scored from Mid]]+Table1[[#This Row],[Balls Scored From Alliance zone]]</f>
        <v>0</v>
      </c>
      <c r="W373" s="8">
        <f>Table1[[#This Row],[balls scored high]]+Table1[[#This Row],[balls scored low]]</f>
        <v>0</v>
      </c>
      <c r="X373" s="8">
        <f>Table1[[#This Row],[Control Panel Spun Time]]+Table1[[#This Row],[Control Panel Color Time]]</f>
        <v>0</v>
      </c>
      <c r="Y373" s="8">
        <f>Table1[[#This Row],[Control Panels Spun]]+Table1[[#This Row],[Control Panel Color]]</f>
        <v>0</v>
      </c>
      <c r="Z37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73"/>
      <c r="AB373"/>
      <c r="AC373"/>
      <c r="AD373"/>
      <c r="AE373"/>
      <c r="AF373"/>
      <c r="AG373"/>
      <c r="AH373"/>
      <c r="AI373"/>
      <c r="AJ373"/>
      <c r="AK373" s="17">
        <f>(Table1[[#This Row],[Climbed]]*weighting!$B$18)+(Table1[[#This Row],[Adjustable Climber]]*weighting!$B$19)+(Table1[[#This Row],[Lift other Robot]]*weighting!$B$20)+(Table1[[#This Row],[Balanced]]*weighting!$B$21)</f>
        <v>0</v>
      </c>
      <c r="AL373" s="8">
        <f>+Table1[[#This Row],[Endgame our score]]+Table1[[#This Row],[teleop our score]]+Table1[[#This Row],[auton our score]]</f>
        <v>0</v>
      </c>
      <c r="AM373" s="20">
        <f t="shared" si="15"/>
        <v>0</v>
      </c>
      <c r="AN373" s="20">
        <f t="shared" si="16"/>
        <v>0</v>
      </c>
      <c r="AO373" s="20">
        <f t="shared" si="17"/>
        <v>0</v>
      </c>
      <c r="AP373" s="20">
        <f>Table1[[#This Row],[balls scored]]+Table1[[#This Row],[auton balls scored]]</f>
        <v>0</v>
      </c>
      <c r="AQ373" s="20">
        <f>Table1[[#This Row],[balls scored high]]+Table1[[#This Row],[Auton Scored High]]</f>
        <v>0</v>
      </c>
      <c r="AR373" s="20">
        <f>Table1[[#This Row],[balls scored low]]+Table1[[#This Row],[Auton Scored Low]]</f>
        <v>0</v>
      </c>
      <c r="AS373" s="50">
        <f>IF(Table1[[#This Row],[Control Panel Spun Time]]&gt;0,1,0)</f>
        <v>0</v>
      </c>
      <c r="AT373" s="20">
        <f>IF(Table1[[#This Row],[Control Panel Color Time]]&gt;0,1,0)</f>
        <v>0</v>
      </c>
    </row>
    <row r="374" spans="1:46" x14ac:dyDescent="0.25">
      <c r="A374"/>
      <c r="I374" s="8">
        <f>+Table1[[#This Row],[Auton ball picked up in our trench]]+Table1[[#This Row],[Auton Balls Picked Up in Mid]]+Table1[[#This Row],[Auton Balls Picked Up In Their Trench]]</f>
        <v>0</v>
      </c>
      <c r="J374" s="8">
        <f>+Table1[[#This Row],[Auton Scored High]]+Table1[[#This Row],[Auton Scored Low]]</f>
        <v>0</v>
      </c>
      <c r="K37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74" s="8">
        <f>Table1[[#This Row],[Balls Scored From Trench]]+Table1[[#This Row],[Balls Scored from Mid]]+Table1[[#This Row],[Balls Scored From Alliance zone]]</f>
        <v>0</v>
      </c>
      <c r="W374" s="8">
        <f>Table1[[#This Row],[balls scored high]]+Table1[[#This Row],[balls scored low]]</f>
        <v>0</v>
      </c>
      <c r="X374" s="8">
        <f>Table1[[#This Row],[Control Panel Spun Time]]+Table1[[#This Row],[Control Panel Color Time]]</f>
        <v>0</v>
      </c>
      <c r="Y374" s="8">
        <f>Table1[[#This Row],[Control Panels Spun]]+Table1[[#This Row],[Control Panel Color]]</f>
        <v>0</v>
      </c>
      <c r="Z37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74" s="17">
        <f>(Table1[[#This Row],[Climbed]]*weighting!$B$18)+(Table1[[#This Row],[Adjustable Climber]]*weighting!$B$19)+(Table1[[#This Row],[Lift other Robot]]*weighting!$B$20)+(Table1[[#This Row],[Balanced]]*weighting!$B$21)</f>
        <v>0</v>
      </c>
      <c r="AL374" s="8">
        <f>+Table1[[#This Row],[Endgame our score]]+Table1[[#This Row],[teleop our score]]+Table1[[#This Row],[auton our score]]</f>
        <v>0</v>
      </c>
      <c r="AM374" s="20">
        <f t="shared" si="15"/>
        <v>0</v>
      </c>
      <c r="AN374" s="20">
        <f t="shared" si="16"/>
        <v>0</v>
      </c>
      <c r="AO374" s="20">
        <f t="shared" si="17"/>
        <v>0</v>
      </c>
      <c r="AP374" s="20">
        <f>Table1[[#This Row],[balls scored]]+Table1[[#This Row],[auton balls scored]]</f>
        <v>0</v>
      </c>
      <c r="AQ374" s="20">
        <f>Table1[[#This Row],[balls scored high]]+Table1[[#This Row],[Auton Scored High]]</f>
        <v>0</v>
      </c>
      <c r="AR374" s="20">
        <f>Table1[[#This Row],[balls scored low]]+Table1[[#This Row],[Auton Scored Low]]</f>
        <v>0</v>
      </c>
      <c r="AS374" s="50">
        <f>IF(Table1[[#This Row],[Control Panel Spun Time]]&gt;0,1,0)</f>
        <v>0</v>
      </c>
      <c r="AT374" s="20">
        <f>IF(Table1[[#This Row],[Control Panel Color Time]]&gt;0,1,0)</f>
        <v>0</v>
      </c>
    </row>
    <row r="375" spans="1:46" s="2" customFormat="1" x14ac:dyDescent="0.25">
      <c r="A375"/>
      <c r="B375"/>
      <c r="C375"/>
      <c r="D375"/>
      <c r="E375"/>
      <c r="F375"/>
      <c r="G375"/>
      <c r="H375"/>
      <c r="I375" s="8">
        <f>+Table1[[#This Row],[Auton ball picked up in our trench]]+Table1[[#This Row],[Auton Balls Picked Up in Mid]]+Table1[[#This Row],[Auton Balls Picked Up In Their Trench]]</f>
        <v>0</v>
      </c>
      <c r="J375" s="8">
        <f>+Table1[[#This Row],[Auton Scored High]]+Table1[[#This Row],[Auton Scored Low]]</f>
        <v>0</v>
      </c>
      <c r="K37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75"/>
      <c r="M375"/>
      <c r="N375"/>
      <c r="O375"/>
      <c r="P375"/>
      <c r="Q375"/>
      <c r="R375"/>
      <c r="S375"/>
      <c r="T375"/>
      <c r="U375"/>
      <c r="V375" s="8">
        <f>Table1[[#This Row],[Balls Scored From Trench]]+Table1[[#This Row],[Balls Scored from Mid]]+Table1[[#This Row],[Balls Scored From Alliance zone]]</f>
        <v>0</v>
      </c>
      <c r="W375" s="8">
        <f>Table1[[#This Row],[balls scored high]]+Table1[[#This Row],[balls scored low]]</f>
        <v>0</v>
      </c>
      <c r="X375" s="8">
        <f>Table1[[#This Row],[Control Panel Spun Time]]+Table1[[#This Row],[Control Panel Color Time]]</f>
        <v>0</v>
      </c>
      <c r="Y375" s="8">
        <f>Table1[[#This Row],[Control Panels Spun]]+Table1[[#This Row],[Control Panel Color]]</f>
        <v>0</v>
      </c>
      <c r="Z37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75"/>
      <c r="AB375"/>
      <c r="AC375"/>
      <c r="AD375"/>
      <c r="AE375"/>
      <c r="AF375"/>
      <c r="AG375"/>
      <c r="AH375"/>
      <c r="AI375"/>
      <c r="AJ375"/>
      <c r="AK375" s="17">
        <f>(Table1[[#This Row],[Climbed]]*weighting!$B$18)+(Table1[[#This Row],[Adjustable Climber]]*weighting!$B$19)+(Table1[[#This Row],[Lift other Robot]]*weighting!$B$20)+(Table1[[#This Row],[Balanced]]*weighting!$B$21)</f>
        <v>0</v>
      </c>
      <c r="AL375" s="8">
        <f>+Table1[[#This Row],[Endgame our score]]+Table1[[#This Row],[teleop our score]]+Table1[[#This Row],[auton our score]]</f>
        <v>0</v>
      </c>
      <c r="AM375" s="20">
        <f t="shared" si="15"/>
        <v>0</v>
      </c>
      <c r="AN375" s="20">
        <f t="shared" si="16"/>
        <v>0</v>
      </c>
      <c r="AO375" s="20">
        <f t="shared" si="17"/>
        <v>0</v>
      </c>
      <c r="AP375" s="20">
        <f>Table1[[#This Row],[balls scored]]+Table1[[#This Row],[auton balls scored]]</f>
        <v>0</v>
      </c>
      <c r="AQ375" s="20">
        <f>Table1[[#This Row],[balls scored high]]+Table1[[#This Row],[Auton Scored High]]</f>
        <v>0</v>
      </c>
      <c r="AR375" s="20">
        <f>Table1[[#This Row],[balls scored low]]+Table1[[#This Row],[Auton Scored Low]]</f>
        <v>0</v>
      </c>
      <c r="AS375" s="50">
        <f>IF(Table1[[#This Row],[Control Panel Spun Time]]&gt;0,1,0)</f>
        <v>0</v>
      </c>
      <c r="AT375" s="20">
        <f>IF(Table1[[#This Row],[Control Panel Color Time]]&gt;0,1,0)</f>
        <v>0</v>
      </c>
    </row>
    <row r="376" spans="1:46" x14ac:dyDescent="0.25">
      <c r="A376"/>
      <c r="I376" s="8">
        <f>+Table1[[#This Row],[Auton ball picked up in our trench]]+Table1[[#This Row],[Auton Balls Picked Up in Mid]]+Table1[[#This Row],[Auton Balls Picked Up In Their Trench]]</f>
        <v>0</v>
      </c>
      <c r="J376" s="8">
        <f>+Table1[[#This Row],[Auton Scored High]]+Table1[[#This Row],[Auton Scored Low]]</f>
        <v>0</v>
      </c>
      <c r="K37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76" s="8">
        <f>Table1[[#This Row],[Balls Scored From Trench]]+Table1[[#This Row],[Balls Scored from Mid]]+Table1[[#This Row],[Balls Scored From Alliance zone]]</f>
        <v>0</v>
      </c>
      <c r="W376" s="8">
        <f>Table1[[#This Row],[balls scored high]]+Table1[[#This Row],[balls scored low]]</f>
        <v>0</v>
      </c>
      <c r="X376" s="8">
        <f>Table1[[#This Row],[Control Panel Spun Time]]+Table1[[#This Row],[Control Panel Color Time]]</f>
        <v>0</v>
      </c>
      <c r="Y376" s="8">
        <f>Table1[[#This Row],[Control Panels Spun]]+Table1[[#This Row],[Control Panel Color]]</f>
        <v>0</v>
      </c>
      <c r="Z37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76" s="17">
        <f>(Table1[[#This Row],[Climbed]]*weighting!$B$18)+(Table1[[#This Row],[Adjustable Climber]]*weighting!$B$19)+(Table1[[#This Row],[Lift other Robot]]*weighting!$B$20)+(Table1[[#This Row],[Balanced]]*weighting!$B$21)</f>
        <v>0</v>
      </c>
      <c r="AL376" s="8">
        <f>+Table1[[#This Row],[Endgame our score]]+Table1[[#This Row],[teleop our score]]+Table1[[#This Row],[auton our score]]</f>
        <v>0</v>
      </c>
      <c r="AM376" s="20">
        <f t="shared" si="15"/>
        <v>0</v>
      </c>
      <c r="AN376" s="20">
        <f t="shared" si="16"/>
        <v>0</v>
      </c>
      <c r="AO376" s="20">
        <f t="shared" si="17"/>
        <v>0</v>
      </c>
      <c r="AP376" s="20">
        <f>Table1[[#This Row],[balls scored]]+Table1[[#This Row],[auton balls scored]]</f>
        <v>0</v>
      </c>
      <c r="AQ376" s="20">
        <f>Table1[[#This Row],[balls scored high]]+Table1[[#This Row],[Auton Scored High]]</f>
        <v>0</v>
      </c>
      <c r="AR376" s="20">
        <f>Table1[[#This Row],[balls scored low]]+Table1[[#This Row],[Auton Scored Low]]</f>
        <v>0</v>
      </c>
      <c r="AS376" s="50">
        <f>IF(Table1[[#This Row],[Control Panel Spun Time]]&gt;0,1,0)</f>
        <v>0</v>
      </c>
      <c r="AT376" s="20">
        <f>IF(Table1[[#This Row],[Control Panel Color Time]]&gt;0,1,0)</f>
        <v>0</v>
      </c>
    </row>
    <row r="377" spans="1:46" s="2" customFormat="1" x14ac:dyDescent="0.25">
      <c r="A377"/>
      <c r="B377"/>
      <c r="C377"/>
      <c r="D377"/>
      <c r="E377"/>
      <c r="F377"/>
      <c r="G377"/>
      <c r="H377"/>
      <c r="I377" s="8">
        <f>+Table1[[#This Row],[Auton ball picked up in our trench]]+Table1[[#This Row],[Auton Balls Picked Up in Mid]]+Table1[[#This Row],[Auton Balls Picked Up In Their Trench]]</f>
        <v>0</v>
      </c>
      <c r="J377" s="8">
        <f>+Table1[[#This Row],[Auton Scored High]]+Table1[[#This Row],[Auton Scored Low]]</f>
        <v>0</v>
      </c>
      <c r="K37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77"/>
      <c r="M377"/>
      <c r="N377"/>
      <c r="O377"/>
      <c r="P377"/>
      <c r="Q377"/>
      <c r="R377"/>
      <c r="S377"/>
      <c r="T377"/>
      <c r="U377"/>
      <c r="V377" s="8">
        <f>Table1[[#This Row],[Balls Scored From Trench]]+Table1[[#This Row],[Balls Scored from Mid]]+Table1[[#This Row],[Balls Scored From Alliance zone]]</f>
        <v>0</v>
      </c>
      <c r="W377" s="8">
        <f>Table1[[#This Row],[balls scored high]]+Table1[[#This Row],[balls scored low]]</f>
        <v>0</v>
      </c>
      <c r="X377" s="8">
        <f>Table1[[#This Row],[Control Panel Spun Time]]+Table1[[#This Row],[Control Panel Color Time]]</f>
        <v>0</v>
      </c>
      <c r="Y377" s="8">
        <f>Table1[[#This Row],[Control Panels Spun]]+Table1[[#This Row],[Control Panel Color]]</f>
        <v>0</v>
      </c>
      <c r="Z37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77"/>
      <c r="AB377"/>
      <c r="AC377"/>
      <c r="AD377"/>
      <c r="AE377"/>
      <c r="AF377"/>
      <c r="AG377"/>
      <c r="AH377"/>
      <c r="AI377"/>
      <c r="AJ377"/>
      <c r="AK377" s="17">
        <f>(Table1[[#This Row],[Climbed]]*weighting!$B$18)+(Table1[[#This Row],[Adjustable Climber]]*weighting!$B$19)+(Table1[[#This Row],[Lift other Robot]]*weighting!$B$20)+(Table1[[#This Row],[Balanced]]*weighting!$B$21)</f>
        <v>0</v>
      </c>
      <c r="AL377" s="8">
        <f>+Table1[[#This Row],[Endgame our score]]+Table1[[#This Row],[teleop our score]]+Table1[[#This Row],[auton our score]]</f>
        <v>0</v>
      </c>
      <c r="AM377" s="20">
        <f t="shared" si="15"/>
        <v>0</v>
      </c>
      <c r="AN377" s="20">
        <f t="shared" si="16"/>
        <v>0</v>
      </c>
      <c r="AO377" s="20">
        <f t="shared" si="17"/>
        <v>0</v>
      </c>
      <c r="AP377" s="20">
        <f>Table1[[#This Row],[balls scored]]+Table1[[#This Row],[auton balls scored]]</f>
        <v>0</v>
      </c>
      <c r="AQ377" s="20">
        <f>Table1[[#This Row],[balls scored high]]+Table1[[#This Row],[Auton Scored High]]</f>
        <v>0</v>
      </c>
      <c r="AR377" s="20">
        <f>Table1[[#This Row],[balls scored low]]+Table1[[#This Row],[Auton Scored Low]]</f>
        <v>0</v>
      </c>
      <c r="AS377" s="50">
        <f>IF(Table1[[#This Row],[Control Panel Spun Time]]&gt;0,1,0)</f>
        <v>0</v>
      </c>
      <c r="AT377" s="20">
        <f>IF(Table1[[#This Row],[Control Panel Color Time]]&gt;0,1,0)</f>
        <v>0</v>
      </c>
    </row>
    <row r="378" spans="1:46" x14ac:dyDescent="0.25">
      <c r="A378"/>
      <c r="I378" s="8">
        <f>+Table1[[#This Row],[Auton ball picked up in our trench]]+Table1[[#This Row],[Auton Balls Picked Up in Mid]]+Table1[[#This Row],[Auton Balls Picked Up In Their Trench]]</f>
        <v>0</v>
      </c>
      <c r="J378" s="8">
        <f>+Table1[[#This Row],[Auton Scored High]]+Table1[[#This Row],[Auton Scored Low]]</f>
        <v>0</v>
      </c>
      <c r="K37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78" s="8">
        <f>Table1[[#This Row],[Balls Scored From Trench]]+Table1[[#This Row],[Balls Scored from Mid]]+Table1[[#This Row],[Balls Scored From Alliance zone]]</f>
        <v>0</v>
      </c>
      <c r="W378" s="8">
        <f>Table1[[#This Row],[balls scored high]]+Table1[[#This Row],[balls scored low]]</f>
        <v>0</v>
      </c>
      <c r="X378" s="8">
        <f>Table1[[#This Row],[Control Panel Spun Time]]+Table1[[#This Row],[Control Panel Color Time]]</f>
        <v>0</v>
      </c>
      <c r="Y378" s="8">
        <f>Table1[[#This Row],[Control Panels Spun]]+Table1[[#This Row],[Control Panel Color]]</f>
        <v>0</v>
      </c>
      <c r="Z37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78" s="17">
        <f>(Table1[[#This Row],[Climbed]]*weighting!$B$18)+(Table1[[#This Row],[Adjustable Climber]]*weighting!$B$19)+(Table1[[#This Row],[Lift other Robot]]*weighting!$B$20)+(Table1[[#This Row],[Balanced]]*weighting!$B$21)</f>
        <v>0</v>
      </c>
      <c r="AL378" s="8">
        <f>+Table1[[#This Row],[Endgame our score]]+Table1[[#This Row],[teleop our score]]+Table1[[#This Row],[auton our score]]</f>
        <v>0</v>
      </c>
      <c r="AM378" s="20">
        <f t="shared" si="15"/>
        <v>0</v>
      </c>
      <c r="AN378" s="20">
        <f t="shared" si="16"/>
        <v>0</v>
      </c>
      <c r="AO378" s="20">
        <f t="shared" si="17"/>
        <v>0</v>
      </c>
      <c r="AP378" s="20">
        <f>Table1[[#This Row],[balls scored]]+Table1[[#This Row],[auton balls scored]]</f>
        <v>0</v>
      </c>
      <c r="AQ378" s="20">
        <f>Table1[[#This Row],[balls scored high]]+Table1[[#This Row],[Auton Scored High]]</f>
        <v>0</v>
      </c>
      <c r="AR378" s="20">
        <f>Table1[[#This Row],[balls scored low]]+Table1[[#This Row],[Auton Scored Low]]</f>
        <v>0</v>
      </c>
      <c r="AS378" s="50">
        <f>IF(Table1[[#This Row],[Control Panel Spun Time]]&gt;0,1,0)</f>
        <v>0</v>
      </c>
      <c r="AT378" s="20">
        <f>IF(Table1[[#This Row],[Control Panel Color Time]]&gt;0,1,0)</f>
        <v>0</v>
      </c>
    </row>
    <row r="379" spans="1:46" s="2" customFormat="1" x14ac:dyDescent="0.25">
      <c r="A379"/>
      <c r="B379"/>
      <c r="C379"/>
      <c r="D379"/>
      <c r="E379"/>
      <c r="F379"/>
      <c r="G379"/>
      <c r="H379"/>
      <c r="I379" s="8">
        <f>+Table1[[#This Row],[Auton ball picked up in our trench]]+Table1[[#This Row],[Auton Balls Picked Up in Mid]]+Table1[[#This Row],[Auton Balls Picked Up In Their Trench]]</f>
        <v>0</v>
      </c>
      <c r="J379" s="8">
        <f>+Table1[[#This Row],[Auton Scored High]]+Table1[[#This Row],[Auton Scored Low]]</f>
        <v>0</v>
      </c>
      <c r="K37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79"/>
      <c r="M379"/>
      <c r="N379"/>
      <c r="O379"/>
      <c r="P379"/>
      <c r="Q379"/>
      <c r="R379"/>
      <c r="S379"/>
      <c r="T379"/>
      <c r="U379"/>
      <c r="V379" s="8">
        <f>Table1[[#This Row],[Balls Scored From Trench]]+Table1[[#This Row],[Balls Scored from Mid]]+Table1[[#This Row],[Balls Scored From Alliance zone]]</f>
        <v>0</v>
      </c>
      <c r="W379" s="8">
        <f>Table1[[#This Row],[balls scored high]]+Table1[[#This Row],[balls scored low]]</f>
        <v>0</v>
      </c>
      <c r="X379" s="8">
        <f>Table1[[#This Row],[Control Panel Spun Time]]+Table1[[#This Row],[Control Panel Color Time]]</f>
        <v>0</v>
      </c>
      <c r="Y379" s="8">
        <f>Table1[[#This Row],[Control Panels Spun]]+Table1[[#This Row],[Control Panel Color]]</f>
        <v>0</v>
      </c>
      <c r="Z37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79"/>
      <c r="AB379"/>
      <c r="AC379"/>
      <c r="AD379"/>
      <c r="AE379"/>
      <c r="AF379"/>
      <c r="AG379"/>
      <c r="AH379"/>
      <c r="AI379"/>
      <c r="AJ379"/>
      <c r="AK379" s="17">
        <f>(Table1[[#This Row],[Climbed]]*weighting!$B$18)+(Table1[[#This Row],[Adjustable Climber]]*weighting!$B$19)+(Table1[[#This Row],[Lift other Robot]]*weighting!$B$20)+(Table1[[#This Row],[Balanced]]*weighting!$B$21)</f>
        <v>0</v>
      </c>
      <c r="AL379" s="8">
        <f>+Table1[[#This Row],[Endgame our score]]+Table1[[#This Row],[teleop our score]]+Table1[[#This Row],[auton our score]]</f>
        <v>0</v>
      </c>
      <c r="AM379" s="20">
        <f t="shared" si="15"/>
        <v>0</v>
      </c>
      <c r="AN379" s="20">
        <f t="shared" si="16"/>
        <v>0</v>
      </c>
      <c r="AO379" s="20">
        <f t="shared" si="17"/>
        <v>0</v>
      </c>
      <c r="AP379" s="20">
        <f>Table1[[#This Row],[balls scored]]+Table1[[#This Row],[auton balls scored]]</f>
        <v>0</v>
      </c>
      <c r="AQ379" s="20">
        <f>Table1[[#This Row],[balls scored high]]+Table1[[#This Row],[Auton Scored High]]</f>
        <v>0</v>
      </c>
      <c r="AR379" s="20">
        <f>Table1[[#This Row],[balls scored low]]+Table1[[#This Row],[Auton Scored Low]]</f>
        <v>0</v>
      </c>
      <c r="AS379" s="50">
        <f>IF(Table1[[#This Row],[Control Panel Spun Time]]&gt;0,1,0)</f>
        <v>0</v>
      </c>
      <c r="AT379" s="20">
        <f>IF(Table1[[#This Row],[Control Panel Color Time]]&gt;0,1,0)</f>
        <v>0</v>
      </c>
    </row>
    <row r="380" spans="1:46" x14ac:dyDescent="0.25">
      <c r="A380"/>
      <c r="I380" s="8">
        <f>+Table1[[#This Row],[Auton ball picked up in our trench]]+Table1[[#This Row],[Auton Balls Picked Up in Mid]]+Table1[[#This Row],[Auton Balls Picked Up In Their Trench]]</f>
        <v>0</v>
      </c>
      <c r="J380" s="8">
        <f>+Table1[[#This Row],[Auton Scored High]]+Table1[[#This Row],[Auton Scored Low]]</f>
        <v>0</v>
      </c>
      <c r="K38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80" s="8">
        <f>Table1[[#This Row],[Balls Scored From Trench]]+Table1[[#This Row],[Balls Scored from Mid]]+Table1[[#This Row],[Balls Scored From Alliance zone]]</f>
        <v>0</v>
      </c>
      <c r="W380" s="8">
        <f>Table1[[#This Row],[balls scored high]]+Table1[[#This Row],[balls scored low]]</f>
        <v>0</v>
      </c>
      <c r="X380" s="8">
        <f>Table1[[#This Row],[Control Panel Spun Time]]+Table1[[#This Row],[Control Panel Color Time]]</f>
        <v>0</v>
      </c>
      <c r="Y380" s="8">
        <f>Table1[[#This Row],[Control Panels Spun]]+Table1[[#This Row],[Control Panel Color]]</f>
        <v>0</v>
      </c>
      <c r="Z38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80" s="17">
        <f>(Table1[[#This Row],[Climbed]]*weighting!$B$18)+(Table1[[#This Row],[Adjustable Climber]]*weighting!$B$19)+(Table1[[#This Row],[Lift other Robot]]*weighting!$B$20)+(Table1[[#This Row],[Balanced]]*weighting!$B$21)</f>
        <v>0</v>
      </c>
      <c r="AL380" s="8">
        <f>+Table1[[#This Row],[Endgame our score]]+Table1[[#This Row],[teleop our score]]+Table1[[#This Row],[auton our score]]</f>
        <v>0</v>
      </c>
      <c r="AM380" s="20">
        <f t="shared" si="15"/>
        <v>0</v>
      </c>
      <c r="AN380" s="20">
        <f t="shared" si="16"/>
        <v>0</v>
      </c>
      <c r="AO380" s="20">
        <f t="shared" si="17"/>
        <v>0</v>
      </c>
      <c r="AP380" s="20">
        <f>Table1[[#This Row],[balls scored]]+Table1[[#This Row],[auton balls scored]]</f>
        <v>0</v>
      </c>
      <c r="AQ380" s="20">
        <f>Table1[[#This Row],[balls scored high]]+Table1[[#This Row],[Auton Scored High]]</f>
        <v>0</v>
      </c>
      <c r="AR380" s="20">
        <f>Table1[[#This Row],[balls scored low]]+Table1[[#This Row],[Auton Scored Low]]</f>
        <v>0</v>
      </c>
      <c r="AS380" s="50">
        <f>IF(Table1[[#This Row],[Control Panel Spun Time]]&gt;0,1,0)</f>
        <v>0</v>
      </c>
      <c r="AT380" s="20">
        <f>IF(Table1[[#This Row],[Control Panel Color Time]]&gt;0,1,0)</f>
        <v>0</v>
      </c>
    </row>
    <row r="381" spans="1:46" s="2" customFormat="1" x14ac:dyDescent="0.25">
      <c r="A381"/>
      <c r="B381"/>
      <c r="C381"/>
      <c r="D381"/>
      <c r="E381"/>
      <c r="F381"/>
      <c r="G381"/>
      <c r="H381"/>
      <c r="I381" s="8">
        <f>+Table1[[#This Row],[Auton ball picked up in our trench]]+Table1[[#This Row],[Auton Balls Picked Up in Mid]]+Table1[[#This Row],[Auton Balls Picked Up In Their Trench]]</f>
        <v>0</v>
      </c>
      <c r="J381" s="8">
        <f>+Table1[[#This Row],[Auton Scored High]]+Table1[[#This Row],[Auton Scored Low]]</f>
        <v>0</v>
      </c>
      <c r="K38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81"/>
      <c r="M381"/>
      <c r="N381"/>
      <c r="O381"/>
      <c r="P381"/>
      <c r="Q381"/>
      <c r="R381"/>
      <c r="S381"/>
      <c r="T381"/>
      <c r="U381"/>
      <c r="V381" s="8">
        <f>Table1[[#This Row],[Balls Scored From Trench]]+Table1[[#This Row],[Balls Scored from Mid]]+Table1[[#This Row],[Balls Scored From Alliance zone]]</f>
        <v>0</v>
      </c>
      <c r="W381" s="8">
        <f>Table1[[#This Row],[balls scored high]]+Table1[[#This Row],[balls scored low]]</f>
        <v>0</v>
      </c>
      <c r="X381" s="8">
        <f>Table1[[#This Row],[Control Panel Spun Time]]+Table1[[#This Row],[Control Panel Color Time]]</f>
        <v>0</v>
      </c>
      <c r="Y381" s="8">
        <f>Table1[[#This Row],[Control Panels Spun]]+Table1[[#This Row],[Control Panel Color]]</f>
        <v>0</v>
      </c>
      <c r="Z38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81"/>
      <c r="AB381"/>
      <c r="AC381"/>
      <c r="AD381"/>
      <c r="AE381"/>
      <c r="AF381"/>
      <c r="AG381"/>
      <c r="AH381"/>
      <c r="AI381"/>
      <c r="AJ381"/>
      <c r="AK381" s="17">
        <f>(Table1[[#This Row],[Climbed]]*weighting!$B$18)+(Table1[[#This Row],[Adjustable Climber]]*weighting!$B$19)+(Table1[[#This Row],[Lift other Robot]]*weighting!$B$20)+(Table1[[#This Row],[Balanced]]*weighting!$B$21)</f>
        <v>0</v>
      </c>
      <c r="AL381" s="8">
        <f>+Table1[[#This Row],[Endgame our score]]+Table1[[#This Row],[teleop our score]]+Table1[[#This Row],[auton our score]]</f>
        <v>0</v>
      </c>
      <c r="AM381" s="20">
        <f t="shared" si="15"/>
        <v>0</v>
      </c>
      <c r="AN381" s="20">
        <f t="shared" si="16"/>
        <v>0</v>
      </c>
      <c r="AO381" s="20">
        <f t="shared" si="17"/>
        <v>0</v>
      </c>
      <c r="AP381" s="20">
        <f>Table1[[#This Row],[balls scored]]+Table1[[#This Row],[auton balls scored]]</f>
        <v>0</v>
      </c>
      <c r="AQ381" s="20">
        <f>Table1[[#This Row],[balls scored high]]+Table1[[#This Row],[Auton Scored High]]</f>
        <v>0</v>
      </c>
      <c r="AR381" s="20">
        <f>Table1[[#This Row],[balls scored low]]+Table1[[#This Row],[Auton Scored Low]]</f>
        <v>0</v>
      </c>
      <c r="AS381" s="50">
        <f>IF(Table1[[#This Row],[Control Panel Spun Time]]&gt;0,1,0)</f>
        <v>0</v>
      </c>
      <c r="AT381" s="20">
        <f>IF(Table1[[#This Row],[Control Panel Color Time]]&gt;0,1,0)</f>
        <v>0</v>
      </c>
    </row>
    <row r="382" spans="1:46" x14ac:dyDescent="0.25">
      <c r="A382"/>
      <c r="I382" s="8">
        <f>+Table1[[#This Row],[Auton ball picked up in our trench]]+Table1[[#This Row],[Auton Balls Picked Up in Mid]]+Table1[[#This Row],[Auton Balls Picked Up In Their Trench]]</f>
        <v>0</v>
      </c>
      <c r="J382" s="8">
        <f>+Table1[[#This Row],[Auton Scored High]]+Table1[[#This Row],[Auton Scored Low]]</f>
        <v>0</v>
      </c>
      <c r="K38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82" s="8">
        <f>Table1[[#This Row],[Balls Scored From Trench]]+Table1[[#This Row],[Balls Scored from Mid]]+Table1[[#This Row],[Balls Scored From Alliance zone]]</f>
        <v>0</v>
      </c>
      <c r="W382" s="8">
        <f>Table1[[#This Row],[balls scored high]]+Table1[[#This Row],[balls scored low]]</f>
        <v>0</v>
      </c>
      <c r="X382" s="8">
        <f>Table1[[#This Row],[Control Panel Spun Time]]+Table1[[#This Row],[Control Panel Color Time]]</f>
        <v>0</v>
      </c>
      <c r="Y382" s="8">
        <f>Table1[[#This Row],[Control Panels Spun]]+Table1[[#This Row],[Control Panel Color]]</f>
        <v>0</v>
      </c>
      <c r="Z38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82" s="17">
        <f>(Table1[[#This Row],[Climbed]]*weighting!$B$18)+(Table1[[#This Row],[Adjustable Climber]]*weighting!$B$19)+(Table1[[#This Row],[Lift other Robot]]*weighting!$B$20)+(Table1[[#This Row],[Balanced]]*weighting!$B$21)</f>
        <v>0</v>
      </c>
      <c r="AL382" s="8">
        <f>+Table1[[#This Row],[Endgame our score]]+Table1[[#This Row],[teleop our score]]+Table1[[#This Row],[auton our score]]</f>
        <v>0</v>
      </c>
      <c r="AM382" s="20">
        <f t="shared" si="15"/>
        <v>0</v>
      </c>
      <c r="AN382" s="20">
        <f t="shared" si="16"/>
        <v>0</v>
      </c>
      <c r="AO382" s="20">
        <f t="shared" si="17"/>
        <v>0</v>
      </c>
      <c r="AP382" s="20">
        <f>Table1[[#This Row],[balls scored]]+Table1[[#This Row],[auton balls scored]]</f>
        <v>0</v>
      </c>
      <c r="AQ382" s="20">
        <f>Table1[[#This Row],[balls scored high]]+Table1[[#This Row],[Auton Scored High]]</f>
        <v>0</v>
      </c>
      <c r="AR382" s="20">
        <f>Table1[[#This Row],[balls scored low]]+Table1[[#This Row],[Auton Scored Low]]</f>
        <v>0</v>
      </c>
      <c r="AS382" s="50">
        <f>IF(Table1[[#This Row],[Control Panel Spun Time]]&gt;0,1,0)</f>
        <v>0</v>
      </c>
      <c r="AT382" s="20">
        <f>IF(Table1[[#This Row],[Control Panel Color Time]]&gt;0,1,0)</f>
        <v>0</v>
      </c>
    </row>
    <row r="383" spans="1:46" s="2" customFormat="1" x14ac:dyDescent="0.25">
      <c r="A383"/>
      <c r="B383"/>
      <c r="C383"/>
      <c r="D383"/>
      <c r="E383"/>
      <c r="F383"/>
      <c r="G383"/>
      <c r="H383"/>
      <c r="I383" s="8">
        <f>+Table1[[#This Row],[Auton ball picked up in our trench]]+Table1[[#This Row],[Auton Balls Picked Up in Mid]]+Table1[[#This Row],[Auton Balls Picked Up In Their Trench]]</f>
        <v>0</v>
      </c>
      <c r="J383" s="8">
        <f>+Table1[[#This Row],[Auton Scored High]]+Table1[[#This Row],[Auton Scored Low]]</f>
        <v>0</v>
      </c>
      <c r="K38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83"/>
      <c r="M383"/>
      <c r="N383"/>
      <c r="O383"/>
      <c r="P383"/>
      <c r="Q383"/>
      <c r="R383"/>
      <c r="S383"/>
      <c r="T383"/>
      <c r="U383"/>
      <c r="V383" s="8">
        <f>Table1[[#This Row],[Balls Scored From Trench]]+Table1[[#This Row],[Balls Scored from Mid]]+Table1[[#This Row],[Balls Scored From Alliance zone]]</f>
        <v>0</v>
      </c>
      <c r="W383" s="8">
        <f>Table1[[#This Row],[balls scored high]]+Table1[[#This Row],[balls scored low]]</f>
        <v>0</v>
      </c>
      <c r="X383" s="8">
        <f>Table1[[#This Row],[Control Panel Spun Time]]+Table1[[#This Row],[Control Panel Color Time]]</f>
        <v>0</v>
      </c>
      <c r="Y383" s="8">
        <f>Table1[[#This Row],[Control Panels Spun]]+Table1[[#This Row],[Control Panel Color]]</f>
        <v>0</v>
      </c>
      <c r="Z38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83"/>
      <c r="AB383"/>
      <c r="AC383"/>
      <c r="AD383"/>
      <c r="AE383"/>
      <c r="AF383"/>
      <c r="AG383"/>
      <c r="AH383"/>
      <c r="AI383"/>
      <c r="AJ383"/>
      <c r="AK383" s="17">
        <f>(Table1[[#This Row],[Climbed]]*weighting!$B$18)+(Table1[[#This Row],[Adjustable Climber]]*weighting!$B$19)+(Table1[[#This Row],[Lift other Robot]]*weighting!$B$20)+(Table1[[#This Row],[Balanced]]*weighting!$B$21)</f>
        <v>0</v>
      </c>
      <c r="AL383" s="8">
        <f>+Table1[[#This Row],[Endgame our score]]+Table1[[#This Row],[teleop our score]]+Table1[[#This Row],[auton our score]]</f>
        <v>0</v>
      </c>
      <c r="AM383" s="20">
        <f t="shared" si="15"/>
        <v>0</v>
      </c>
      <c r="AN383" s="20">
        <f t="shared" si="16"/>
        <v>0</v>
      </c>
      <c r="AO383" s="20">
        <f t="shared" si="17"/>
        <v>0</v>
      </c>
      <c r="AP383" s="20">
        <f>Table1[[#This Row],[balls scored]]+Table1[[#This Row],[auton balls scored]]</f>
        <v>0</v>
      </c>
      <c r="AQ383" s="20">
        <f>Table1[[#This Row],[balls scored high]]+Table1[[#This Row],[Auton Scored High]]</f>
        <v>0</v>
      </c>
      <c r="AR383" s="20">
        <f>Table1[[#This Row],[balls scored low]]+Table1[[#This Row],[Auton Scored Low]]</f>
        <v>0</v>
      </c>
      <c r="AS383" s="50">
        <f>IF(Table1[[#This Row],[Control Panel Spun Time]]&gt;0,1,0)</f>
        <v>0</v>
      </c>
      <c r="AT383" s="20">
        <f>IF(Table1[[#This Row],[Control Panel Color Time]]&gt;0,1,0)</f>
        <v>0</v>
      </c>
    </row>
    <row r="384" spans="1:46" x14ac:dyDescent="0.25">
      <c r="A384"/>
      <c r="I384" s="8">
        <f>+Table1[[#This Row],[Auton ball picked up in our trench]]+Table1[[#This Row],[Auton Balls Picked Up in Mid]]+Table1[[#This Row],[Auton Balls Picked Up In Their Trench]]</f>
        <v>0</v>
      </c>
      <c r="J384" s="8">
        <f>+Table1[[#This Row],[Auton Scored High]]+Table1[[#This Row],[Auton Scored Low]]</f>
        <v>0</v>
      </c>
      <c r="K38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84" s="8">
        <f>Table1[[#This Row],[Balls Scored From Trench]]+Table1[[#This Row],[Balls Scored from Mid]]+Table1[[#This Row],[Balls Scored From Alliance zone]]</f>
        <v>0</v>
      </c>
      <c r="W384" s="8">
        <f>Table1[[#This Row],[balls scored high]]+Table1[[#This Row],[balls scored low]]</f>
        <v>0</v>
      </c>
      <c r="X384" s="8">
        <f>Table1[[#This Row],[Control Panel Spun Time]]+Table1[[#This Row],[Control Panel Color Time]]</f>
        <v>0</v>
      </c>
      <c r="Y384" s="8">
        <f>Table1[[#This Row],[Control Panels Spun]]+Table1[[#This Row],[Control Panel Color]]</f>
        <v>0</v>
      </c>
      <c r="Z38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84" s="17">
        <f>(Table1[[#This Row],[Climbed]]*weighting!$B$18)+(Table1[[#This Row],[Adjustable Climber]]*weighting!$B$19)+(Table1[[#This Row],[Lift other Robot]]*weighting!$B$20)+(Table1[[#This Row],[Balanced]]*weighting!$B$21)</f>
        <v>0</v>
      </c>
      <c r="AL384" s="8">
        <f>+Table1[[#This Row],[Endgame our score]]+Table1[[#This Row],[teleop our score]]+Table1[[#This Row],[auton our score]]</f>
        <v>0</v>
      </c>
      <c r="AM384" s="20">
        <f t="shared" si="15"/>
        <v>0</v>
      </c>
      <c r="AN384" s="20">
        <f t="shared" si="16"/>
        <v>0</v>
      </c>
      <c r="AO384" s="20">
        <f t="shared" si="17"/>
        <v>0</v>
      </c>
      <c r="AP384" s="20">
        <f>Table1[[#This Row],[balls scored]]+Table1[[#This Row],[auton balls scored]]</f>
        <v>0</v>
      </c>
      <c r="AQ384" s="20">
        <f>Table1[[#This Row],[balls scored high]]+Table1[[#This Row],[Auton Scored High]]</f>
        <v>0</v>
      </c>
      <c r="AR384" s="20">
        <f>Table1[[#This Row],[balls scored low]]+Table1[[#This Row],[Auton Scored Low]]</f>
        <v>0</v>
      </c>
      <c r="AS384" s="50">
        <f>IF(Table1[[#This Row],[Control Panel Spun Time]]&gt;0,1,0)</f>
        <v>0</v>
      </c>
      <c r="AT384" s="20">
        <f>IF(Table1[[#This Row],[Control Panel Color Time]]&gt;0,1,0)</f>
        <v>0</v>
      </c>
    </row>
    <row r="385" spans="1:46" s="2" customFormat="1" x14ac:dyDescent="0.25">
      <c r="A385"/>
      <c r="B385"/>
      <c r="C385"/>
      <c r="D385"/>
      <c r="E385"/>
      <c r="F385"/>
      <c r="G385"/>
      <c r="H385"/>
      <c r="I385" s="8">
        <f>+Table1[[#This Row],[Auton ball picked up in our trench]]+Table1[[#This Row],[Auton Balls Picked Up in Mid]]+Table1[[#This Row],[Auton Balls Picked Up In Their Trench]]</f>
        <v>0</v>
      </c>
      <c r="J385" s="8">
        <f>+Table1[[#This Row],[Auton Scored High]]+Table1[[#This Row],[Auton Scored Low]]</f>
        <v>0</v>
      </c>
      <c r="K38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85"/>
      <c r="M385"/>
      <c r="N385"/>
      <c r="O385"/>
      <c r="P385"/>
      <c r="Q385"/>
      <c r="R385"/>
      <c r="S385"/>
      <c r="T385"/>
      <c r="U385"/>
      <c r="V385" s="8">
        <f>Table1[[#This Row],[Balls Scored From Trench]]+Table1[[#This Row],[Balls Scored from Mid]]+Table1[[#This Row],[Balls Scored From Alliance zone]]</f>
        <v>0</v>
      </c>
      <c r="W385" s="8">
        <f>Table1[[#This Row],[balls scored high]]+Table1[[#This Row],[balls scored low]]</f>
        <v>0</v>
      </c>
      <c r="X385" s="8">
        <f>Table1[[#This Row],[Control Panel Spun Time]]+Table1[[#This Row],[Control Panel Color Time]]</f>
        <v>0</v>
      </c>
      <c r="Y385" s="8">
        <f>Table1[[#This Row],[Control Panels Spun]]+Table1[[#This Row],[Control Panel Color]]</f>
        <v>0</v>
      </c>
      <c r="Z38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85"/>
      <c r="AB385"/>
      <c r="AC385"/>
      <c r="AD385"/>
      <c r="AE385"/>
      <c r="AF385"/>
      <c r="AG385"/>
      <c r="AH385"/>
      <c r="AI385"/>
      <c r="AJ385"/>
      <c r="AK385" s="17">
        <f>(Table1[[#This Row],[Climbed]]*weighting!$B$18)+(Table1[[#This Row],[Adjustable Climber]]*weighting!$B$19)+(Table1[[#This Row],[Lift other Robot]]*weighting!$B$20)+(Table1[[#This Row],[Balanced]]*weighting!$B$21)</f>
        <v>0</v>
      </c>
      <c r="AL385" s="8">
        <f>+Table1[[#This Row],[Endgame our score]]+Table1[[#This Row],[teleop our score]]+Table1[[#This Row],[auton our score]]</f>
        <v>0</v>
      </c>
      <c r="AM385" s="20">
        <f t="shared" si="15"/>
        <v>0</v>
      </c>
      <c r="AN385" s="20">
        <f t="shared" si="16"/>
        <v>0</v>
      </c>
      <c r="AO385" s="20">
        <f t="shared" si="17"/>
        <v>0</v>
      </c>
      <c r="AP385" s="20">
        <f>Table1[[#This Row],[balls scored]]+Table1[[#This Row],[auton balls scored]]</f>
        <v>0</v>
      </c>
      <c r="AQ385" s="20">
        <f>Table1[[#This Row],[balls scored high]]+Table1[[#This Row],[Auton Scored High]]</f>
        <v>0</v>
      </c>
      <c r="AR385" s="20">
        <f>Table1[[#This Row],[balls scored low]]+Table1[[#This Row],[Auton Scored Low]]</f>
        <v>0</v>
      </c>
      <c r="AS385" s="50">
        <f>IF(Table1[[#This Row],[Control Panel Spun Time]]&gt;0,1,0)</f>
        <v>0</v>
      </c>
      <c r="AT385" s="20">
        <f>IF(Table1[[#This Row],[Control Panel Color Time]]&gt;0,1,0)</f>
        <v>0</v>
      </c>
    </row>
    <row r="386" spans="1:46" x14ac:dyDescent="0.25">
      <c r="A386"/>
      <c r="I386" s="8">
        <f>+Table1[[#This Row],[Auton ball picked up in our trench]]+Table1[[#This Row],[Auton Balls Picked Up in Mid]]+Table1[[#This Row],[Auton Balls Picked Up In Their Trench]]</f>
        <v>0</v>
      </c>
      <c r="J386" s="8">
        <f>+Table1[[#This Row],[Auton Scored High]]+Table1[[#This Row],[Auton Scored Low]]</f>
        <v>0</v>
      </c>
      <c r="K38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86" s="8">
        <f>Table1[[#This Row],[Balls Scored From Trench]]+Table1[[#This Row],[Balls Scored from Mid]]+Table1[[#This Row],[Balls Scored From Alliance zone]]</f>
        <v>0</v>
      </c>
      <c r="W386" s="8">
        <f>Table1[[#This Row],[balls scored high]]+Table1[[#This Row],[balls scored low]]</f>
        <v>0</v>
      </c>
      <c r="X386" s="8">
        <f>Table1[[#This Row],[Control Panel Spun Time]]+Table1[[#This Row],[Control Panel Color Time]]</f>
        <v>0</v>
      </c>
      <c r="Y386" s="8">
        <f>Table1[[#This Row],[Control Panels Spun]]+Table1[[#This Row],[Control Panel Color]]</f>
        <v>0</v>
      </c>
      <c r="Z38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86" s="17">
        <f>(Table1[[#This Row],[Climbed]]*weighting!$B$18)+(Table1[[#This Row],[Adjustable Climber]]*weighting!$B$19)+(Table1[[#This Row],[Lift other Robot]]*weighting!$B$20)+(Table1[[#This Row],[Balanced]]*weighting!$B$21)</f>
        <v>0</v>
      </c>
      <c r="AL386" s="8">
        <f>+Table1[[#This Row],[Endgame our score]]+Table1[[#This Row],[teleop our score]]+Table1[[#This Row],[auton our score]]</f>
        <v>0</v>
      </c>
      <c r="AM386" s="20">
        <f t="shared" ref="AM386:AM449" si="18">IF(B386=1,1,0)</f>
        <v>0</v>
      </c>
      <c r="AN386" s="20">
        <f t="shared" ref="AN386:AN449" si="19">IF(B386=2,1,0)</f>
        <v>0</v>
      </c>
      <c r="AO386" s="20">
        <f t="shared" ref="AO386:AO449" si="20">IF(B386=3,1,0)</f>
        <v>0</v>
      </c>
      <c r="AP386" s="20">
        <f>Table1[[#This Row],[balls scored]]+Table1[[#This Row],[auton balls scored]]</f>
        <v>0</v>
      </c>
      <c r="AQ386" s="20">
        <f>Table1[[#This Row],[balls scored high]]+Table1[[#This Row],[Auton Scored High]]</f>
        <v>0</v>
      </c>
      <c r="AR386" s="20">
        <f>Table1[[#This Row],[balls scored low]]+Table1[[#This Row],[Auton Scored Low]]</f>
        <v>0</v>
      </c>
      <c r="AS386" s="50">
        <f>IF(Table1[[#This Row],[Control Panel Spun Time]]&gt;0,1,0)</f>
        <v>0</v>
      </c>
      <c r="AT386" s="20">
        <f>IF(Table1[[#This Row],[Control Panel Color Time]]&gt;0,1,0)</f>
        <v>0</v>
      </c>
    </row>
    <row r="387" spans="1:46" s="2" customFormat="1" x14ac:dyDescent="0.25">
      <c r="A387"/>
      <c r="B387"/>
      <c r="C387"/>
      <c r="D387"/>
      <c r="E387"/>
      <c r="F387"/>
      <c r="G387"/>
      <c r="H387"/>
      <c r="I387" s="8">
        <f>+Table1[[#This Row],[Auton ball picked up in our trench]]+Table1[[#This Row],[Auton Balls Picked Up in Mid]]+Table1[[#This Row],[Auton Balls Picked Up In Their Trench]]</f>
        <v>0</v>
      </c>
      <c r="J387" s="8">
        <f>+Table1[[#This Row],[Auton Scored High]]+Table1[[#This Row],[Auton Scored Low]]</f>
        <v>0</v>
      </c>
      <c r="K38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87"/>
      <c r="M387"/>
      <c r="N387"/>
      <c r="O387"/>
      <c r="P387"/>
      <c r="Q387"/>
      <c r="R387"/>
      <c r="S387"/>
      <c r="T387"/>
      <c r="U387"/>
      <c r="V387" s="8">
        <f>Table1[[#This Row],[Balls Scored From Trench]]+Table1[[#This Row],[Balls Scored from Mid]]+Table1[[#This Row],[Balls Scored From Alliance zone]]</f>
        <v>0</v>
      </c>
      <c r="W387" s="8">
        <f>Table1[[#This Row],[balls scored high]]+Table1[[#This Row],[balls scored low]]</f>
        <v>0</v>
      </c>
      <c r="X387" s="8">
        <f>Table1[[#This Row],[Control Panel Spun Time]]+Table1[[#This Row],[Control Panel Color Time]]</f>
        <v>0</v>
      </c>
      <c r="Y387" s="8">
        <f>Table1[[#This Row],[Control Panels Spun]]+Table1[[#This Row],[Control Panel Color]]</f>
        <v>0</v>
      </c>
      <c r="Z38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87"/>
      <c r="AB387"/>
      <c r="AC387"/>
      <c r="AD387"/>
      <c r="AE387"/>
      <c r="AF387"/>
      <c r="AG387"/>
      <c r="AH387"/>
      <c r="AI387"/>
      <c r="AJ387"/>
      <c r="AK387" s="17">
        <f>(Table1[[#This Row],[Climbed]]*weighting!$B$18)+(Table1[[#This Row],[Adjustable Climber]]*weighting!$B$19)+(Table1[[#This Row],[Lift other Robot]]*weighting!$B$20)+(Table1[[#This Row],[Balanced]]*weighting!$B$21)</f>
        <v>0</v>
      </c>
      <c r="AL387" s="8">
        <f>+Table1[[#This Row],[Endgame our score]]+Table1[[#This Row],[teleop our score]]+Table1[[#This Row],[auton our score]]</f>
        <v>0</v>
      </c>
      <c r="AM387" s="20">
        <f t="shared" si="18"/>
        <v>0</v>
      </c>
      <c r="AN387" s="20">
        <f t="shared" si="19"/>
        <v>0</v>
      </c>
      <c r="AO387" s="20">
        <f t="shared" si="20"/>
        <v>0</v>
      </c>
      <c r="AP387" s="20">
        <f>Table1[[#This Row],[balls scored]]+Table1[[#This Row],[auton balls scored]]</f>
        <v>0</v>
      </c>
      <c r="AQ387" s="20">
        <f>Table1[[#This Row],[balls scored high]]+Table1[[#This Row],[Auton Scored High]]</f>
        <v>0</v>
      </c>
      <c r="AR387" s="20">
        <f>Table1[[#This Row],[balls scored low]]+Table1[[#This Row],[Auton Scored Low]]</f>
        <v>0</v>
      </c>
      <c r="AS387" s="50">
        <f>IF(Table1[[#This Row],[Control Panel Spun Time]]&gt;0,1,0)</f>
        <v>0</v>
      </c>
      <c r="AT387" s="20">
        <f>IF(Table1[[#This Row],[Control Panel Color Time]]&gt;0,1,0)</f>
        <v>0</v>
      </c>
    </row>
    <row r="388" spans="1:46" x14ac:dyDescent="0.25">
      <c r="A388"/>
      <c r="I388" s="8">
        <f>+Table1[[#This Row],[Auton ball picked up in our trench]]+Table1[[#This Row],[Auton Balls Picked Up in Mid]]+Table1[[#This Row],[Auton Balls Picked Up In Their Trench]]</f>
        <v>0</v>
      </c>
      <c r="J388" s="8">
        <f>+Table1[[#This Row],[Auton Scored High]]+Table1[[#This Row],[Auton Scored Low]]</f>
        <v>0</v>
      </c>
      <c r="K38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88" s="8">
        <f>Table1[[#This Row],[Balls Scored From Trench]]+Table1[[#This Row],[Balls Scored from Mid]]+Table1[[#This Row],[Balls Scored From Alliance zone]]</f>
        <v>0</v>
      </c>
      <c r="W388" s="8">
        <f>Table1[[#This Row],[balls scored high]]+Table1[[#This Row],[balls scored low]]</f>
        <v>0</v>
      </c>
      <c r="X388" s="8">
        <f>Table1[[#This Row],[Control Panel Spun Time]]+Table1[[#This Row],[Control Panel Color Time]]</f>
        <v>0</v>
      </c>
      <c r="Y388" s="8">
        <f>Table1[[#This Row],[Control Panels Spun]]+Table1[[#This Row],[Control Panel Color]]</f>
        <v>0</v>
      </c>
      <c r="Z38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88" s="17">
        <f>(Table1[[#This Row],[Climbed]]*weighting!$B$18)+(Table1[[#This Row],[Adjustable Climber]]*weighting!$B$19)+(Table1[[#This Row],[Lift other Robot]]*weighting!$B$20)+(Table1[[#This Row],[Balanced]]*weighting!$B$21)</f>
        <v>0</v>
      </c>
      <c r="AL388" s="8">
        <f>+Table1[[#This Row],[Endgame our score]]+Table1[[#This Row],[teleop our score]]+Table1[[#This Row],[auton our score]]</f>
        <v>0</v>
      </c>
      <c r="AM388" s="20">
        <f t="shared" si="18"/>
        <v>0</v>
      </c>
      <c r="AN388" s="20">
        <f t="shared" si="19"/>
        <v>0</v>
      </c>
      <c r="AO388" s="20">
        <f t="shared" si="20"/>
        <v>0</v>
      </c>
      <c r="AP388" s="20">
        <f>Table1[[#This Row],[balls scored]]+Table1[[#This Row],[auton balls scored]]</f>
        <v>0</v>
      </c>
      <c r="AQ388" s="20">
        <f>Table1[[#This Row],[balls scored high]]+Table1[[#This Row],[Auton Scored High]]</f>
        <v>0</v>
      </c>
      <c r="AR388" s="20">
        <f>Table1[[#This Row],[balls scored low]]+Table1[[#This Row],[Auton Scored Low]]</f>
        <v>0</v>
      </c>
      <c r="AS388" s="50">
        <f>IF(Table1[[#This Row],[Control Panel Spun Time]]&gt;0,1,0)</f>
        <v>0</v>
      </c>
      <c r="AT388" s="20">
        <f>IF(Table1[[#This Row],[Control Panel Color Time]]&gt;0,1,0)</f>
        <v>0</v>
      </c>
    </row>
    <row r="389" spans="1:46" s="2" customFormat="1" x14ac:dyDescent="0.25">
      <c r="A389"/>
      <c r="B389"/>
      <c r="C389"/>
      <c r="D389"/>
      <c r="E389"/>
      <c r="F389"/>
      <c r="G389"/>
      <c r="H389"/>
      <c r="I389" s="8">
        <f>+Table1[[#This Row],[Auton ball picked up in our trench]]+Table1[[#This Row],[Auton Balls Picked Up in Mid]]+Table1[[#This Row],[Auton Balls Picked Up In Their Trench]]</f>
        <v>0</v>
      </c>
      <c r="J389" s="8">
        <f>+Table1[[#This Row],[Auton Scored High]]+Table1[[#This Row],[Auton Scored Low]]</f>
        <v>0</v>
      </c>
      <c r="K38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89"/>
      <c r="M389"/>
      <c r="N389"/>
      <c r="O389"/>
      <c r="P389"/>
      <c r="Q389"/>
      <c r="R389"/>
      <c r="S389"/>
      <c r="T389"/>
      <c r="U389"/>
      <c r="V389" s="8">
        <f>Table1[[#This Row],[Balls Scored From Trench]]+Table1[[#This Row],[Balls Scored from Mid]]+Table1[[#This Row],[Balls Scored From Alliance zone]]</f>
        <v>0</v>
      </c>
      <c r="W389" s="8">
        <f>Table1[[#This Row],[balls scored high]]+Table1[[#This Row],[balls scored low]]</f>
        <v>0</v>
      </c>
      <c r="X389" s="8">
        <f>Table1[[#This Row],[Control Panel Spun Time]]+Table1[[#This Row],[Control Panel Color Time]]</f>
        <v>0</v>
      </c>
      <c r="Y389" s="8">
        <f>Table1[[#This Row],[Control Panels Spun]]+Table1[[#This Row],[Control Panel Color]]</f>
        <v>0</v>
      </c>
      <c r="Z38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89"/>
      <c r="AB389"/>
      <c r="AC389"/>
      <c r="AD389"/>
      <c r="AE389"/>
      <c r="AF389"/>
      <c r="AG389"/>
      <c r="AH389"/>
      <c r="AI389"/>
      <c r="AJ389"/>
      <c r="AK389" s="17">
        <f>(Table1[[#This Row],[Climbed]]*weighting!$B$18)+(Table1[[#This Row],[Adjustable Climber]]*weighting!$B$19)+(Table1[[#This Row],[Lift other Robot]]*weighting!$B$20)+(Table1[[#This Row],[Balanced]]*weighting!$B$21)</f>
        <v>0</v>
      </c>
      <c r="AL389" s="8">
        <f>+Table1[[#This Row],[Endgame our score]]+Table1[[#This Row],[teleop our score]]+Table1[[#This Row],[auton our score]]</f>
        <v>0</v>
      </c>
      <c r="AM389" s="20">
        <f t="shared" si="18"/>
        <v>0</v>
      </c>
      <c r="AN389" s="20">
        <f t="shared" si="19"/>
        <v>0</v>
      </c>
      <c r="AO389" s="20">
        <f t="shared" si="20"/>
        <v>0</v>
      </c>
      <c r="AP389" s="20">
        <f>Table1[[#This Row],[balls scored]]+Table1[[#This Row],[auton balls scored]]</f>
        <v>0</v>
      </c>
      <c r="AQ389" s="20">
        <f>Table1[[#This Row],[balls scored high]]+Table1[[#This Row],[Auton Scored High]]</f>
        <v>0</v>
      </c>
      <c r="AR389" s="20">
        <f>Table1[[#This Row],[balls scored low]]+Table1[[#This Row],[Auton Scored Low]]</f>
        <v>0</v>
      </c>
      <c r="AS389" s="50">
        <f>IF(Table1[[#This Row],[Control Panel Spun Time]]&gt;0,1,0)</f>
        <v>0</v>
      </c>
      <c r="AT389" s="20">
        <f>IF(Table1[[#This Row],[Control Panel Color Time]]&gt;0,1,0)</f>
        <v>0</v>
      </c>
    </row>
    <row r="390" spans="1:46" x14ac:dyDescent="0.25">
      <c r="A390"/>
      <c r="I390" s="8">
        <f>+Table1[[#This Row],[Auton ball picked up in our trench]]+Table1[[#This Row],[Auton Balls Picked Up in Mid]]+Table1[[#This Row],[Auton Balls Picked Up In Their Trench]]</f>
        <v>0</v>
      </c>
      <c r="J390" s="8">
        <f>+Table1[[#This Row],[Auton Scored High]]+Table1[[#This Row],[Auton Scored Low]]</f>
        <v>0</v>
      </c>
      <c r="K39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90" s="8">
        <f>Table1[[#This Row],[Balls Scored From Trench]]+Table1[[#This Row],[Balls Scored from Mid]]+Table1[[#This Row],[Balls Scored From Alliance zone]]</f>
        <v>0</v>
      </c>
      <c r="W390" s="8">
        <f>Table1[[#This Row],[balls scored high]]+Table1[[#This Row],[balls scored low]]</f>
        <v>0</v>
      </c>
      <c r="X390" s="8">
        <f>Table1[[#This Row],[Control Panel Spun Time]]+Table1[[#This Row],[Control Panel Color Time]]</f>
        <v>0</v>
      </c>
      <c r="Y390" s="8">
        <f>Table1[[#This Row],[Control Panels Spun]]+Table1[[#This Row],[Control Panel Color]]</f>
        <v>0</v>
      </c>
      <c r="Z39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90" s="17">
        <f>(Table1[[#This Row],[Climbed]]*weighting!$B$18)+(Table1[[#This Row],[Adjustable Climber]]*weighting!$B$19)+(Table1[[#This Row],[Lift other Robot]]*weighting!$B$20)+(Table1[[#This Row],[Balanced]]*weighting!$B$21)</f>
        <v>0</v>
      </c>
      <c r="AL390" s="8">
        <f>+Table1[[#This Row],[Endgame our score]]+Table1[[#This Row],[teleop our score]]+Table1[[#This Row],[auton our score]]</f>
        <v>0</v>
      </c>
      <c r="AM390" s="20">
        <f t="shared" si="18"/>
        <v>0</v>
      </c>
      <c r="AN390" s="20">
        <f t="shared" si="19"/>
        <v>0</v>
      </c>
      <c r="AO390" s="20">
        <f t="shared" si="20"/>
        <v>0</v>
      </c>
      <c r="AP390" s="20">
        <f>Table1[[#This Row],[balls scored]]+Table1[[#This Row],[auton balls scored]]</f>
        <v>0</v>
      </c>
      <c r="AQ390" s="20">
        <f>Table1[[#This Row],[balls scored high]]+Table1[[#This Row],[Auton Scored High]]</f>
        <v>0</v>
      </c>
      <c r="AR390" s="20">
        <f>Table1[[#This Row],[balls scored low]]+Table1[[#This Row],[Auton Scored Low]]</f>
        <v>0</v>
      </c>
      <c r="AS390" s="50">
        <f>IF(Table1[[#This Row],[Control Panel Spun Time]]&gt;0,1,0)</f>
        <v>0</v>
      </c>
      <c r="AT390" s="20">
        <f>IF(Table1[[#This Row],[Control Panel Color Time]]&gt;0,1,0)</f>
        <v>0</v>
      </c>
    </row>
    <row r="391" spans="1:46" s="2" customFormat="1" x14ac:dyDescent="0.25">
      <c r="A391"/>
      <c r="B391"/>
      <c r="C391"/>
      <c r="D391"/>
      <c r="E391"/>
      <c r="F391"/>
      <c r="G391"/>
      <c r="H391"/>
      <c r="I391" s="8">
        <f>+Table1[[#This Row],[Auton ball picked up in our trench]]+Table1[[#This Row],[Auton Balls Picked Up in Mid]]+Table1[[#This Row],[Auton Balls Picked Up In Their Trench]]</f>
        <v>0</v>
      </c>
      <c r="J391" s="8">
        <f>+Table1[[#This Row],[Auton Scored High]]+Table1[[#This Row],[Auton Scored Low]]</f>
        <v>0</v>
      </c>
      <c r="K39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91"/>
      <c r="M391"/>
      <c r="N391"/>
      <c r="O391"/>
      <c r="P391"/>
      <c r="Q391"/>
      <c r="R391"/>
      <c r="S391"/>
      <c r="T391"/>
      <c r="U391"/>
      <c r="V391" s="8">
        <f>Table1[[#This Row],[Balls Scored From Trench]]+Table1[[#This Row],[Balls Scored from Mid]]+Table1[[#This Row],[Balls Scored From Alliance zone]]</f>
        <v>0</v>
      </c>
      <c r="W391" s="8">
        <f>Table1[[#This Row],[balls scored high]]+Table1[[#This Row],[balls scored low]]</f>
        <v>0</v>
      </c>
      <c r="X391" s="8">
        <f>Table1[[#This Row],[Control Panel Spun Time]]+Table1[[#This Row],[Control Panel Color Time]]</f>
        <v>0</v>
      </c>
      <c r="Y391" s="8">
        <f>Table1[[#This Row],[Control Panels Spun]]+Table1[[#This Row],[Control Panel Color]]</f>
        <v>0</v>
      </c>
      <c r="Z39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91"/>
      <c r="AB391"/>
      <c r="AC391"/>
      <c r="AD391"/>
      <c r="AE391"/>
      <c r="AF391"/>
      <c r="AG391"/>
      <c r="AH391"/>
      <c r="AI391"/>
      <c r="AJ391"/>
      <c r="AK391" s="17">
        <f>(Table1[[#This Row],[Climbed]]*weighting!$B$18)+(Table1[[#This Row],[Adjustable Climber]]*weighting!$B$19)+(Table1[[#This Row],[Lift other Robot]]*weighting!$B$20)+(Table1[[#This Row],[Balanced]]*weighting!$B$21)</f>
        <v>0</v>
      </c>
      <c r="AL391" s="8">
        <f>+Table1[[#This Row],[Endgame our score]]+Table1[[#This Row],[teleop our score]]+Table1[[#This Row],[auton our score]]</f>
        <v>0</v>
      </c>
      <c r="AM391" s="20">
        <f t="shared" si="18"/>
        <v>0</v>
      </c>
      <c r="AN391" s="20">
        <f t="shared" si="19"/>
        <v>0</v>
      </c>
      <c r="AO391" s="20">
        <f t="shared" si="20"/>
        <v>0</v>
      </c>
      <c r="AP391" s="20">
        <f>Table1[[#This Row],[balls scored]]+Table1[[#This Row],[auton balls scored]]</f>
        <v>0</v>
      </c>
      <c r="AQ391" s="20">
        <f>Table1[[#This Row],[balls scored high]]+Table1[[#This Row],[Auton Scored High]]</f>
        <v>0</v>
      </c>
      <c r="AR391" s="20">
        <f>Table1[[#This Row],[balls scored low]]+Table1[[#This Row],[Auton Scored Low]]</f>
        <v>0</v>
      </c>
      <c r="AS391" s="50">
        <f>IF(Table1[[#This Row],[Control Panel Spun Time]]&gt;0,1,0)</f>
        <v>0</v>
      </c>
      <c r="AT391" s="20">
        <f>IF(Table1[[#This Row],[Control Panel Color Time]]&gt;0,1,0)</f>
        <v>0</v>
      </c>
    </row>
    <row r="392" spans="1:46" x14ac:dyDescent="0.25">
      <c r="A392"/>
      <c r="I392" s="8">
        <f>+Table1[[#This Row],[Auton ball picked up in our trench]]+Table1[[#This Row],[Auton Balls Picked Up in Mid]]+Table1[[#This Row],[Auton Balls Picked Up In Their Trench]]</f>
        <v>0</v>
      </c>
      <c r="J392" s="8">
        <f>+Table1[[#This Row],[Auton Scored High]]+Table1[[#This Row],[Auton Scored Low]]</f>
        <v>0</v>
      </c>
      <c r="K39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92" s="8">
        <f>Table1[[#This Row],[Balls Scored From Trench]]+Table1[[#This Row],[Balls Scored from Mid]]+Table1[[#This Row],[Balls Scored From Alliance zone]]</f>
        <v>0</v>
      </c>
      <c r="W392" s="8">
        <f>Table1[[#This Row],[balls scored high]]+Table1[[#This Row],[balls scored low]]</f>
        <v>0</v>
      </c>
      <c r="X392" s="8">
        <f>Table1[[#This Row],[Control Panel Spun Time]]+Table1[[#This Row],[Control Panel Color Time]]</f>
        <v>0</v>
      </c>
      <c r="Y392" s="8">
        <f>Table1[[#This Row],[Control Panels Spun]]+Table1[[#This Row],[Control Panel Color]]</f>
        <v>0</v>
      </c>
      <c r="Z39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92" s="17">
        <f>(Table1[[#This Row],[Climbed]]*weighting!$B$18)+(Table1[[#This Row],[Adjustable Climber]]*weighting!$B$19)+(Table1[[#This Row],[Lift other Robot]]*weighting!$B$20)+(Table1[[#This Row],[Balanced]]*weighting!$B$21)</f>
        <v>0</v>
      </c>
      <c r="AL392" s="8">
        <f>+Table1[[#This Row],[Endgame our score]]+Table1[[#This Row],[teleop our score]]+Table1[[#This Row],[auton our score]]</f>
        <v>0</v>
      </c>
      <c r="AM392" s="20">
        <f t="shared" si="18"/>
        <v>0</v>
      </c>
      <c r="AN392" s="20">
        <f t="shared" si="19"/>
        <v>0</v>
      </c>
      <c r="AO392" s="20">
        <f t="shared" si="20"/>
        <v>0</v>
      </c>
      <c r="AP392" s="20">
        <f>Table1[[#This Row],[balls scored]]+Table1[[#This Row],[auton balls scored]]</f>
        <v>0</v>
      </c>
      <c r="AQ392" s="20">
        <f>Table1[[#This Row],[balls scored high]]+Table1[[#This Row],[Auton Scored High]]</f>
        <v>0</v>
      </c>
      <c r="AR392" s="20">
        <f>Table1[[#This Row],[balls scored low]]+Table1[[#This Row],[Auton Scored Low]]</f>
        <v>0</v>
      </c>
      <c r="AS392" s="50">
        <f>IF(Table1[[#This Row],[Control Panel Spun Time]]&gt;0,1,0)</f>
        <v>0</v>
      </c>
      <c r="AT392" s="20">
        <f>IF(Table1[[#This Row],[Control Panel Color Time]]&gt;0,1,0)</f>
        <v>0</v>
      </c>
    </row>
    <row r="393" spans="1:46" s="2" customFormat="1" x14ac:dyDescent="0.25">
      <c r="A393"/>
      <c r="B393"/>
      <c r="C393"/>
      <c r="D393"/>
      <c r="E393"/>
      <c r="F393"/>
      <c r="G393"/>
      <c r="H393"/>
      <c r="I393" s="8">
        <f>+Table1[[#This Row],[Auton ball picked up in our trench]]+Table1[[#This Row],[Auton Balls Picked Up in Mid]]+Table1[[#This Row],[Auton Balls Picked Up In Their Trench]]</f>
        <v>0</v>
      </c>
      <c r="J393" s="8">
        <f>+Table1[[#This Row],[Auton Scored High]]+Table1[[#This Row],[Auton Scored Low]]</f>
        <v>0</v>
      </c>
      <c r="K39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93"/>
      <c r="M393"/>
      <c r="N393"/>
      <c r="O393"/>
      <c r="P393"/>
      <c r="Q393"/>
      <c r="R393"/>
      <c r="S393"/>
      <c r="T393"/>
      <c r="U393"/>
      <c r="V393" s="8">
        <f>Table1[[#This Row],[Balls Scored From Trench]]+Table1[[#This Row],[Balls Scored from Mid]]+Table1[[#This Row],[Balls Scored From Alliance zone]]</f>
        <v>0</v>
      </c>
      <c r="W393" s="8">
        <f>Table1[[#This Row],[balls scored high]]+Table1[[#This Row],[balls scored low]]</f>
        <v>0</v>
      </c>
      <c r="X393" s="8">
        <f>Table1[[#This Row],[Control Panel Spun Time]]+Table1[[#This Row],[Control Panel Color Time]]</f>
        <v>0</v>
      </c>
      <c r="Y393" s="8">
        <f>Table1[[#This Row],[Control Panels Spun]]+Table1[[#This Row],[Control Panel Color]]</f>
        <v>0</v>
      </c>
      <c r="Z39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93"/>
      <c r="AB393"/>
      <c r="AC393"/>
      <c r="AD393"/>
      <c r="AE393"/>
      <c r="AF393"/>
      <c r="AG393"/>
      <c r="AH393"/>
      <c r="AI393"/>
      <c r="AJ393"/>
      <c r="AK393" s="17">
        <f>(Table1[[#This Row],[Climbed]]*weighting!$B$18)+(Table1[[#This Row],[Adjustable Climber]]*weighting!$B$19)+(Table1[[#This Row],[Lift other Robot]]*weighting!$B$20)+(Table1[[#This Row],[Balanced]]*weighting!$B$21)</f>
        <v>0</v>
      </c>
      <c r="AL393" s="8">
        <f>+Table1[[#This Row],[Endgame our score]]+Table1[[#This Row],[teleop our score]]+Table1[[#This Row],[auton our score]]</f>
        <v>0</v>
      </c>
      <c r="AM393" s="20">
        <f t="shared" si="18"/>
        <v>0</v>
      </c>
      <c r="AN393" s="20">
        <f t="shared" si="19"/>
        <v>0</v>
      </c>
      <c r="AO393" s="20">
        <f t="shared" si="20"/>
        <v>0</v>
      </c>
      <c r="AP393" s="20">
        <f>Table1[[#This Row],[balls scored]]+Table1[[#This Row],[auton balls scored]]</f>
        <v>0</v>
      </c>
      <c r="AQ393" s="20">
        <f>Table1[[#This Row],[balls scored high]]+Table1[[#This Row],[Auton Scored High]]</f>
        <v>0</v>
      </c>
      <c r="AR393" s="20">
        <f>Table1[[#This Row],[balls scored low]]+Table1[[#This Row],[Auton Scored Low]]</f>
        <v>0</v>
      </c>
      <c r="AS393" s="50">
        <f>IF(Table1[[#This Row],[Control Panel Spun Time]]&gt;0,1,0)</f>
        <v>0</v>
      </c>
      <c r="AT393" s="20">
        <f>IF(Table1[[#This Row],[Control Panel Color Time]]&gt;0,1,0)</f>
        <v>0</v>
      </c>
    </row>
    <row r="394" spans="1:46" x14ac:dyDescent="0.25">
      <c r="A394"/>
      <c r="I394" s="8">
        <f>+Table1[[#This Row],[Auton ball picked up in our trench]]+Table1[[#This Row],[Auton Balls Picked Up in Mid]]+Table1[[#This Row],[Auton Balls Picked Up In Their Trench]]</f>
        <v>0</v>
      </c>
      <c r="J394" s="8">
        <f>+Table1[[#This Row],[Auton Scored High]]+Table1[[#This Row],[Auton Scored Low]]</f>
        <v>0</v>
      </c>
      <c r="K39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94" s="8">
        <f>Table1[[#This Row],[Balls Scored From Trench]]+Table1[[#This Row],[Balls Scored from Mid]]+Table1[[#This Row],[Balls Scored From Alliance zone]]</f>
        <v>0</v>
      </c>
      <c r="W394" s="8">
        <f>Table1[[#This Row],[balls scored high]]+Table1[[#This Row],[balls scored low]]</f>
        <v>0</v>
      </c>
      <c r="X394" s="8">
        <f>Table1[[#This Row],[Control Panel Spun Time]]+Table1[[#This Row],[Control Panel Color Time]]</f>
        <v>0</v>
      </c>
      <c r="Y394" s="8">
        <f>Table1[[#This Row],[Control Panels Spun]]+Table1[[#This Row],[Control Panel Color]]</f>
        <v>0</v>
      </c>
      <c r="Z39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94" s="17">
        <f>(Table1[[#This Row],[Climbed]]*weighting!$B$18)+(Table1[[#This Row],[Adjustable Climber]]*weighting!$B$19)+(Table1[[#This Row],[Lift other Robot]]*weighting!$B$20)+(Table1[[#This Row],[Balanced]]*weighting!$B$21)</f>
        <v>0</v>
      </c>
      <c r="AL394" s="8">
        <f>+Table1[[#This Row],[Endgame our score]]+Table1[[#This Row],[teleop our score]]+Table1[[#This Row],[auton our score]]</f>
        <v>0</v>
      </c>
      <c r="AM394" s="20">
        <f t="shared" si="18"/>
        <v>0</v>
      </c>
      <c r="AN394" s="20">
        <f t="shared" si="19"/>
        <v>0</v>
      </c>
      <c r="AO394" s="20">
        <f t="shared" si="20"/>
        <v>0</v>
      </c>
      <c r="AP394" s="20">
        <f>Table1[[#This Row],[balls scored]]+Table1[[#This Row],[auton balls scored]]</f>
        <v>0</v>
      </c>
      <c r="AQ394" s="20">
        <f>Table1[[#This Row],[balls scored high]]+Table1[[#This Row],[Auton Scored High]]</f>
        <v>0</v>
      </c>
      <c r="AR394" s="20">
        <f>Table1[[#This Row],[balls scored low]]+Table1[[#This Row],[Auton Scored Low]]</f>
        <v>0</v>
      </c>
      <c r="AS394" s="50">
        <f>IF(Table1[[#This Row],[Control Panel Spun Time]]&gt;0,1,0)</f>
        <v>0</v>
      </c>
      <c r="AT394" s="20">
        <f>IF(Table1[[#This Row],[Control Panel Color Time]]&gt;0,1,0)</f>
        <v>0</v>
      </c>
    </row>
    <row r="395" spans="1:46" s="2" customFormat="1" x14ac:dyDescent="0.25">
      <c r="A395"/>
      <c r="B395"/>
      <c r="C395"/>
      <c r="D395"/>
      <c r="E395"/>
      <c r="F395"/>
      <c r="G395"/>
      <c r="H395"/>
      <c r="I395" s="8">
        <f>+Table1[[#This Row],[Auton ball picked up in our trench]]+Table1[[#This Row],[Auton Balls Picked Up in Mid]]+Table1[[#This Row],[Auton Balls Picked Up In Their Trench]]</f>
        <v>0</v>
      </c>
      <c r="J395" s="8">
        <f>+Table1[[#This Row],[Auton Scored High]]+Table1[[#This Row],[Auton Scored Low]]</f>
        <v>0</v>
      </c>
      <c r="K39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95"/>
      <c r="M395"/>
      <c r="N395"/>
      <c r="O395"/>
      <c r="P395"/>
      <c r="Q395"/>
      <c r="R395"/>
      <c r="S395"/>
      <c r="T395"/>
      <c r="U395"/>
      <c r="V395" s="8">
        <f>Table1[[#This Row],[Balls Scored From Trench]]+Table1[[#This Row],[Balls Scored from Mid]]+Table1[[#This Row],[Balls Scored From Alliance zone]]</f>
        <v>0</v>
      </c>
      <c r="W395" s="8">
        <f>Table1[[#This Row],[balls scored high]]+Table1[[#This Row],[balls scored low]]</f>
        <v>0</v>
      </c>
      <c r="X395" s="8">
        <f>Table1[[#This Row],[Control Panel Spun Time]]+Table1[[#This Row],[Control Panel Color Time]]</f>
        <v>0</v>
      </c>
      <c r="Y395" s="8">
        <f>Table1[[#This Row],[Control Panels Spun]]+Table1[[#This Row],[Control Panel Color]]</f>
        <v>0</v>
      </c>
      <c r="Z39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95"/>
      <c r="AB395"/>
      <c r="AC395"/>
      <c r="AD395"/>
      <c r="AE395"/>
      <c r="AF395"/>
      <c r="AG395"/>
      <c r="AH395"/>
      <c r="AI395"/>
      <c r="AJ395"/>
      <c r="AK395" s="17">
        <f>(Table1[[#This Row],[Climbed]]*weighting!$B$18)+(Table1[[#This Row],[Adjustable Climber]]*weighting!$B$19)+(Table1[[#This Row],[Lift other Robot]]*weighting!$B$20)+(Table1[[#This Row],[Balanced]]*weighting!$B$21)</f>
        <v>0</v>
      </c>
      <c r="AL395" s="8">
        <f>+Table1[[#This Row],[Endgame our score]]+Table1[[#This Row],[teleop our score]]+Table1[[#This Row],[auton our score]]</f>
        <v>0</v>
      </c>
      <c r="AM395" s="20">
        <f t="shared" si="18"/>
        <v>0</v>
      </c>
      <c r="AN395" s="20">
        <f t="shared" si="19"/>
        <v>0</v>
      </c>
      <c r="AO395" s="20">
        <f t="shared" si="20"/>
        <v>0</v>
      </c>
      <c r="AP395" s="20">
        <f>Table1[[#This Row],[balls scored]]+Table1[[#This Row],[auton balls scored]]</f>
        <v>0</v>
      </c>
      <c r="AQ395" s="20">
        <f>Table1[[#This Row],[balls scored high]]+Table1[[#This Row],[Auton Scored High]]</f>
        <v>0</v>
      </c>
      <c r="AR395" s="20">
        <f>Table1[[#This Row],[balls scored low]]+Table1[[#This Row],[Auton Scored Low]]</f>
        <v>0</v>
      </c>
      <c r="AS395" s="50">
        <f>IF(Table1[[#This Row],[Control Panel Spun Time]]&gt;0,1,0)</f>
        <v>0</v>
      </c>
      <c r="AT395" s="20">
        <f>IF(Table1[[#This Row],[Control Panel Color Time]]&gt;0,1,0)</f>
        <v>0</v>
      </c>
    </row>
    <row r="396" spans="1:46" x14ac:dyDescent="0.25">
      <c r="A396"/>
      <c r="I396" s="8">
        <f>+Table1[[#This Row],[Auton ball picked up in our trench]]+Table1[[#This Row],[Auton Balls Picked Up in Mid]]+Table1[[#This Row],[Auton Balls Picked Up In Their Trench]]</f>
        <v>0</v>
      </c>
      <c r="J396" s="8">
        <f>+Table1[[#This Row],[Auton Scored High]]+Table1[[#This Row],[Auton Scored Low]]</f>
        <v>0</v>
      </c>
      <c r="K39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96" s="8">
        <f>Table1[[#This Row],[Balls Scored From Trench]]+Table1[[#This Row],[Balls Scored from Mid]]+Table1[[#This Row],[Balls Scored From Alliance zone]]</f>
        <v>0</v>
      </c>
      <c r="W396" s="8">
        <f>Table1[[#This Row],[balls scored high]]+Table1[[#This Row],[balls scored low]]</f>
        <v>0</v>
      </c>
      <c r="X396" s="8">
        <f>Table1[[#This Row],[Control Panel Spun Time]]+Table1[[#This Row],[Control Panel Color Time]]</f>
        <v>0</v>
      </c>
      <c r="Y396" s="8">
        <f>Table1[[#This Row],[Control Panels Spun]]+Table1[[#This Row],[Control Panel Color]]</f>
        <v>0</v>
      </c>
      <c r="Z39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96" s="17">
        <f>(Table1[[#This Row],[Climbed]]*weighting!$B$18)+(Table1[[#This Row],[Adjustable Climber]]*weighting!$B$19)+(Table1[[#This Row],[Lift other Robot]]*weighting!$B$20)+(Table1[[#This Row],[Balanced]]*weighting!$B$21)</f>
        <v>0</v>
      </c>
      <c r="AL396" s="8">
        <f>+Table1[[#This Row],[Endgame our score]]+Table1[[#This Row],[teleop our score]]+Table1[[#This Row],[auton our score]]</f>
        <v>0</v>
      </c>
      <c r="AM396" s="20">
        <f t="shared" si="18"/>
        <v>0</v>
      </c>
      <c r="AN396" s="20">
        <f t="shared" si="19"/>
        <v>0</v>
      </c>
      <c r="AO396" s="20">
        <f t="shared" si="20"/>
        <v>0</v>
      </c>
      <c r="AP396" s="20">
        <f>Table1[[#This Row],[balls scored]]+Table1[[#This Row],[auton balls scored]]</f>
        <v>0</v>
      </c>
      <c r="AQ396" s="20">
        <f>Table1[[#This Row],[balls scored high]]+Table1[[#This Row],[Auton Scored High]]</f>
        <v>0</v>
      </c>
      <c r="AR396" s="20">
        <f>Table1[[#This Row],[balls scored low]]+Table1[[#This Row],[Auton Scored Low]]</f>
        <v>0</v>
      </c>
      <c r="AS396" s="50">
        <f>IF(Table1[[#This Row],[Control Panel Spun Time]]&gt;0,1,0)</f>
        <v>0</v>
      </c>
      <c r="AT396" s="20">
        <f>IF(Table1[[#This Row],[Control Panel Color Time]]&gt;0,1,0)</f>
        <v>0</v>
      </c>
    </row>
    <row r="397" spans="1:46" s="2" customFormat="1" x14ac:dyDescent="0.25">
      <c r="A397"/>
      <c r="B397"/>
      <c r="C397"/>
      <c r="D397"/>
      <c r="E397"/>
      <c r="F397"/>
      <c r="G397"/>
      <c r="H397"/>
      <c r="I397" s="8">
        <f>+Table1[[#This Row],[Auton ball picked up in our trench]]+Table1[[#This Row],[Auton Balls Picked Up in Mid]]+Table1[[#This Row],[Auton Balls Picked Up In Their Trench]]</f>
        <v>0</v>
      </c>
      <c r="J397" s="8">
        <f>+Table1[[#This Row],[Auton Scored High]]+Table1[[#This Row],[Auton Scored Low]]</f>
        <v>0</v>
      </c>
      <c r="K39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97"/>
      <c r="M397"/>
      <c r="N397"/>
      <c r="O397"/>
      <c r="P397"/>
      <c r="Q397"/>
      <c r="R397"/>
      <c r="S397"/>
      <c r="T397"/>
      <c r="U397"/>
      <c r="V397" s="8">
        <f>Table1[[#This Row],[Balls Scored From Trench]]+Table1[[#This Row],[Balls Scored from Mid]]+Table1[[#This Row],[Balls Scored From Alliance zone]]</f>
        <v>0</v>
      </c>
      <c r="W397" s="8">
        <f>Table1[[#This Row],[balls scored high]]+Table1[[#This Row],[balls scored low]]</f>
        <v>0</v>
      </c>
      <c r="X397" s="8">
        <f>Table1[[#This Row],[Control Panel Spun Time]]+Table1[[#This Row],[Control Panel Color Time]]</f>
        <v>0</v>
      </c>
      <c r="Y397" s="8">
        <f>Table1[[#This Row],[Control Panels Spun]]+Table1[[#This Row],[Control Panel Color]]</f>
        <v>0</v>
      </c>
      <c r="Z39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97"/>
      <c r="AB397"/>
      <c r="AC397"/>
      <c r="AD397"/>
      <c r="AE397"/>
      <c r="AF397"/>
      <c r="AG397"/>
      <c r="AH397"/>
      <c r="AI397"/>
      <c r="AJ397"/>
      <c r="AK397" s="17">
        <f>(Table1[[#This Row],[Climbed]]*weighting!$B$18)+(Table1[[#This Row],[Adjustable Climber]]*weighting!$B$19)+(Table1[[#This Row],[Lift other Robot]]*weighting!$B$20)+(Table1[[#This Row],[Balanced]]*weighting!$B$21)</f>
        <v>0</v>
      </c>
      <c r="AL397" s="8">
        <f>+Table1[[#This Row],[Endgame our score]]+Table1[[#This Row],[teleop our score]]+Table1[[#This Row],[auton our score]]</f>
        <v>0</v>
      </c>
      <c r="AM397" s="20">
        <f t="shared" si="18"/>
        <v>0</v>
      </c>
      <c r="AN397" s="20">
        <f t="shared" si="19"/>
        <v>0</v>
      </c>
      <c r="AO397" s="20">
        <f t="shared" si="20"/>
        <v>0</v>
      </c>
      <c r="AP397" s="20">
        <f>Table1[[#This Row],[balls scored]]+Table1[[#This Row],[auton balls scored]]</f>
        <v>0</v>
      </c>
      <c r="AQ397" s="20">
        <f>Table1[[#This Row],[balls scored high]]+Table1[[#This Row],[Auton Scored High]]</f>
        <v>0</v>
      </c>
      <c r="AR397" s="20">
        <f>Table1[[#This Row],[balls scored low]]+Table1[[#This Row],[Auton Scored Low]]</f>
        <v>0</v>
      </c>
      <c r="AS397" s="50">
        <f>IF(Table1[[#This Row],[Control Panel Spun Time]]&gt;0,1,0)</f>
        <v>0</v>
      </c>
      <c r="AT397" s="20">
        <f>IF(Table1[[#This Row],[Control Panel Color Time]]&gt;0,1,0)</f>
        <v>0</v>
      </c>
    </row>
    <row r="398" spans="1:46" x14ac:dyDescent="0.25">
      <c r="A398"/>
      <c r="I398" s="8">
        <f>+Table1[[#This Row],[Auton ball picked up in our trench]]+Table1[[#This Row],[Auton Balls Picked Up in Mid]]+Table1[[#This Row],[Auton Balls Picked Up In Their Trench]]</f>
        <v>0</v>
      </c>
      <c r="J398" s="8">
        <f>+Table1[[#This Row],[Auton Scored High]]+Table1[[#This Row],[Auton Scored Low]]</f>
        <v>0</v>
      </c>
      <c r="K39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398" s="8">
        <f>Table1[[#This Row],[Balls Scored From Trench]]+Table1[[#This Row],[Balls Scored from Mid]]+Table1[[#This Row],[Balls Scored From Alliance zone]]</f>
        <v>0</v>
      </c>
      <c r="W398" s="8">
        <f>Table1[[#This Row],[balls scored high]]+Table1[[#This Row],[balls scored low]]</f>
        <v>0</v>
      </c>
      <c r="X398" s="8">
        <f>Table1[[#This Row],[Control Panel Spun Time]]+Table1[[#This Row],[Control Panel Color Time]]</f>
        <v>0</v>
      </c>
      <c r="Y398" s="8">
        <f>Table1[[#This Row],[Control Panels Spun]]+Table1[[#This Row],[Control Panel Color]]</f>
        <v>0</v>
      </c>
      <c r="Z39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398" s="17">
        <f>(Table1[[#This Row],[Climbed]]*weighting!$B$18)+(Table1[[#This Row],[Adjustable Climber]]*weighting!$B$19)+(Table1[[#This Row],[Lift other Robot]]*weighting!$B$20)+(Table1[[#This Row],[Balanced]]*weighting!$B$21)</f>
        <v>0</v>
      </c>
      <c r="AL398" s="8">
        <f>+Table1[[#This Row],[Endgame our score]]+Table1[[#This Row],[teleop our score]]+Table1[[#This Row],[auton our score]]</f>
        <v>0</v>
      </c>
      <c r="AM398" s="20">
        <f t="shared" si="18"/>
        <v>0</v>
      </c>
      <c r="AN398" s="20">
        <f t="shared" si="19"/>
        <v>0</v>
      </c>
      <c r="AO398" s="20">
        <f t="shared" si="20"/>
        <v>0</v>
      </c>
      <c r="AP398" s="20">
        <f>Table1[[#This Row],[balls scored]]+Table1[[#This Row],[auton balls scored]]</f>
        <v>0</v>
      </c>
      <c r="AQ398" s="20">
        <f>Table1[[#This Row],[balls scored high]]+Table1[[#This Row],[Auton Scored High]]</f>
        <v>0</v>
      </c>
      <c r="AR398" s="20">
        <f>Table1[[#This Row],[balls scored low]]+Table1[[#This Row],[Auton Scored Low]]</f>
        <v>0</v>
      </c>
      <c r="AS398" s="50">
        <f>IF(Table1[[#This Row],[Control Panel Spun Time]]&gt;0,1,0)</f>
        <v>0</v>
      </c>
      <c r="AT398" s="20">
        <f>IF(Table1[[#This Row],[Control Panel Color Time]]&gt;0,1,0)</f>
        <v>0</v>
      </c>
    </row>
    <row r="399" spans="1:46" s="2" customFormat="1" x14ac:dyDescent="0.25">
      <c r="A399"/>
      <c r="B399"/>
      <c r="C399"/>
      <c r="D399"/>
      <c r="E399"/>
      <c r="F399"/>
      <c r="G399"/>
      <c r="H399"/>
      <c r="I399" s="8">
        <f>+Table1[[#This Row],[Auton ball picked up in our trench]]+Table1[[#This Row],[Auton Balls Picked Up in Mid]]+Table1[[#This Row],[Auton Balls Picked Up In Their Trench]]</f>
        <v>0</v>
      </c>
      <c r="J399" s="8">
        <f>+Table1[[#This Row],[Auton Scored High]]+Table1[[#This Row],[Auton Scored Low]]</f>
        <v>0</v>
      </c>
      <c r="K39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399"/>
      <c r="M399"/>
      <c r="N399"/>
      <c r="O399"/>
      <c r="P399"/>
      <c r="Q399"/>
      <c r="R399"/>
      <c r="S399"/>
      <c r="T399"/>
      <c r="U399"/>
      <c r="V399" s="8">
        <f>Table1[[#This Row],[Balls Scored From Trench]]+Table1[[#This Row],[Balls Scored from Mid]]+Table1[[#This Row],[Balls Scored From Alliance zone]]</f>
        <v>0</v>
      </c>
      <c r="W399" s="8">
        <f>Table1[[#This Row],[balls scored high]]+Table1[[#This Row],[balls scored low]]</f>
        <v>0</v>
      </c>
      <c r="X399" s="8">
        <f>Table1[[#This Row],[Control Panel Spun Time]]+Table1[[#This Row],[Control Panel Color Time]]</f>
        <v>0</v>
      </c>
      <c r="Y399" s="8">
        <f>Table1[[#This Row],[Control Panels Spun]]+Table1[[#This Row],[Control Panel Color]]</f>
        <v>0</v>
      </c>
      <c r="Z39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399"/>
      <c r="AB399"/>
      <c r="AC399"/>
      <c r="AD399"/>
      <c r="AE399"/>
      <c r="AF399"/>
      <c r="AG399"/>
      <c r="AH399"/>
      <c r="AI399"/>
      <c r="AJ399"/>
      <c r="AK399" s="17">
        <f>(Table1[[#This Row],[Climbed]]*weighting!$B$18)+(Table1[[#This Row],[Adjustable Climber]]*weighting!$B$19)+(Table1[[#This Row],[Lift other Robot]]*weighting!$B$20)+(Table1[[#This Row],[Balanced]]*weighting!$B$21)</f>
        <v>0</v>
      </c>
      <c r="AL399" s="8">
        <f>+Table1[[#This Row],[Endgame our score]]+Table1[[#This Row],[teleop our score]]+Table1[[#This Row],[auton our score]]</f>
        <v>0</v>
      </c>
      <c r="AM399" s="20">
        <f t="shared" si="18"/>
        <v>0</v>
      </c>
      <c r="AN399" s="20">
        <f t="shared" si="19"/>
        <v>0</v>
      </c>
      <c r="AO399" s="20">
        <f t="shared" si="20"/>
        <v>0</v>
      </c>
      <c r="AP399" s="20">
        <f>Table1[[#This Row],[balls scored]]+Table1[[#This Row],[auton balls scored]]</f>
        <v>0</v>
      </c>
      <c r="AQ399" s="20">
        <f>Table1[[#This Row],[balls scored high]]+Table1[[#This Row],[Auton Scored High]]</f>
        <v>0</v>
      </c>
      <c r="AR399" s="20">
        <f>Table1[[#This Row],[balls scored low]]+Table1[[#This Row],[Auton Scored Low]]</f>
        <v>0</v>
      </c>
      <c r="AS399" s="50">
        <f>IF(Table1[[#This Row],[Control Panel Spun Time]]&gt;0,1,0)</f>
        <v>0</v>
      </c>
      <c r="AT399" s="20">
        <f>IF(Table1[[#This Row],[Control Panel Color Time]]&gt;0,1,0)</f>
        <v>0</v>
      </c>
    </row>
    <row r="400" spans="1:46" x14ac:dyDescent="0.25">
      <c r="A400"/>
      <c r="I400" s="8">
        <f>+Table1[[#This Row],[Auton ball picked up in our trench]]+Table1[[#This Row],[Auton Balls Picked Up in Mid]]+Table1[[#This Row],[Auton Balls Picked Up In Their Trench]]</f>
        <v>0</v>
      </c>
      <c r="J400" s="8">
        <f>+Table1[[#This Row],[Auton Scored High]]+Table1[[#This Row],[Auton Scored Low]]</f>
        <v>0</v>
      </c>
      <c r="K40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00" s="8">
        <f>Table1[[#This Row],[Balls Scored From Trench]]+Table1[[#This Row],[Balls Scored from Mid]]+Table1[[#This Row],[Balls Scored From Alliance zone]]</f>
        <v>0</v>
      </c>
      <c r="W400" s="8">
        <f>Table1[[#This Row],[balls scored high]]+Table1[[#This Row],[balls scored low]]</f>
        <v>0</v>
      </c>
      <c r="X400" s="8">
        <f>Table1[[#This Row],[Control Panel Spun Time]]+Table1[[#This Row],[Control Panel Color Time]]</f>
        <v>0</v>
      </c>
      <c r="Y400" s="8">
        <f>Table1[[#This Row],[Control Panels Spun]]+Table1[[#This Row],[Control Panel Color]]</f>
        <v>0</v>
      </c>
      <c r="Z40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00" s="17">
        <f>(Table1[[#This Row],[Climbed]]*weighting!$B$18)+(Table1[[#This Row],[Adjustable Climber]]*weighting!$B$19)+(Table1[[#This Row],[Lift other Robot]]*weighting!$B$20)+(Table1[[#This Row],[Balanced]]*weighting!$B$21)</f>
        <v>0</v>
      </c>
      <c r="AL400" s="8">
        <f>+Table1[[#This Row],[Endgame our score]]+Table1[[#This Row],[teleop our score]]+Table1[[#This Row],[auton our score]]</f>
        <v>0</v>
      </c>
      <c r="AM400" s="20">
        <f t="shared" si="18"/>
        <v>0</v>
      </c>
      <c r="AN400" s="20">
        <f t="shared" si="19"/>
        <v>0</v>
      </c>
      <c r="AO400" s="20">
        <f t="shared" si="20"/>
        <v>0</v>
      </c>
      <c r="AP400" s="20">
        <f>Table1[[#This Row],[balls scored]]+Table1[[#This Row],[auton balls scored]]</f>
        <v>0</v>
      </c>
      <c r="AQ400" s="20">
        <f>Table1[[#This Row],[balls scored high]]+Table1[[#This Row],[Auton Scored High]]</f>
        <v>0</v>
      </c>
      <c r="AR400" s="20">
        <f>Table1[[#This Row],[balls scored low]]+Table1[[#This Row],[Auton Scored Low]]</f>
        <v>0</v>
      </c>
      <c r="AS400" s="50">
        <f>IF(Table1[[#This Row],[Control Panel Spun Time]]&gt;0,1,0)</f>
        <v>0</v>
      </c>
      <c r="AT400" s="20">
        <f>IF(Table1[[#This Row],[Control Panel Color Time]]&gt;0,1,0)</f>
        <v>0</v>
      </c>
    </row>
    <row r="401" spans="1:46" s="2" customFormat="1" x14ac:dyDescent="0.25">
      <c r="A401"/>
      <c r="B401"/>
      <c r="C401"/>
      <c r="D401"/>
      <c r="E401"/>
      <c r="F401"/>
      <c r="G401"/>
      <c r="H401"/>
      <c r="I401" s="8">
        <f>+Table1[[#This Row],[Auton ball picked up in our trench]]+Table1[[#This Row],[Auton Balls Picked Up in Mid]]+Table1[[#This Row],[Auton Balls Picked Up In Their Trench]]</f>
        <v>0</v>
      </c>
      <c r="J401" s="8">
        <f>+Table1[[#This Row],[Auton Scored High]]+Table1[[#This Row],[Auton Scored Low]]</f>
        <v>0</v>
      </c>
      <c r="K40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01"/>
      <c r="M401"/>
      <c r="N401"/>
      <c r="O401"/>
      <c r="P401"/>
      <c r="Q401"/>
      <c r="R401"/>
      <c r="S401"/>
      <c r="T401"/>
      <c r="U401"/>
      <c r="V401" s="8">
        <f>Table1[[#This Row],[Balls Scored From Trench]]+Table1[[#This Row],[Balls Scored from Mid]]+Table1[[#This Row],[Balls Scored From Alliance zone]]</f>
        <v>0</v>
      </c>
      <c r="W401" s="8">
        <f>Table1[[#This Row],[balls scored high]]+Table1[[#This Row],[balls scored low]]</f>
        <v>0</v>
      </c>
      <c r="X401" s="8">
        <f>Table1[[#This Row],[Control Panel Spun Time]]+Table1[[#This Row],[Control Panel Color Time]]</f>
        <v>0</v>
      </c>
      <c r="Y401" s="8">
        <f>Table1[[#This Row],[Control Panels Spun]]+Table1[[#This Row],[Control Panel Color]]</f>
        <v>0</v>
      </c>
      <c r="Z40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01"/>
      <c r="AB401"/>
      <c r="AC401"/>
      <c r="AD401"/>
      <c r="AE401"/>
      <c r="AF401"/>
      <c r="AG401"/>
      <c r="AH401"/>
      <c r="AI401"/>
      <c r="AJ401"/>
      <c r="AK401" s="17">
        <f>(Table1[[#This Row],[Climbed]]*weighting!$B$18)+(Table1[[#This Row],[Adjustable Climber]]*weighting!$B$19)+(Table1[[#This Row],[Lift other Robot]]*weighting!$B$20)+(Table1[[#This Row],[Balanced]]*weighting!$B$21)</f>
        <v>0</v>
      </c>
      <c r="AL401" s="8">
        <f>+Table1[[#This Row],[Endgame our score]]+Table1[[#This Row],[teleop our score]]+Table1[[#This Row],[auton our score]]</f>
        <v>0</v>
      </c>
      <c r="AM401" s="20">
        <f t="shared" si="18"/>
        <v>0</v>
      </c>
      <c r="AN401" s="20">
        <f t="shared" si="19"/>
        <v>0</v>
      </c>
      <c r="AO401" s="20">
        <f t="shared" si="20"/>
        <v>0</v>
      </c>
      <c r="AP401" s="20">
        <f>Table1[[#This Row],[balls scored]]+Table1[[#This Row],[auton balls scored]]</f>
        <v>0</v>
      </c>
      <c r="AQ401" s="20">
        <f>Table1[[#This Row],[balls scored high]]+Table1[[#This Row],[Auton Scored High]]</f>
        <v>0</v>
      </c>
      <c r="AR401" s="20">
        <f>Table1[[#This Row],[balls scored low]]+Table1[[#This Row],[Auton Scored Low]]</f>
        <v>0</v>
      </c>
      <c r="AS401" s="50">
        <f>IF(Table1[[#This Row],[Control Panel Spun Time]]&gt;0,1,0)</f>
        <v>0</v>
      </c>
      <c r="AT401" s="20">
        <f>IF(Table1[[#This Row],[Control Panel Color Time]]&gt;0,1,0)</f>
        <v>0</v>
      </c>
    </row>
    <row r="402" spans="1:46" x14ac:dyDescent="0.25">
      <c r="A402"/>
      <c r="I402" s="8">
        <f>+Table1[[#This Row],[Auton ball picked up in our trench]]+Table1[[#This Row],[Auton Balls Picked Up in Mid]]+Table1[[#This Row],[Auton Balls Picked Up In Their Trench]]</f>
        <v>0</v>
      </c>
      <c r="J402" s="8">
        <f>+Table1[[#This Row],[Auton Scored High]]+Table1[[#This Row],[Auton Scored Low]]</f>
        <v>0</v>
      </c>
      <c r="K40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02" s="8">
        <f>Table1[[#This Row],[Balls Scored From Trench]]+Table1[[#This Row],[Balls Scored from Mid]]+Table1[[#This Row],[Balls Scored From Alliance zone]]</f>
        <v>0</v>
      </c>
      <c r="W402" s="8">
        <f>Table1[[#This Row],[balls scored high]]+Table1[[#This Row],[balls scored low]]</f>
        <v>0</v>
      </c>
      <c r="X402" s="8">
        <f>Table1[[#This Row],[Control Panel Spun Time]]+Table1[[#This Row],[Control Panel Color Time]]</f>
        <v>0</v>
      </c>
      <c r="Y402" s="8">
        <f>Table1[[#This Row],[Control Panels Spun]]+Table1[[#This Row],[Control Panel Color]]</f>
        <v>0</v>
      </c>
      <c r="Z40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02" s="17">
        <f>(Table1[[#This Row],[Climbed]]*weighting!$B$18)+(Table1[[#This Row],[Adjustable Climber]]*weighting!$B$19)+(Table1[[#This Row],[Lift other Robot]]*weighting!$B$20)+(Table1[[#This Row],[Balanced]]*weighting!$B$21)</f>
        <v>0</v>
      </c>
      <c r="AL402" s="8">
        <f>+Table1[[#This Row],[Endgame our score]]+Table1[[#This Row],[teleop our score]]+Table1[[#This Row],[auton our score]]</f>
        <v>0</v>
      </c>
      <c r="AM402" s="20">
        <f t="shared" si="18"/>
        <v>0</v>
      </c>
      <c r="AN402" s="20">
        <f t="shared" si="19"/>
        <v>0</v>
      </c>
      <c r="AO402" s="20">
        <f t="shared" si="20"/>
        <v>0</v>
      </c>
      <c r="AP402" s="20">
        <f>Table1[[#This Row],[balls scored]]+Table1[[#This Row],[auton balls scored]]</f>
        <v>0</v>
      </c>
      <c r="AQ402" s="20">
        <f>Table1[[#This Row],[balls scored high]]+Table1[[#This Row],[Auton Scored High]]</f>
        <v>0</v>
      </c>
      <c r="AR402" s="20">
        <f>Table1[[#This Row],[balls scored low]]+Table1[[#This Row],[Auton Scored Low]]</f>
        <v>0</v>
      </c>
      <c r="AS402" s="50">
        <f>IF(Table1[[#This Row],[Control Panel Spun Time]]&gt;0,1,0)</f>
        <v>0</v>
      </c>
      <c r="AT402" s="20">
        <f>IF(Table1[[#This Row],[Control Panel Color Time]]&gt;0,1,0)</f>
        <v>0</v>
      </c>
    </row>
    <row r="403" spans="1:46" s="2" customFormat="1" x14ac:dyDescent="0.25">
      <c r="A403"/>
      <c r="B403"/>
      <c r="C403"/>
      <c r="D403"/>
      <c r="E403"/>
      <c r="F403"/>
      <c r="G403"/>
      <c r="H403"/>
      <c r="I403" s="8">
        <f>+Table1[[#This Row],[Auton ball picked up in our trench]]+Table1[[#This Row],[Auton Balls Picked Up in Mid]]+Table1[[#This Row],[Auton Balls Picked Up In Their Trench]]</f>
        <v>0</v>
      </c>
      <c r="J403" s="8">
        <f>+Table1[[#This Row],[Auton Scored High]]+Table1[[#This Row],[Auton Scored Low]]</f>
        <v>0</v>
      </c>
      <c r="K40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03"/>
      <c r="M403"/>
      <c r="N403"/>
      <c r="O403"/>
      <c r="P403"/>
      <c r="Q403"/>
      <c r="R403"/>
      <c r="S403"/>
      <c r="T403"/>
      <c r="U403"/>
      <c r="V403" s="8">
        <f>Table1[[#This Row],[Balls Scored From Trench]]+Table1[[#This Row],[Balls Scored from Mid]]+Table1[[#This Row],[Balls Scored From Alliance zone]]</f>
        <v>0</v>
      </c>
      <c r="W403" s="8">
        <f>Table1[[#This Row],[balls scored high]]+Table1[[#This Row],[balls scored low]]</f>
        <v>0</v>
      </c>
      <c r="X403" s="8">
        <f>Table1[[#This Row],[Control Panel Spun Time]]+Table1[[#This Row],[Control Panel Color Time]]</f>
        <v>0</v>
      </c>
      <c r="Y403" s="8">
        <f>Table1[[#This Row],[Control Panels Spun]]+Table1[[#This Row],[Control Panel Color]]</f>
        <v>0</v>
      </c>
      <c r="Z40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03"/>
      <c r="AB403"/>
      <c r="AC403"/>
      <c r="AD403"/>
      <c r="AE403"/>
      <c r="AF403"/>
      <c r="AG403"/>
      <c r="AH403"/>
      <c r="AI403"/>
      <c r="AJ403"/>
      <c r="AK403" s="17">
        <f>(Table1[[#This Row],[Climbed]]*weighting!$B$18)+(Table1[[#This Row],[Adjustable Climber]]*weighting!$B$19)+(Table1[[#This Row],[Lift other Robot]]*weighting!$B$20)+(Table1[[#This Row],[Balanced]]*weighting!$B$21)</f>
        <v>0</v>
      </c>
      <c r="AL403" s="8">
        <f>+Table1[[#This Row],[Endgame our score]]+Table1[[#This Row],[teleop our score]]+Table1[[#This Row],[auton our score]]</f>
        <v>0</v>
      </c>
      <c r="AM403" s="20">
        <f t="shared" si="18"/>
        <v>0</v>
      </c>
      <c r="AN403" s="20">
        <f t="shared" si="19"/>
        <v>0</v>
      </c>
      <c r="AO403" s="20">
        <f t="shared" si="20"/>
        <v>0</v>
      </c>
      <c r="AP403" s="20">
        <f>Table1[[#This Row],[balls scored]]+Table1[[#This Row],[auton balls scored]]</f>
        <v>0</v>
      </c>
      <c r="AQ403" s="20">
        <f>Table1[[#This Row],[balls scored high]]+Table1[[#This Row],[Auton Scored High]]</f>
        <v>0</v>
      </c>
      <c r="AR403" s="20">
        <f>Table1[[#This Row],[balls scored low]]+Table1[[#This Row],[Auton Scored Low]]</f>
        <v>0</v>
      </c>
      <c r="AS403" s="50">
        <f>IF(Table1[[#This Row],[Control Panel Spun Time]]&gt;0,1,0)</f>
        <v>0</v>
      </c>
      <c r="AT403" s="20">
        <f>IF(Table1[[#This Row],[Control Panel Color Time]]&gt;0,1,0)</f>
        <v>0</v>
      </c>
    </row>
    <row r="404" spans="1:46" x14ac:dyDescent="0.25">
      <c r="A404"/>
      <c r="I404" s="8">
        <f>+Table1[[#This Row],[Auton ball picked up in our trench]]+Table1[[#This Row],[Auton Balls Picked Up in Mid]]+Table1[[#This Row],[Auton Balls Picked Up In Their Trench]]</f>
        <v>0</v>
      </c>
      <c r="J404" s="8">
        <f>+Table1[[#This Row],[Auton Scored High]]+Table1[[#This Row],[Auton Scored Low]]</f>
        <v>0</v>
      </c>
      <c r="K40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04" s="8">
        <f>Table1[[#This Row],[Balls Scored From Trench]]+Table1[[#This Row],[Balls Scored from Mid]]+Table1[[#This Row],[Balls Scored From Alliance zone]]</f>
        <v>0</v>
      </c>
      <c r="W404" s="8">
        <f>Table1[[#This Row],[balls scored high]]+Table1[[#This Row],[balls scored low]]</f>
        <v>0</v>
      </c>
      <c r="X404" s="8">
        <f>Table1[[#This Row],[Control Panel Spun Time]]+Table1[[#This Row],[Control Panel Color Time]]</f>
        <v>0</v>
      </c>
      <c r="Y404" s="8">
        <f>Table1[[#This Row],[Control Panels Spun]]+Table1[[#This Row],[Control Panel Color]]</f>
        <v>0</v>
      </c>
      <c r="Z40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04" s="17">
        <f>(Table1[[#This Row],[Climbed]]*weighting!$B$18)+(Table1[[#This Row],[Adjustable Climber]]*weighting!$B$19)+(Table1[[#This Row],[Lift other Robot]]*weighting!$B$20)+(Table1[[#This Row],[Balanced]]*weighting!$B$21)</f>
        <v>0</v>
      </c>
      <c r="AL404" s="8">
        <f>+Table1[[#This Row],[Endgame our score]]+Table1[[#This Row],[teleop our score]]+Table1[[#This Row],[auton our score]]</f>
        <v>0</v>
      </c>
      <c r="AM404" s="20">
        <f t="shared" si="18"/>
        <v>0</v>
      </c>
      <c r="AN404" s="20">
        <f t="shared" si="19"/>
        <v>0</v>
      </c>
      <c r="AO404" s="20">
        <f t="shared" si="20"/>
        <v>0</v>
      </c>
      <c r="AP404" s="20">
        <f>Table1[[#This Row],[balls scored]]+Table1[[#This Row],[auton balls scored]]</f>
        <v>0</v>
      </c>
      <c r="AQ404" s="20">
        <f>Table1[[#This Row],[balls scored high]]+Table1[[#This Row],[Auton Scored High]]</f>
        <v>0</v>
      </c>
      <c r="AR404" s="20">
        <f>Table1[[#This Row],[balls scored low]]+Table1[[#This Row],[Auton Scored Low]]</f>
        <v>0</v>
      </c>
      <c r="AS404" s="50">
        <f>IF(Table1[[#This Row],[Control Panel Spun Time]]&gt;0,1,0)</f>
        <v>0</v>
      </c>
      <c r="AT404" s="20">
        <f>IF(Table1[[#This Row],[Control Panel Color Time]]&gt;0,1,0)</f>
        <v>0</v>
      </c>
    </row>
    <row r="405" spans="1:46" s="2" customFormat="1" x14ac:dyDescent="0.25">
      <c r="A405"/>
      <c r="B405"/>
      <c r="C405"/>
      <c r="D405"/>
      <c r="E405"/>
      <c r="F405"/>
      <c r="G405"/>
      <c r="H405"/>
      <c r="I405" s="8">
        <f>+Table1[[#This Row],[Auton ball picked up in our trench]]+Table1[[#This Row],[Auton Balls Picked Up in Mid]]+Table1[[#This Row],[Auton Balls Picked Up In Their Trench]]</f>
        <v>0</v>
      </c>
      <c r="J405" s="8">
        <f>+Table1[[#This Row],[Auton Scored High]]+Table1[[#This Row],[Auton Scored Low]]</f>
        <v>0</v>
      </c>
      <c r="K40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05"/>
      <c r="M405"/>
      <c r="N405"/>
      <c r="O405"/>
      <c r="P405"/>
      <c r="Q405"/>
      <c r="R405"/>
      <c r="S405"/>
      <c r="T405"/>
      <c r="U405"/>
      <c r="V405" s="8">
        <f>Table1[[#This Row],[Balls Scored From Trench]]+Table1[[#This Row],[Balls Scored from Mid]]+Table1[[#This Row],[Balls Scored From Alliance zone]]</f>
        <v>0</v>
      </c>
      <c r="W405" s="8">
        <f>Table1[[#This Row],[balls scored high]]+Table1[[#This Row],[balls scored low]]</f>
        <v>0</v>
      </c>
      <c r="X405" s="8">
        <f>Table1[[#This Row],[Control Panel Spun Time]]+Table1[[#This Row],[Control Panel Color Time]]</f>
        <v>0</v>
      </c>
      <c r="Y405" s="8">
        <f>Table1[[#This Row],[Control Panels Spun]]+Table1[[#This Row],[Control Panel Color]]</f>
        <v>0</v>
      </c>
      <c r="Z40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05"/>
      <c r="AB405"/>
      <c r="AC405"/>
      <c r="AD405"/>
      <c r="AE405"/>
      <c r="AF405"/>
      <c r="AG405"/>
      <c r="AH405"/>
      <c r="AI405"/>
      <c r="AJ405"/>
      <c r="AK405" s="17">
        <f>(Table1[[#This Row],[Climbed]]*weighting!$B$18)+(Table1[[#This Row],[Adjustable Climber]]*weighting!$B$19)+(Table1[[#This Row],[Lift other Robot]]*weighting!$B$20)+(Table1[[#This Row],[Balanced]]*weighting!$B$21)</f>
        <v>0</v>
      </c>
      <c r="AL405" s="8">
        <f>+Table1[[#This Row],[Endgame our score]]+Table1[[#This Row],[teleop our score]]+Table1[[#This Row],[auton our score]]</f>
        <v>0</v>
      </c>
      <c r="AM405" s="20">
        <f t="shared" si="18"/>
        <v>0</v>
      </c>
      <c r="AN405" s="20">
        <f t="shared" si="19"/>
        <v>0</v>
      </c>
      <c r="AO405" s="20">
        <f t="shared" si="20"/>
        <v>0</v>
      </c>
      <c r="AP405" s="20">
        <f>Table1[[#This Row],[balls scored]]+Table1[[#This Row],[auton balls scored]]</f>
        <v>0</v>
      </c>
      <c r="AQ405" s="20">
        <f>Table1[[#This Row],[balls scored high]]+Table1[[#This Row],[Auton Scored High]]</f>
        <v>0</v>
      </c>
      <c r="AR405" s="20">
        <f>Table1[[#This Row],[balls scored low]]+Table1[[#This Row],[Auton Scored Low]]</f>
        <v>0</v>
      </c>
      <c r="AS405" s="50">
        <f>IF(Table1[[#This Row],[Control Panel Spun Time]]&gt;0,1,0)</f>
        <v>0</v>
      </c>
      <c r="AT405" s="20">
        <f>IF(Table1[[#This Row],[Control Panel Color Time]]&gt;0,1,0)</f>
        <v>0</v>
      </c>
    </row>
    <row r="406" spans="1:46" x14ac:dyDescent="0.25">
      <c r="A406"/>
      <c r="I406" s="8">
        <f>+Table1[[#This Row],[Auton ball picked up in our trench]]+Table1[[#This Row],[Auton Balls Picked Up in Mid]]+Table1[[#This Row],[Auton Balls Picked Up In Their Trench]]</f>
        <v>0</v>
      </c>
      <c r="J406" s="8">
        <f>+Table1[[#This Row],[Auton Scored High]]+Table1[[#This Row],[Auton Scored Low]]</f>
        <v>0</v>
      </c>
      <c r="K40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06" s="8">
        <f>Table1[[#This Row],[Balls Scored From Trench]]+Table1[[#This Row],[Balls Scored from Mid]]+Table1[[#This Row],[Balls Scored From Alliance zone]]</f>
        <v>0</v>
      </c>
      <c r="W406" s="8">
        <f>Table1[[#This Row],[balls scored high]]+Table1[[#This Row],[balls scored low]]</f>
        <v>0</v>
      </c>
      <c r="X406" s="8">
        <f>Table1[[#This Row],[Control Panel Spun Time]]+Table1[[#This Row],[Control Panel Color Time]]</f>
        <v>0</v>
      </c>
      <c r="Y406" s="8">
        <f>Table1[[#This Row],[Control Panels Spun]]+Table1[[#This Row],[Control Panel Color]]</f>
        <v>0</v>
      </c>
      <c r="Z40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06" s="17">
        <f>(Table1[[#This Row],[Climbed]]*weighting!$B$18)+(Table1[[#This Row],[Adjustable Climber]]*weighting!$B$19)+(Table1[[#This Row],[Lift other Robot]]*weighting!$B$20)+(Table1[[#This Row],[Balanced]]*weighting!$B$21)</f>
        <v>0</v>
      </c>
      <c r="AL406" s="8">
        <f>+Table1[[#This Row],[Endgame our score]]+Table1[[#This Row],[teleop our score]]+Table1[[#This Row],[auton our score]]</f>
        <v>0</v>
      </c>
      <c r="AM406" s="20">
        <f t="shared" si="18"/>
        <v>0</v>
      </c>
      <c r="AN406" s="20">
        <f t="shared" si="19"/>
        <v>0</v>
      </c>
      <c r="AO406" s="20">
        <f t="shared" si="20"/>
        <v>0</v>
      </c>
      <c r="AP406" s="20">
        <f>Table1[[#This Row],[balls scored]]+Table1[[#This Row],[auton balls scored]]</f>
        <v>0</v>
      </c>
      <c r="AQ406" s="20">
        <f>Table1[[#This Row],[balls scored high]]+Table1[[#This Row],[Auton Scored High]]</f>
        <v>0</v>
      </c>
      <c r="AR406" s="20">
        <f>Table1[[#This Row],[balls scored low]]+Table1[[#This Row],[Auton Scored Low]]</f>
        <v>0</v>
      </c>
      <c r="AS406" s="50">
        <f>IF(Table1[[#This Row],[Control Panel Spun Time]]&gt;0,1,0)</f>
        <v>0</v>
      </c>
      <c r="AT406" s="20">
        <f>IF(Table1[[#This Row],[Control Panel Color Time]]&gt;0,1,0)</f>
        <v>0</v>
      </c>
    </row>
    <row r="407" spans="1:46" s="2" customFormat="1" x14ac:dyDescent="0.25">
      <c r="A407"/>
      <c r="B407"/>
      <c r="C407"/>
      <c r="D407"/>
      <c r="E407"/>
      <c r="F407"/>
      <c r="G407"/>
      <c r="H407"/>
      <c r="I407" s="8">
        <f>+Table1[[#This Row],[Auton ball picked up in our trench]]+Table1[[#This Row],[Auton Balls Picked Up in Mid]]+Table1[[#This Row],[Auton Balls Picked Up In Their Trench]]</f>
        <v>0</v>
      </c>
      <c r="J407" s="8">
        <f>+Table1[[#This Row],[Auton Scored High]]+Table1[[#This Row],[Auton Scored Low]]</f>
        <v>0</v>
      </c>
      <c r="K40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07"/>
      <c r="M407"/>
      <c r="N407"/>
      <c r="O407"/>
      <c r="P407"/>
      <c r="Q407"/>
      <c r="R407"/>
      <c r="S407"/>
      <c r="T407"/>
      <c r="U407"/>
      <c r="V407" s="8">
        <f>Table1[[#This Row],[Balls Scored From Trench]]+Table1[[#This Row],[Balls Scored from Mid]]+Table1[[#This Row],[Balls Scored From Alliance zone]]</f>
        <v>0</v>
      </c>
      <c r="W407" s="8">
        <f>Table1[[#This Row],[balls scored high]]+Table1[[#This Row],[balls scored low]]</f>
        <v>0</v>
      </c>
      <c r="X407" s="8">
        <f>Table1[[#This Row],[Control Panel Spun Time]]+Table1[[#This Row],[Control Panel Color Time]]</f>
        <v>0</v>
      </c>
      <c r="Y407" s="8">
        <f>Table1[[#This Row],[Control Panels Spun]]+Table1[[#This Row],[Control Panel Color]]</f>
        <v>0</v>
      </c>
      <c r="Z40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07"/>
      <c r="AB407"/>
      <c r="AC407"/>
      <c r="AD407"/>
      <c r="AE407"/>
      <c r="AF407"/>
      <c r="AG407"/>
      <c r="AH407"/>
      <c r="AI407"/>
      <c r="AJ407"/>
      <c r="AK407" s="17">
        <f>(Table1[[#This Row],[Climbed]]*weighting!$B$18)+(Table1[[#This Row],[Adjustable Climber]]*weighting!$B$19)+(Table1[[#This Row],[Lift other Robot]]*weighting!$B$20)+(Table1[[#This Row],[Balanced]]*weighting!$B$21)</f>
        <v>0</v>
      </c>
      <c r="AL407" s="8">
        <f>+Table1[[#This Row],[Endgame our score]]+Table1[[#This Row],[teleop our score]]+Table1[[#This Row],[auton our score]]</f>
        <v>0</v>
      </c>
      <c r="AM407" s="20">
        <f t="shared" si="18"/>
        <v>0</v>
      </c>
      <c r="AN407" s="20">
        <f t="shared" si="19"/>
        <v>0</v>
      </c>
      <c r="AO407" s="20">
        <f t="shared" si="20"/>
        <v>0</v>
      </c>
      <c r="AP407" s="20">
        <f>Table1[[#This Row],[balls scored]]+Table1[[#This Row],[auton balls scored]]</f>
        <v>0</v>
      </c>
      <c r="AQ407" s="20">
        <f>Table1[[#This Row],[balls scored high]]+Table1[[#This Row],[Auton Scored High]]</f>
        <v>0</v>
      </c>
      <c r="AR407" s="20">
        <f>Table1[[#This Row],[balls scored low]]+Table1[[#This Row],[Auton Scored Low]]</f>
        <v>0</v>
      </c>
      <c r="AS407" s="50">
        <f>IF(Table1[[#This Row],[Control Panel Spun Time]]&gt;0,1,0)</f>
        <v>0</v>
      </c>
      <c r="AT407" s="20">
        <f>IF(Table1[[#This Row],[Control Panel Color Time]]&gt;0,1,0)</f>
        <v>0</v>
      </c>
    </row>
    <row r="408" spans="1:46" x14ac:dyDescent="0.25">
      <c r="A408"/>
      <c r="I408" s="8">
        <f>+Table1[[#This Row],[Auton ball picked up in our trench]]+Table1[[#This Row],[Auton Balls Picked Up in Mid]]+Table1[[#This Row],[Auton Balls Picked Up In Their Trench]]</f>
        <v>0</v>
      </c>
      <c r="J408" s="8">
        <f>+Table1[[#This Row],[Auton Scored High]]+Table1[[#This Row],[Auton Scored Low]]</f>
        <v>0</v>
      </c>
      <c r="K40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08" s="8">
        <f>Table1[[#This Row],[Balls Scored From Trench]]+Table1[[#This Row],[Balls Scored from Mid]]+Table1[[#This Row],[Balls Scored From Alliance zone]]</f>
        <v>0</v>
      </c>
      <c r="W408" s="8">
        <f>Table1[[#This Row],[balls scored high]]+Table1[[#This Row],[balls scored low]]</f>
        <v>0</v>
      </c>
      <c r="X408" s="8">
        <f>Table1[[#This Row],[Control Panel Spun Time]]+Table1[[#This Row],[Control Panel Color Time]]</f>
        <v>0</v>
      </c>
      <c r="Y408" s="8">
        <f>Table1[[#This Row],[Control Panels Spun]]+Table1[[#This Row],[Control Panel Color]]</f>
        <v>0</v>
      </c>
      <c r="Z40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08" s="17">
        <f>(Table1[[#This Row],[Climbed]]*weighting!$B$18)+(Table1[[#This Row],[Adjustable Climber]]*weighting!$B$19)+(Table1[[#This Row],[Lift other Robot]]*weighting!$B$20)+(Table1[[#This Row],[Balanced]]*weighting!$B$21)</f>
        <v>0</v>
      </c>
      <c r="AL408" s="8">
        <f>+Table1[[#This Row],[Endgame our score]]+Table1[[#This Row],[teleop our score]]+Table1[[#This Row],[auton our score]]</f>
        <v>0</v>
      </c>
      <c r="AM408" s="20">
        <f t="shared" si="18"/>
        <v>0</v>
      </c>
      <c r="AN408" s="20">
        <f t="shared" si="19"/>
        <v>0</v>
      </c>
      <c r="AO408" s="20">
        <f t="shared" si="20"/>
        <v>0</v>
      </c>
      <c r="AP408" s="20">
        <f>Table1[[#This Row],[balls scored]]+Table1[[#This Row],[auton balls scored]]</f>
        <v>0</v>
      </c>
      <c r="AQ408" s="20">
        <f>Table1[[#This Row],[balls scored high]]+Table1[[#This Row],[Auton Scored High]]</f>
        <v>0</v>
      </c>
      <c r="AR408" s="20">
        <f>Table1[[#This Row],[balls scored low]]+Table1[[#This Row],[Auton Scored Low]]</f>
        <v>0</v>
      </c>
      <c r="AS408" s="50">
        <f>IF(Table1[[#This Row],[Control Panel Spun Time]]&gt;0,1,0)</f>
        <v>0</v>
      </c>
      <c r="AT408" s="20">
        <f>IF(Table1[[#This Row],[Control Panel Color Time]]&gt;0,1,0)</f>
        <v>0</v>
      </c>
    </row>
    <row r="409" spans="1:46" s="2" customFormat="1" x14ac:dyDescent="0.25">
      <c r="A409"/>
      <c r="B409"/>
      <c r="C409"/>
      <c r="D409"/>
      <c r="E409"/>
      <c r="F409"/>
      <c r="G409"/>
      <c r="H409"/>
      <c r="I409" s="8">
        <f>+Table1[[#This Row],[Auton ball picked up in our trench]]+Table1[[#This Row],[Auton Balls Picked Up in Mid]]+Table1[[#This Row],[Auton Balls Picked Up In Their Trench]]</f>
        <v>0</v>
      </c>
      <c r="J409" s="8">
        <f>+Table1[[#This Row],[Auton Scored High]]+Table1[[#This Row],[Auton Scored Low]]</f>
        <v>0</v>
      </c>
      <c r="K40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09"/>
      <c r="M409"/>
      <c r="N409"/>
      <c r="O409"/>
      <c r="P409"/>
      <c r="Q409"/>
      <c r="R409"/>
      <c r="S409"/>
      <c r="T409"/>
      <c r="U409"/>
      <c r="V409" s="8">
        <f>Table1[[#This Row],[Balls Scored From Trench]]+Table1[[#This Row],[Balls Scored from Mid]]+Table1[[#This Row],[Balls Scored From Alliance zone]]</f>
        <v>0</v>
      </c>
      <c r="W409" s="8">
        <f>Table1[[#This Row],[balls scored high]]+Table1[[#This Row],[balls scored low]]</f>
        <v>0</v>
      </c>
      <c r="X409" s="8">
        <f>Table1[[#This Row],[Control Panel Spun Time]]+Table1[[#This Row],[Control Panel Color Time]]</f>
        <v>0</v>
      </c>
      <c r="Y409" s="8">
        <f>Table1[[#This Row],[Control Panels Spun]]+Table1[[#This Row],[Control Panel Color]]</f>
        <v>0</v>
      </c>
      <c r="Z40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09"/>
      <c r="AB409"/>
      <c r="AC409"/>
      <c r="AD409"/>
      <c r="AE409"/>
      <c r="AF409"/>
      <c r="AG409"/>
      <c r="AH409"/>
      <c r="AI409"/>
      <c r="AJ409"/>
      <c r="AK409" s="17">
        <f>(Table1[[#This Row],[Climbed]]*weighting!$B$18)+(Table1[[#This Row],[Adjustable Climber]]*weighting!$B$19)+(Table1[[#This Row],[Lift other Robot]]*weighting!$B$20)+(Table1[[#This Row],[Balanced]]*weighting!$B$21)</f>
        <v>0</v>
      </c>
      <c r="AL409" s="8">
        <f>+Table1[[#This Row],[Endgame our score]]+Table1[[#This Row],[teleop our score]]+Table1[[#This Row],[auton our score]]</f>
        <v>0</v>
      </c>
      <c r="AM409" s="20">
        <f t="shared" si="18"/>
        <v>0</v>
      </c>
      <c r="AN409" s="20">
        <f t="shared" si="19"/>
        <v>0</v>
      </c>
      <c r="AO409" s="20">
        <f t="shared" si="20"/>
        <v>0</v>
      </c>
      <c r="AP409" s="20">
        <f>Table1[[#This Row],[balls scored]]+Table1[[#This Row],[auton balls scored]]</f>
        <v>0</v>
      </c>
      <c r="AQ409" s="20">
        <f>Table1[[#This Row],[balls scored high]]+Table1[[#This Row],[Auton Scored High]]</f>
        <v>0</v>
      </c>
      <c r="AR409" s="20">
        <f>Table1[[#This Row],[balls scored low]]+Table1[[#This Row],[Auton Scored Low]]</f>
        <v>0</v>
      </c>
      <c r="AS409" s="50">
        <f>IF(Table1[[#This Row],[Control Panel Spun Time]]&gt;0,1,0)</f>
        <v>0</v>
      </c>
      <c r="AT409" s="20">
        <f>IF(Table1[[#This Row],[Control Panel Color Time]]&gt;0,1,0)</f>
        <v>0</v>
      </c>
    </row>
    <row r="410" spans="1:46" x14ac:dyDescent="0.25">
      <c r="A410"/>
      <c r="I410" s="8">
        <f>+Table1[[#This Row],[Auton ball picked up in our trench]]+Table1[[#This Row],[Auton Balls Picked Up in Mid]]+Table1[[#This Row],[Auton Balls Picked Up In Their Trench]]</f>
        <v>0</v>
      </c>
      <c r="J410" s="8">
        <f>+Table1[[#This Row],[Auton Scored High]]+Table1[[#This Row],[Auton Scored Low]]</f>
        <v>0</v>
      </c>
      <c r="K41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10" s="8">
        <f>Table1[[#This Row],[Balls Scored From Trench]]+Table1[[#This Row],[Balls Scored from Mid]]+Table1[[#This Row],[Balls Scored From Alliance zone]]</f>
        <v>0</v>
      </c>
      <c r="W410" s="8">
        <f>Table1[[#This Row],[balls scored high]]+Table1[[#This Row],[balls scored low]]</f>
        <v>0</v>
      </c>
      <c r="X410" s="8">
        <f>Table1[[#This Row],[Control Panel Spun Time]]+Table1[[#This Row],[Control Panel Color Time]]</f>
        <v>0</v>
      </c>
      <c r="Y410" s="8">
        <f>Table1[[#This Row],[Control Panels Spun]]+Table1[[#This Row],[Control Panel Color]]</f>
        <v>0</v>
      </c>
      <c r="Z41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10" s="17">
        <f>(Table1[[#This Row],[Climbed]]*weighting!$B$18)+(Table1[[#This Row],[Adjustable Climber]]*weighting!$B$19)+(Table1[[#This Row],[Lift other Robot]]*weighting!$B$20)+(Table1[[#This Row],[Balanced]]*weighting!$B$21)</f>
        <v>0</v>
      </c>
      <c r="AL410" s="8">
        <f>+Table1[[#This Row],[Endgame our score]]+Table1[[#This Row],[teleop our score]]+Table1[[#This Row],[auton our score]]</f>
        <v>0</v>
      </c>
      <c r="AM410" s="20">
        <f t="shared" si="18"/>
        <v>0</v>
      </c>
      <c r="AN410" s="20">
        <f t="shared" si="19"/>
        <v>0</v>
      </c>
      <c r="AO410" s="20">
        <f t="shared" si="20"/>
        <v>0</v>
      </c>
      <c r="AP410" s="20">
        <f>Table1[[#This Row],[balls scored]]+Table1[[#This Row],[auton balls scored]]</f>
        <v>0</v>
      </c>
      <c r="AQ410" s="20">
        <f>Table1[[#This Row],[balls scored high]]+Table1[[#This Row],[Auton Scored High]]</f>
        <v>0</v>
      </c>
      <c r="AR410" s="20">
        <f>Table1[[#This Row],[balls scored low]]+Table1[[#This Row],[Auton Scored Low]]</f>
        <v>0</v>
      </c>
      <c r="AS410" s="50">
        <f>IF(Table1[[#This Row],[Control Panel Spun Time]]&gt;0,1,0)</f>
        <v>0</v>
      </c>
      <c r="AT410" s="20">
        <f>IF(Table1[[#This Row],[Control Panel Color Time]]&gt;0,1,0)</f>
        <v>0</v>
      </c>
    </row>
    <row r="411" spans="1:46" s="2" customFormat="1" x14ac:dyDescent="0.25">
      <c r="A411"/>
      <c r="B411"/>
      <c r="C411"/>
      <c r="D411"/>
      <c r="E411"/>
      <c r="F411"/>
      <c r="G411"/>
      <c r="H411"/>
      <c r="I411" s="8">
        <f>+Table1[[#This Row],[Auton ball picked up in our trench]]+Table1[[#This Row],[Auton Balls Picked Up in Mid]]+Table1[[#This Row],[Auton Balls Picked Up In Their Trench]]</f>
        <v>0</v>
      </c>
      <c r="J411" s="8">
        <f>+Table1[[#This Row],[Auton Scored High]]+Table1[[#This Row],[Auton Scored Low]]</f>
        <v>0</v>
      </c>
      <c r="K41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11"/>
      <c r="M411"/>
      <c r="N411"/>
      <c r="O411"/>
      <c r="P411"/>
      <c r="Q411"/>
      <c r="R411"/>
      <c r="S411"/>
      <c r="T411"/>
      <c r="U411"/>
      <c r="V411" s="8">
        <f>Table1[[#This Row],[Balls Scored From Trench]]+Table1[[#This Row],[Balls Scored from Mid]]+Table1[[#This Row],[Balls Scored From Alliance zone]]</f>
        <v>0</v>
      </c>
      <c r="W411" s="8">
        <f>Table1[[#This Row],[balls scored high]]+Table1[[#This Row],[balls scored low]]</f>
        <v>0</v>
      </c>
      <c r="X411" s="8">
        <f>Table1[[#This Row],[Control Panel Spun Time]]+Table1[[#This Row],[Control Panel Color Time]]</f>
        <v>0</v>
      </c>
      <c r="Y411" s="8">
        <f>Table1[[#This Row],[Control Panels Spun]]+Table1[[#This Row],[Control Panel Color]]</f>
        <v>0</v>
      </c>
      <c r="Z41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11"/>
      <c r="AB411"/>
      <c r="AC411"/>
      <c r="AD411"/>
      <c r="AE411"/>
      <c r="AF411"/>
      <c r="AG411"/>
      <c r="AH411"/>
      <c r="AI411"/>
      <c r="AJ411"/>
      <c r="AK411" s="17">
        <f>(Table1[[#This Row],[Climbed]]*weighting!$B$18)+(Table1[[#This Row],[Adjustable Climber]]*weighting!$B$19)+(Table1[[#This Row],[Lift other Robot]]*weighting!$B$20)+(Table1[[#This Row],[Balanced]]*weighting!$B$21)</f>
        <v>0</v>
      </c>
      <c r="AL411" s="8">
        <f>+Table1[[#This Row],[Endgame our score]]+Table1[[#This Row],[teleop our score]]+Table1[[#This Row],[auton our score]]</f>
        <v>0</v>
      </c>
      <c r="AM411" s="20">
        <f t="shared" si="18"/>
        <v>0</v>
      </c>
      <c r="AN411" s="20">
        <f t="shared" si="19"/>
        <v>0</v>
      </c>
      <c r="AO411" s="20">
        <f t="shared" si="20"/>
        <v>0</v>
      </c>
      <c r="AP411" s="20">
        <f>Table1[[#This Row],[balls scored]]+Table1[[#This Row],[auton balls scored]]</f>
        <v>0</v>
      </c>
      <c r="AQ411" s="20">
        <f>Table1[[#This Row],[balls scored high]]+Table1[[#This Row],[Auton Scored High]]</f>
        <v>0</v>
      </c>
      <c r="AR411" s="20">
        <f>Table1[[#This Row],[balls scored low]]+Table1[[#This Row],[Auton Scored Low]]</f>
        <v>0</v>
      </c>
      <c r="AS411" s="50">
        <f>IF(Table1[[#This Row],[Control Panel Spun Time]]&gt;0,1,0)</f>
        <v>0</v>
      </c>
      <c r="AT411" s="20">
        <f>IF(Table1[[#This Row],[Control Panel Color Time]]&gt;0,1,0)</f>
        <v>0</v>
      </c>
    </row>
    <row r="412" spans="1:46" x14ac:dyDescent="0.25">
      <c r="A412"/>
      <c r="I412" s="8">
        <f>+Table1[[#This Row],[Auton ball picked up in our trench]]+Table1[[#This Row],[Auton Balls Picked Up in Mid]]+Table1[[#This Row],[Auton Balls Picked Up In Their Trench]]</f>
        <v>0</v>
      </c>
      <c r="J412" s="8">
        <f>+Table1[[#This Row],[Auton Scored High]]+Table1[[#This Row],[Auton Scored Low]]</f>
        <v>0</v>
      </c>
      <c r="K41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12" s="8">
        <f>Table1[[#This Row],[Balls Scored From Trench]]+Table1[[#This Row],[Balls Scored from Mid]]+Table1[[#This Row],[Balls Scored From Alliance zone]]</f>
        <v>0</v>
      </c>
      <c r="W412" s="8">
        <f>Table1[[#This Row],[balls scored high]]+Table1[[#This Row],[balls scored low]]</f>
        <v>0</v>
      </c>
      <c r="X412" s="8">
        <f>Table1[[#This Row],[Control Panel Spun Time]]+Table1[[#This Row],[Control Panel Color Time]]</f>
        <v>0</v>
      </c>
      <c r="Y412" s="8">
        <f>Table1[[#This Row],[Control Panels Spun]]+Table1[[#This Row],[Control Panel Color]]</f>
        <v>0</v>
      </c>
      <c r="Z41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12" s="17">
        <f>(Table1[[#This Row],[Climbed]]*weighting!$B$18)+(Table1[[#This Row],[Adjustable Climber]]*weighting!$B$19)+(Table1[[#This Row],[Lift other Robot]]*weighting!$B$20)+(Table1[[#This Row],[Balanced]]*weighting!$B$21)</f>
        <v>0</v>
      </c>
      <c r="AL412" s="8">
        <f>+Table1[[#This Row],[Endgame our score]]+Table1[[#This Row],[teleop our score]]+Table1[[#This Row],[auton our score]]</f>
        <v>0</v>
      </c>
      <c r="AM412" s="20">
        <f t="shared" si="18"/>
        <v>0</v>
      </c>
      <c r="AN412" s="20">
        <f t="shared" si="19"/>
        <v>0</v>
      </c>
      <c r="AO412" s="20">
        <f t="shared" si="20"/>
        <v>0</v>
      </c>
      <c r="AP412" s="20">
        <f>Table1[[#This Row],[balls scored]]+Table1[[#This Row],[auton balls scored]]</f>
        <v>0</v>
      </c>
      <c r="AQ412" s="20">
        <f>Table1[[#This Row],[balls scored high]]+Table1[[#This Row],[Auton Scored High]]</f>
        <v>0</v>
      </c>
      <c r="AR412" s="20">
        <f>Table1[[#This Row],[balls scored low]]+Table1[[#This Row],[Auton Scored Low]]</f>
        <v>0</v>
      </c>
      <c r="AS412" s="50">
        <f>IF(Table1[[#This Row],[Control Panel Spun Time]]&gt;0,1,0)</f>
        <v>0</v>
      </c>
      <c r="AT412" s="20">
        <f>IF(Table1[[#This Row],[Control Panel Color Time]]&gt;0,1,0)</f>
        <v>0</v>
      </c>
    </row>
    <row r="413" spans="1:46" s="2" customFormat="1" x14ac:dyDescent="0.25">
      <c r="A413"/>
      <c r="B413"/>
      <c r="C413"/>
      <c r="D413"/>
      <c r="E413"/>
      <c r="F413"/>
      <c r="G413"/>
      <c r="H413"/>
      <c r="I413" s="8">
        <f>+Table1[[#This Row],[Auton ball picked up in our trench]]+Table1[[#This Row],[Auton Balls Picked Up in Mid]]+Table1[[#This Row],[Auton Balls Picked Up In Their Trench]]</f>
        <v>0</v>
      </c>
      <c r="J413" s="8">
        <f>+Table1[[#This Row],[Auton Scored High]]+Table1[[#This Row],[Auton Scored Low]]</f>
        <v>0</v>
      </c>
      <c r="K41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13"/>
      <c r="M413"/>
      <c r="N413"/>
      <c r="O413"/>
      <c r="P413"/>
      <c r="Q413"/>
      <c r="R413"/>
      <c r="S413"/>
      <c r="T413"/>
      <c r="U413"/>
      <c r="V413" s="8">
        <f>Table1[[#This Row],[Balls Scored From Trench]]+Table1[[#This Row],[Balls Scored from Mid]]+Table1[[#This Row],[Balls Scored From Alliance zone]]</f>
        <v>0</v>
      </c>
      <c r="W413" s="8">
        <f>Table1[[#This Row],[balls scored high]]+Table1[[#This Row],[balls scored low]]</f>
        <v>0</v>
      </c>
      <c r="X413" s="8">
        <f>Table1[[#This Row],[Control Panel Spun Time]]+Table1[[#This Row],[Control Panel Color Time]]</f>
        <v>0</v>
      </c>
      <c r="Y413" s="8">
        <f>Table1[[#This Row],[Control Panels Spun]]+Table1[[#This Row],[Control Panel Color]]</f>
        <v>0</v>
      </c>
      <c r="Z41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13"/>
      <c r="AB413"/>
      <c r="AC413"/>
      <c r="AD413"/>
      <c r="AE413"/>
      <c r="AF413"/>
      <c r="AG413"/>
      <c r="AH413"/>
      <c r="AI413"/>
      <c r="AJ413"/>
      <c r="AK413" s="17">
        <f>(Table1[[#This Row],[Climbed]]*weighting!$B$18)+(Table1[[#This Row],[Adjustable Climber]]*weighting!$B$19)+(Table1[[#This Row],[Lift other Robot]]*weighting!$B$20)+(Table1[[#This Row],[Balanced]]*weighting!$B$21)</f>
        <v>0</v>
      </c>
      <c r="AL413" s="8">
        <f>+Table1[[#This Row],[Endgame our score]]+Table1[[#This Row],[teleop our score]]+Table1[[#This Row],[auton our score]]</f>
        <v>0</v>
      </c>
      <c r="AM413" s="20">
        <f t="shared" si="18"/>
        <v>0</v>
      </c>
      <c r="AN413" s="20">
        <f t="shared" si="19"/>
        <v>0</v>
      </c>
      <c r="AO413" s="20">
        <f t="shared" si="20"/>
        <v>0</v>
      </c>
      <c r="AP413" s="20">
        <f>Table1[[#This Row],[balls scored]]+Table1[[#This Row],[auton balls scored]]</f>
        <v>0</v>
      </c>
      <c r="AQ413" s="20">
        <f>Table1[[#This Row],[balls scored high]]+Table1[[#This Row],[Auton Scored High]]</f>
        <v>0</v>
      </c>
      <c r="AR413" s="20">
        <f>Table1[[#This Row],[balls scored low]]+Table1[[#This Row],[Auton Scored Low]]</f>
        <v>0</v>
      </c>
      <c r="AS413" s="50">
        <f>IF(Table1[[#This Row],[Control Panel Spun Time]]&gt;0,1,0)</f>
        <v>0</v>
      </c>
      <c r="AT413" s="20">
        <f>IF(Table1[[#This Row],[Control Panel Color Time]]&gt;0,1,0)</f>
        <v>0</v>
      </c>
    </row>
    <row r="414" spans="1:46" x14ac:dyDescent="0.25">
      <c r="A414"/>
      <c r="I414" s="8">
        <f>+Table1[[#This Row],[Auton ball picked up in our trench]]+Table1[[#This Row],[Auton Balls Picked Up in Mid]]+Table1[[#This Row],[Auton Balls Picked Up In Their Trench]]</f>
        <v>0</v>
      </c>
      <c r="J414" s="8">
        <f>+Table1[[#This Row],[Auton Scored High]]+Table1[[#This Row],[Auton Scored Low]]</f>
        <v>0</v>
      </c>
      <c r="K41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14" s="8">
        <f>Table1[[#This Row],[Balls Scored From Trench]]+Table1[[#This Row],[Balls Scored from Mid]]+Table1[[#This Row],[Balls Scored From Alliance zone]]</f>
        <v>0</v>
      </c>
      <c r="W414" s="8">
        <f>Table1[[#This Row],[balls scored high]]+Table1[[#This Row],[balls scored low]]</f>
        <v>0</v>
      </c>
      <c r="X414" s="8">
        <f>Table1[[#This Row],[Control Panel Spun Time]]+Table1[[#This Row],[Control Panel Color Time]]</f>
        <v>0</v>
      </c>
      <c r="Y414" s="8">
        <f>Table1[[#This Row],[Control Panels Spun]]+Table1[[#This Row],[Control Panel Color]]</f>
        <v>0</v>
      </c>
      <c r="Z41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14" s="17">
        <f>(Table1[[#This Row],[Climbed]]*weighting!$B$18)+(Table1[[#This Row],[Adjustable Climber]]*weighting!$B$19)+(Table1[[#This Row],[Lift other Robot]]*weighting!$B$20)+(Table1[[#This Row],[Balanced]]*weighting!$B$21)</f>
        <v>0</v>
      </c>
      <c r="AL414" s="8">
        <f>+Table1[[#This Row],[Endgame our score]]+Table1[[#This Row],[teleop our score]]+Table1[[#This Row],[auton our score]]</f>
        <v>0</v>
      </c>
      <c r="AM414" s="20">
        <f t="shared" si="18"/>
        <v>0</v>
      </c>
      <c r="AN414" s="20">
        <f t="shared" si="19"/>
        <v>0</v>
      </c>
      <c r="AO414" s="20">
        <f t="shared" si="20"/>
        <v>0</v>
      </c>
      <c r="AP414" s="20">
        <f>Table1[[#This Row],[balls scored]]+Table1[[#This Row],[auton balls scored]]</f>
        <v>0</v>
      </c>
      <c r="AQ414" s="20">
        <f>Table1[[#This Row],[balls scored high]]+Table1[[#This Row],[Auton Scored High]]</f>
        <v>0</v>
      </c>
      <c r="AR414" s="20">
        <f>Table1[[#This Row],[balls scored low]]+Table1[[#This Row],[Auton Scored Low]]</f>
        <v>0</v>
      </c>
      <c r="AS414" s="50">
        <f>IF(Table1[[#This Row],[Control Panel Spun Time]]&gt;0,1,0)</f>
        <v>0</v>
      </c>
      <c r="AT414" s="20">
        <f>IF(Table1[[#This Row],[Control Panel Color Time]]&gt;0,1,0)</f>
        <v>0</v>
      </c>
    </row>
    <row r="415" spans="1:46" s="2" customFormat="1" x14ac:dyDescent="0.25">
      <c r="A415"/>
      <c r="B415"/>
      <c r="C415"/>
      <c r="D415"/>
      <c r="E415"/>
      <c r="F415"/>
      <c r="G415"/>
      <c r="H415"/>
      <c r="I415" s="8">
        <f>+Table1[[#This Row],[Auton ball picked up in our trench]]+Table1[[#This Row],[Auton Balls Picked Up in Mid]]+Table1[[#This Row],[Auton Balls Picked Up In Their Trench]]</f>
        <v>0</v>
      </c>
      <c r="J415" s="8">
        <f>+Table1[[#This Row],[Auton Scored High]]+Table1[[#This Row],[Auton Scored Low]]</f>
        <v>0</v>
      </c>
      <c r="K41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15"/>
      <c r="M415"/>
      <c r="N415"/>
      <c r="O415"/>
      <c r="P415"/>
      <c r="Q415"/>
      <c r="R415"/>
      <c r="S415"/>
      <c r="T415"/>
      <c r="U415"/>
      <c r="V415" s="8">
        <f>Table1[[#This Row],[Balls Scored From Trench]]+Table1[[#This Row],[Balls Scored from Mid]]+Table1[[#This Row],[Balls Scored From Alliance zone]]</f>
        <v>0</v>
      </c>
      <c r="W415" s="8">
        <f>Table1[[#This Row],[balls scored high]]+Table1[[#This Row],[balls scored low]]</f>
        <v>0</v>
      </c>
      <c r="X415" s="8">
        <f>Table1[[#This Row],[Control Panel Spun Time]]+Table1[[#This Row],[Control Panel Color Time]]</f>
        <v>0</v>
      </c>
      <c r="Y415" s="8">
        <f>Table1[[#This Row],[Control Panels Spun]]+Table1[[#This Row],[Control Panel Color]]</f>
        <v>0</v>
      </c>
      <c r="Z41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15"/>
      <c r="AB415"/>
      <c r="AC415"/>
      <c r="AD415"/>
      <c r="AE415"/>
      <c r="AF415"/>
      <c r="AG415"/>
      <c r="AH415"/>
      <c r="AI415"/>
      <c r="AJ415"/>
      <c r="AK415" s="17">
        <f>(Table1[[#This Row],[Climbed]]*weighting!$B$18)+(Table1[[#This Row],[Adjustable Climber]]*weighting!$B$19)+(Table1[[#This Row],[Lift other Robot]]*weighting!$B$20)+(Table1[[#This Row],[Balanced]]*weighting!$B$21)</f>
        <v>0</v>
      </c>
      <c r="AL415" s="8">
        <f>+Table1[[#This Row],[Endgame our score]]+Table1[[#This Row],[teleop our score]]+Table1[[#This Row],[auton our score]]</f>
        <v>0</v>
      </c>
      <c r="AM415" s="20">
        <f t="shared" si="18"/>
        <v>0</v>
      </c>
      <c r="AN415" s="20">
        <f t="shared" si="19"/>
        <v>0</v>
      </c>
      <c r="AO415" s="20">
        <f t="shared" si="20"/>
        <v>0</v>
      </c>
      <c r="AP415" s="20">
        <f>Table1[[#This Row],[balls scored]]+Table1[[#This Row],[auton balls scored]]</f>
        <v>0</v>
      </c>
      <c r="AQ415" s="20">
        <f>Table1[[#This Row],[balls scored high]]+Table1[[#This Row],[Auton Scored High]]</f>
        <v>0</v>
      </c>
      <c r="AR415" s="20">
        <f>Table1[[#This Row],[balls scored low]]+Table1[[#This Row],[Auton Scored Low]]</f>
        <v>0</v>
      </c>
      <c r="AS415" s="50">
        <f>IF(Table1[[#This Row],[Control Panel Spun Time]]&gt;0,1,0)</f>
        <v>0</v>
      </c>
      <c r="AT415" s="20">
        <f>IF(Table1[[#This Row],[Control Panel Color Time]]&gt;0,1,0)</f>
        <v>0</v>
      </c>
    </row>
    <row r="416" spans="1:46" x14ac:dyDescent="0.25">
      <c r="A416"/>
      <c r="I416" s="8">
        <f>+Table1[[#This Row],[Auton ball picked up in our trench]]+Table1[[#This Row],[Auton Balls Picked Up in Mid]]+Table1[[#This Row],[Auton Balls Picked Up In Their Trench]]</f>
        <v>0</v>
      </c>
      <c r="J416" s="8">
        <f>+Table1[[#This Row],[Auton Scored High]]+Table1[[#This Row],[Auton Scored Low]]</f>
        <v>0</v>
      </c>
      <c r="K41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16" s="8">
        <f>Table1[[#This Row],[Balls Scored From Trench]]+Table1[[#This Row],[Balls Scored from Mid]]+Table1[[#This Row],[Balls Scored From Alliance zone]]</f>
        <v>0</v>
      </c>
      <c r="W416" s="8">
        <f>Table1[[#This Row],[balls scored high]]+Table1[[#This Row],[balls scored low]]</f>
        <v>0</v>
      </c>
      <c r="X416" s="8">
        <f>Table1[[#This Row],[Control Panel Spun Time]]+Table1[[#This Row],[Control Panel Color Time]]</f>
        <v>0</v>
      </c>
      <c r="Y416" s="8">
        <f>Table1[[#This Row],[Control Panels Spun]]+Table1[[#This Row],[Control Panel Color]]</f>
        <v>0</v>
      </c>
      <c r="Z41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16" s="17">
        <f>(Table1[[#This Row],[Climbed]]*weighting!$B$18)+(Table1[[#This Row],[Adjustable Climber]]*weighting!$B$19)+(Table1[[#This Row],[Lift other Robot]]*weighting!$B$20)+(Table1[[#This Row],[Balanced]]*weighting!$B$21)</f>
        <v>0</v>
      </c>
      <c r="AL416" s="8">
        <f>+Table1[[#This Row],[Endgame our score]]+Table1[[#This Row],[teleop our score]]+Table1[[#This Row],[auton our score]]</f>
        <v>0</v>
      </c>
      <c r="AM416" s="20">
        <f t="shared" si="18"/>
        <v>0</v>
      </c>
      <c r="AN416" s="20">
        <f t="shared" si="19"/>
        <v>0</v>
      </c>
      <c r="AO416" s="20">
        <f t="shared" si="20"/>
        <v>0</v>
      </c>
      <c r="AP416" s="20">
        <f>Table1[[#This Row],[balls scored]]+Table1[[#This Row],[auton balls scored]]</f>
        <v>0</v>
      </c>
      <c r="AQ416" s="20">
        <f>Table1[[#This Row],[balls scored high]]+Table1[[#This Row],[Auton Scored High]]</f>
        <v>0</v>
      </c>
      <c r="AR416" s="20">
        <f>Table1[[#This Row],[balls scored low]]+Table1[[#This Row],[Auton Scored Low]]</f>
        <v>0</v>
      </c>
      <c r="AS416" s="50">
        <f>IF(Table1[[#This Row],[Control Panel Spun Time]]&gt;0,1,0)</f>
        <v>0</v>
      </c>
      <c r="AT416" s="20">
        <f>IF(Table1[[#This Row],[Control Panel Color Time]]&gt;0,1,0)</f>
        <v>0</v>
      </c>
    </row>
    <row r="417" spans="1:46" s="2" customFormat="1" x14ac:dyDescent="0.25">
      <c r="A417"/>
      <c r="B417"/>
      <c r="C417"/>
      <c r="D417"/>
      <c r="E417"/>
      <c r="F417"/>
      <c r="G417"/>
      <c r="H417"/>
      <c r="I417" s="8">
        <f>+Table1[[#This Row],[Auton ball picked up in our trench]]+Table1[[#This Row],[Auton Balls Picked Up in Mid]]+Table1[[#This Row],[Auton Balls Picked Up In Their Trench]]</f>
        <v>0</v>
      </c>
      <c r="J417" s="8">
        <f>+Table1[[#This Row],[Auton Scored High]]+Table1[[#This Row],[Auton Scored Low]]</f>
        <v>0</v>
      </c>
      <c r="K41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17"/>
      <c r="M417"/>
      <c r="N417"/>
      <c r="O417"/>
      <c r="P417"/>
      <c r="Q417"/>
      <c r="R417"/>
      <c r="S417"/>
      <c r="T417"/>
      <c r="U417"/>
      <c r="V417" s="8">
        <f>Table1[[#This Row],[Balls Scored From Trench]]+Table1[[#This Row],[Balls Scored from Mid]]+Table1[[#This Row],[Balls Scored From Alliance zone]]</f>
        <v>0</v>
      </c>
      <c r="W417" s="8">
        <f>Table1[[#This Row],[balls scored high]]+Table1[[#This Row],[balls scored low]]</f>
        <v>0</v>
      </c>
      <c r="X417" s="8">
        <f>Table1[[#This Row],[Control Panel Spun Time]]+Table1[[#This Row],[Control Panel Color Time]]</f>
        <v>0</v>
      </c>
      <c r="Y417" s="8">
        <f>Table1[[#This Row],[Control Panels Spun]]+Table1[[#This Row],[Control Panel Color]]</f>
        <v>0</v>
      </c>
      <c r="Z41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17"/>
      <c r="AB417"/>
      <c r="AC417"/>
      <c r="AD417"/>
      <c r="AE417"/>
      <c r="AF417"/>
      <c r="AG417"/>
      <c r="AH417"/>
      <c r="AI417"/>
      <c r="AJ417"/>
      <c r="AK417" s="17">
        <f>(Table1[[#This Row],[Climbed]]*weighting!$B$18)+(Table1[[#This Row],[Adjustable Climber]]*weighting!$B$19)+(Table1[[#This Row],[Lift other Robot]]*weighting!$B$20)+(Table1[[#This Row],[Balanced]]*weighting!$B$21)</f>
        <v>0</v>
      </c>
      <c r="AL417" s="8">
        <f>+Table1[[#This Row],[Endgame our score]]+Table1[[#This Row],[teleop our score]]+Table1[[#This Row],[auton our score]]</f>
        <v>0</v>
      </c>
      <c r="AM417" s="20">
        <f t="shared" si="18"/>
        <v>0</v>
      </c>
      <c r="AN417" s="20">
        <f t="shared" si="19"/>
        <v>0</v>
      </c>
      <c r="AO417" s="20">
        <f t="shared" si="20"/>
        <v>0</v>
      </c>
      <c r="AP417" s="20">
        <f>Table1[[#This Row],[balls scored]]+Table1[[#This Row],[auton balls scored]]</f>
        <v>0</v>
      </c>
      <c r="AQ417" s="20">
        <f>Table1[[#This Row],[balls scored high]]+Table1[[#This Row],[Auton Scored High]]</f>
        <v>0</v>
      </c>
      <c r="AR417" s="20">
        <f>Table1[[#This Row],[balls scored low]]+Table1[[#This Row],[Auton Scored Low]]</f>
        <v>0</v>
      </c>
      <c r="AS417" s="50">
        <f>IF(Table1[[#This Row],[Control Panel Spun Time]]&gt;0,1,0)</f>
        <v>0</v>
      </c>
      <c r="AT417" s="20">
        <f>IF(Table1[[#This Row],[Control Panel Color Time]]&gt;0,1,0)</f>
        <v>0</v>
      </c>
    </row>
    <row r="418" spans="1:46" x14ac:dyDescent="0.25">
      <c r="A418"/>
      <c r="I418" s="8">
        <f>+Table1[[#This Row],[Auton ball picked up in our trench]]+Table1[[#This Row],[Auton Balls Picked Up in Mid]]+Table1[[#This Row],[Auton Balls Picked Up In Their Trench]]</f>
        <v>0</v>
      </c>
      <c r="J418" s="8">
        <f>+Table1[[#This Row],[Auton Scored High]]+Table1[[#This Row],[Auton Scored Low]]</f>
        <v>0</v>
      </c>
      <c r="K41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18" s="8">
        <f>Table1[[#This Row],[Balls Scored From Trench]]+Table1[[#This Row],[Balls Scored from Mid]]+Table1[[#This Row],[Balls Scored From Alliance zone]]</f>
        <v>0</v>
      </c>
      <c r="W418" s="8">
        <f>Table1[[#This Row],[balls scored high]]+Table1[[#This Row],[balls scored low]]</f>
        <v>0</v>
      </c>
      <c r="X418" s="8">
        <f>Table1[[#This Row],[Control Panel Spun Time]]+Table1[[#This Row],[Control Panel Color Time]]</f>
        <v>0</v>
      </c>
      <c r="Y418" s="8">
        <f>Table1[[#This Row],[Control Panels Spun]]+Table1[[#This Row],[Control Panel Color]]</f>
        <v>0</v>
      </c>
      <c r="Z41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18" s="17">
        <f>(Table1[[#This Row],[Climbed]]*weighting!$B$18)+(Table1[[#This Row],[Adjustable Climber]]*weighting!$B$19)+(Table1[[#This Row],[Lift other Robot]]*weighting!$B$20)+(Table1[[#This Row],[Balanced]]*weighting!$B$21)</f>
        <v>0</v>
      </c>
      <c r="AL418" s="8">
        <f>+Table1[[#This Row],[Endgame our score]]+Table1[[#This Row],[teleop our score]]+Table1[[#This Row],[auton our score]]</f>
        <v>0</v>
      </c>
      <c r="AM418" s="20">
        <f t="shared" si="18"/>
        <v>0</v>
      </c>
      <c r="AN418" s="20">
        <f t="shared" si="19"/>
        <v>0</v>
      </c>
      <c r="AO418" s="20">
        <f t="shared" si="20"/>
        <v>0</v>
      </c>
      <c r="AP418" s="20">
        <f>Table1[[#This Row],[balls scored]]+Table1[[#This Row],[auton balls scored]]</f>
        <v>0</v>
      </c>
      <c r="AQ418" s="20">
        <f>Table1[[#This Row],[balls scored high]]+Table1[[#This Row],[Auton Scored High]]</f>
        <v>0</v>
      </c>
      <c r="AR418" s="20">
        <f>Table1[[#This Row],[balls scored low]]+Table1[[#This Row],[Auton Scored Low]]</f>
        <v>0</v>
      </c>
      <c r="AS418" s="50">
        <f>IF(Table1[[#This Row],[Control Panel Spun Time]]&gt;0,1,0)</f>
        <v>0</v>
      </c>
      <c r="AT418" s="20">
        <f>IF(Table1[[#This Row],[Control Panel Color Time]]&gt;0,1,0)</f>
        <v>0</v>
      </c>
    </row>
    <row r="419" spans="1:46" s="2" customFormat="1" x14ac:dyDescent="0.25">
      <c r="A419"/>
      <c r="B419"/>
      <c r="C419"/>
      <c r="D419"/>
      <c r="E419"/>
      <c r="F419"/>
      <c r="G419"/>
      <c r="H419"/>
      <c r="I419" s="8">
        <f>+Table1[[#This Row],[Auton ball picked up in our trench]]+Table1[[#This Row],[Auton Balls Picked Up in Mid]]+Table1[[#This Row],[Auton Balls Picked Up In Their Trench]]</f>
        <v>0</v>
      </c>
      <c r="J419" s="8">
        <f>+Table1[[#This Row],[Auton Scored High]]+Table1[[#This Row],[Auton Scored Low]]</f>
        <v>0</v>
      </c>
      <c r="K41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19"/>
      <c r="M419"/>
      <c r="N419"/>
      <c r="O419"/>
      <c r="P419"/>
      <c r="Q419"/>
      <c r="R419"/>
      <c r="S419"/>
      <c r="T419"/>
      <c r="U419"/>
      <c r="V419" s="8">
        <f>Table1[[#This Row],[Balls Scored From Trench]]+Table1[[#This Row],[Balls Scored from Mid]]+Table1[[#This Row],[Balls Scored From Alliance zone]]</f>
        <v>0</v>
      </c>
      <c r="W419" s="8">
        <f>Table1[[#This Row],[balls scored high]]+Table1[[#This Row],[balls scored low]]</f>
        <v>0</v>
      </c>
      <c r="X419" s="8">
        <f>Table1[[#This Row],[Control Panel Spun Time]]+Table1[[#This Row],[Control Panel Color Time]]</f>
        <v>0</v>
      </c>
      <c r="Y419" s="8">
        <f>Table1[[#This Row],[Control Panels Spun]]+Table1[[#This Row],[Control Panel Color]]</f>
        <v>0</v>
      </c>
      <c r="Z41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19"/>
      <c r="AB419"/>
      <c r="AC419"/>
      <c r="AD419"/>
      <c r="AE419"/>
      <c r="AF419"/>
      <c r="AG419"/>
      <c r="AH419"/>
      <c r="AI419"/>
      <c r="AJ419"/>
      <c r="AK419" s="17">
        <f>(Table1[[#This Row],[Climbed]]*weighting!$B$18)+(Table1[[#This Row],[Adjustable Climber]]*weighting!$B$19)+(Table1[[#This Row],[Lift other Robot]]*weighting!$B$20)+(Table1[[#This Row],[Balanced]]*weighting!$B$21)</f>
        <v>0</v>
      </c>
      <c r="AL419" s="8">
        <f>+Table1[[#This Row],[Endgame our score]]+Table1[[#This Row],[teleop our score]]+Table1[[#This Row],[auton our score]]</f>
        <v>0</v>
      </c>
      <c r="AM419" s="20">
        <f t="shared" si="18"/>
        <v>0</v>
      </c>
      <c r="AN419" s="20">
        <f t="shared" si="19"/>
        <v>0</v>
      </c>
      <c r="AO419" s="20">
        <f t="shared" si="20"/>
        <v>0</v>
      </c>
      <c r="AP419" s="20">
        <f>Table1[[#This Row],[balls scored]]+Table1[[#This Row],[auton balls scored]]</f>
        <v>0</v>
      </c>
      <c r="AQ419" s="20">
        <f>Table1[[#This Row],[balls scored high]]+Table1[[#This Row],[Auton Scored High]]</f>
        <v>0</v>
      </c>
      <c r="AR419" s="20">
        <f>Table1[[#This Row],[balls scored low]]+Table1[[#This Row],[Auton Scored Low]]</f>
        <v>0</v>
      </c>
      <c r="AS419" s="50">
        <f>IF(Table1[[#This Row],[Control Panel Spun Time]]&gt;0,1,0)</f>
        <v>0</v>
      </c>
      <c r="AT419" s="20">
        <f>IF(Table1[[#This Row],[Control Panel Color Time]]&gt;0,1,0)</f>
        <v>0</v>
      </c>
    </row>
    <row r="420" spans="1:46" x14ac:dyDescent="0.25">
      <c r="A420"/>
      <c r="I420" s="8">
        <f>+Table1[[#This Row],[Auton ball picked up in our trench]]+Table1[[#This Row],[Auton Balls Picked Up in Mid]]+Table1[[#This Row],[Auton Balls Picked Up In Their Trench]]</f>
        <v>0</v>
      </c>
      <c r="J420" s="8">
        <f>+Table1[[#This Row],[Auton Scored High]]+Table1[[#This Row],[Auton Scored Low]]</f>
        <v>0</v>
      </c>
      <c r="K42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20" s="8">
        <f>Table1[[#This Row],[Balls Scored From Trench]]+Table1[[#This Row],[Balls Scored from Mid]]+Table1[[#This Row],[Balls Scored From Alliance zone]]</f>
        <v>0</v>
      </c>
      <c r="W420" s="8">
        <f>Table1[[#This Row],[balls scored high]]+Table1[[#This Row],[balls scored low]]</f>
        <v>0</v>
      </c>
      <c r="X420" s="8">
        <f>Table1[[#This Row],[Control Panel Spun Time]]+Table1[[#This Row],[Control Panel Color Time]]</f>
        <v>0</v>
      </c>
      <c r="Y420" s="8">
        <f>Table1[[#This Row],[Control Panels Spun]]+Table1[[#This Row],[Control Panel Color]]</f>
        <v>0</v>
      </c>
      <c r="Z42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20" s="17">
        <f>(Table1[[#This Row],[Climbed]]*weighting!$B$18)+(Table1[[#This Row],[Adjustable Climber]]*weighting!$B$19)+(Table1[[#This Row],[Lift other Robot]]*weighting!$B$20)+(Table1[[#This Row],[Balanced]]*weighting!$B$21)</f>
        <v>0</v>
      </c>
      <c r="AL420" s="8">
        <f>+Table1[[#This Row],[Endgame our score]]+Table1[[#This Row],[teleop our score]]+Table1[[#This Row],[auton our score]]</f>
        <v>0</v>
      </c>
      <c r="AM420" s="20">
        <f t="shared" si="18"/>
        <v>0</v>
      </c>
      <c r="AN420" s="20">
        <f t="shared" si="19"/>
        <v>0</v>
      </c>
      <c r="AO420" s="20">
        <f t="shared" si="20"/>
        <v>0</v>
      </c>
      <c r="AP420" s="20">
        <f>Table1[[#This Row],[balls scored]]+Table1[[#This Row],[auton balls scored]]</f>
        <v>0</v>
      </c>
      <c r="AQ420" s="20">
        <f>Table1[[#This Row],[balls scored high]]+Table1[[#This Row],[Auton Scored High]]</f>
        <v>0</v>
      </c>
      <c r="AR420" s="20">
        <f>Table1[[#This Row],[balls scored low]]+Table1[[#This Row],[Auton Scored Low]]</f>
        <v>0</v>
      </c>
      <c r="AS420" s="50">
        <f>IF(Table1[[#This Row],[Control Panel Spun Time]]&gt;0,1,0)</f>
        <v>0</v>
      </c>
      <c r="AT420" s="20">
        <f>IF(Table1[[#This Row],[Control Panel Color Time]]&gt;0,1,0)</f>
        <v>0</v>
      </c>
    </row>
    <row r="421" spans="1:46" s="2" customFormat="1" x14ac:dyDescent="0.25">
      <c r="A421"/>
      <c r="B421"/>
      <c r="C421"/>
      <c r="D421"/>
      <c r="E421"/>
      <c r="F421"/>
      <c r="G421"/>
      <c r="H421"/>
      <c r="I421" s="8">
        <f>+Table1[[#This Row],[Auton ball picked up in our trench]]+Table1[[#This Row],[Auton Balls Picked Up in Mid]]+Table1[[#This Row],[Auton Balls Picked Up In Their Trench]]</f>
        <v>0</v>
      </c>
      <c r="J421" s="8">
        <f>+Table1[[#This Row],[Auton Scored High]]+Table1[[#This Row],[Auton Scored Low]]</f>
        <v>0</v>
      </c>
      <c r="K42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21"/>
      <c r="M421"/>
      <c r="N421"/>
      <c r="O421"/>
      <c r="P421"/>
      <c r="Q421"/>
      <c r="R421"/>
      <c r="S421"/>
      <c r="T421"/>
      <c r="U421"/>
      <c r="V421" s="8">
        <f>Table1[[#This Row],[Balls Scored From Trench]]+Table1[[#This Row],[Balls Scored from Mid]]+Table1[[#This Row],[Balls Scored From Alliance zone]]</f>
        <v>0</v>
      </c>
      <c r="W421" s="8">
        <f>Table1[[#This Row],[balls scored high]]+Table1[[#This Row],[balls scored low]]</f>
        <v>0</v>
      </c>
      <c r="X421" s="8">
        <f>Table1[[#This Row],[Control Panel Spun Time]]+Table1[[#This Row],[Control Panel Color Time]]</f>
        <v>0</v>
      </c>
      <c r="Y421" s="8">
        <f>Table1[[#This Row],[Control Panels Spun]]+Table1[[#This Row],[Control Panel Color]]</f>
        <v>0</v>
      </c>
      <c r="Z42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21"/>
      <c r="AB421"/>
      <c r="AC421"/>
      <c r="AD421"/>
      <c r="AE421"/>
      <c r="AF421"/>
      <c r="AG421"/>
      <c r="AH421"/>
      <c r="AI421"/>
      <c r="AJ421"/>
      <c r="AK421" s="17">
        <f>(Table1[[#This Row],[Climbed]]*weighting!$B$18)+(Table1[[#This Row],[Adjustable Climber]]*weighting!$B$19)+(Table1[[#This Row],[Lift other Robot]]*weighting!$B$20)+(Table1[[#This Row],[Balanced]]*weighting!$B$21)</f>
        <v>0</v>
      </c>
      <c r="AL421" s="8">
        <f>+Table1[[#This Row],[Endgame our score]]+Table1[[#This Row],[teleop our score]]+Table1[[#This Row],[auton our score]]</f>
        <v>0</v>
      </c>
      <c r="AM421" s="20">
        <f t="shared" si="18"/>
        <v>0</v>
      </c>
      <c r="AN421" s="20">
        <f t="shared" si="19"/>
        <v>0</v>
      </c>
      <c r="AO421" s="20">
        <f t="shared" si="20"/>
        <v>0</v>
      </c>
      <c r="AP421" s="20">
        <f>Table1[[#This Row],[balls scored]]+Table1[[#This Row],[auton balls scored]]</f>
        <v>0</v>
      </c>
      <c r="AQ421" s="20">
        <f>Table1[[#This Row],[balls scored high]]+Table1[[#This Row],[Auton Scored High]]</f>
        <v>0</v>
      </c>
      <c r="AR421" s="20">
        <f>Table1[[#This Row],[balls scored low]]+Table1[[#This Row],[Auton Scored Low]]</f>
        <v>0</v>
      </c>
      <c r="AS421" s="50">
        <f>IF(Table1[[#This Row],[Control Panel Spun Time]]&gt;0,1,0)</f>
        <v>0</v>
      </c>
      <c r="AT421" s="20">
        <f>IF(Table1[[#This Row],[Control Panel Color Time]]&gt;0,1,0)</f>
        <v>0</v>
      </c>
    </row>
    <row r="422" spans="1:46" x14ac:dyDescent="0.25">
      <c r="A422"/>
      <c r="I422" s="8">
        <f>+Table1[[#This Row],[Auton ball picked up in our trench]]+Table1[[#This Row],[Auton Balls Picked Up in Mid]]+Table1[[#This Row],[Auton Balls Picked Up In Their Trench]]</f>
        <v>0</v>
      </c>
      <c r="J422" s="8">
        <f>+Table1[[#This Row],[Auton Scored High]]+Table1[[#This Row],[Auton Scored Low]]</f>
        <v>0</v>
      </c>
      <c r="K42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22" s="8">
        <f>Table1[[#This Row],[Balls Scored From Trench]]+Table1[[#This Row],[Balls Scored from Mid]]+Table1[[#This Row],[Balls Scored From Alliance zone]]</f>
        <v>0</v>
      </c>
      <c r="W422" s="8">
        <f>Table1[[#This Row],[balls scored high]]+Table1[[#This Row],[balls scored low]]</f>
        <v>0</v>
      </c>
      <c r="X422" s="8">
        <f>Table1[[#This Row],[Control Panel Spun Time]]+Table1[[#This Row],[Control Panel Color Time]]</f>
        <v>0</v>
      </c>
      <c r="Y422" s="8">
        <f>Table1[[#This Row],[Control Panels Spun]]+Table1[[#This Row],[Control Panel Color]]</f>
        <v>0</v>
      </c>
      <c r="Z42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22" s="17">
        <f>(Table1[[#This Row],[Climbed]]*weighting!$B$18)+(Table1[[#This Row],[Adjustable Climber]]*weighting!$B$19)+(Table1[[#This Row],[Lift other Robot]]*weighting!$B$20)+(Table1[[#This Row],[Balanced]]*weighting!$B$21)</f>
        <v>0</v>
      </c>
      <c r="AL422" s="8">
        <f>+Table1[[#This Row],[Endgame our score]]+Table1[[#This Row],[teleop our score]]+Table1[[#This Row],[auton our score]]</f>
        <v>0</v>
      </c>
      <c r="AM422" s="20">
        <f t="shared" si="18"/>
        <v>0</v>
      </c>
      <c r="AN422" s="20">
        <f t="shared" si="19"/>
        <v>0</v>
      </c>
      <c r="AO422" s="20">
        <f t="shared" si="20"/>
        <v>0</v>
      </c>
      <c r="AP422" s="20">
        <f>Table1[[#This Row],[balls scored]]+Table1[[#This Row],[auton balls scored]]</f>
        <v>0</v>
      </c>
      <c r="AQ422" s="20">
        <f>Table1[[#This Row],[balls scored high]]+Table1[[#This Row],[Auton Scored High]]</f>
        <v>0</v>
      </c>
      <c r="AR422" s="20">
        <f>Table1[[#This Row],[balls scored low]]+Table1[[#This Row],[Auton Scored Low]]</f>
        <v>0</v>
      </c>
      <c r="AS422" s="50">
        <f>IF(Table1[[#This Row],[Control Panel Spun Time]]&gt;0,1,0)</f>
        <v>0</v>
      </c>
      <c r="AT422" s="20">
        <f>IF(Table1[[#This Row],[Control Panel Color Time]]&gt;0,1,0)</f>
        <v>0</v>
      </c>
    </row>
    <row r="423" spans="1:46" s="2" customFormat="1" x14ac:dyDescent="0.25">
      <c r="A423"/>
      <c r="B423"/>
      <c r="C423"/>
      <c r="D423"/>
      <c r="E423"/>
      <c r="F423"/>
      <c r="G423"/>
      <c r="H423"/>
      <c r="I423" s="8">
        <f>+Table1[[#This Row],[Auton ball picked up in our trench]]+Table1[[#This Row],[Auton Balls Picked Up in Mid]]+Table1[[#This Row],[Auton Balls Picked Up In Their Trench]]</f>
        <v>0</v>
      </c>
      <c r="J423" s="8">
        <f>+Table1[[#This Row],[Auton Scored High]]+Table1[[#This Row],[Auton Scored Low]]</f>
        <v>0</v>
      </c>
      <c r="K42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23"/>
      <c r="M423"/>
      <c r="N423"/>
      <c r="O423"/>
      <c r="P423"/>
      <c r="Q423"/>
      <c r="R423"/>
      <c r="S423"/>
      <c r="T423"/>
      <c r="U423"/>
      <c r="V423" s="8">
        <f>Table1[[#This Row],[Balls Scored From Trench]]+Table1[[#This Row],[Balls Scored from Mid]]+Table1[[#This Row],[Balls Scored From Alliance zone]]</f>
        <v>0</v>
      </c>
      <c r="W423" s="8">
        <f>Table1[[#This Row],[balls scored high]]+Table1[[#This Row],[balls scored low]]</f>
        <v>0</v>
      </c>
      <c r="X423" s="8">
        <f>Table1[[#This Row],[Control Panel Spun Time]]+Table1[[#This Row],[Control Panel Color Time]]</f>
        <v>0</v>
      </c>
      <c r="Y423" s="8">
        <f>Table1[[#This Row],[Control Panels Spun]]+Table1[[#This Row],[Control Panel Color]]</f>
        <v>0</v>
      </c>
      <c r="Z42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23"/>
      <c r="AB423"/>
      <c r="AC423"/>
      <c r="AD423"/>
      <c r="AE423"/>
      <c r="AF423"/>
      <c r="AG423"/>
      <c r="AH423"/>
      <c r="AI423"/>
      <c r="AJ423"/>
      <c r="AK423" s="17">
        <f>(Table1[[#This Row],[Climbed]]*weighting!$B$18)+(Table1[[#This Row],[Adjustable Climber]]*weighting!$B$19)+(Table1[[#This Row],[Lift other Robot]]*weighting!$B$20)+(Table1[[#This Row],[Balanced]]*weighting!$B$21)</f>
        <v>0</v>
      </c>
      <c r="AL423" s="8">
        <f>+Table1[[#This Row],[Endgame our score]]+Table1[[#This Row],[teleop our score]]+Table1[[#This Row],[auton our score]]</f>
        <v>0</v>
      </c>
      <c r="AM423" s="20">
        <f t="shared" si="18"/>
        <v>0</v>
      </c>
      <c r="AN423" s="20">
        <f t="shared" si="19"/>
        <v>0</v>
      </c>
      <c r="AO423" s="20">
        <f t="shared" si="20"/>
        <v>0</v>
      </c>
      <c r="AP423" s="20">
        <f>Table1[[#This Row],[balls scored]]+Table1[[#This Row],[auton balls scored]]</f>
        <v>0</v>
      </c>
      <c r="AQ423" s="20">
        <f>Table1[[#This Row],[balls scored high]]+Table1[[#This Row],[Auton Scored High]]</f>
        <v>0</v>
      </c>
      <c r="AR423" s="20">
        <f>Table1[[#This Row],[balls scored low]]+Table1[[#This Row],[Auton Scored Low]]</f>
        <v>0</v>
      </c>
      <c r="AS423" s="50">
        <f>IF(Table1[[#This Row],[Control Panel Spun Time]]&gt;0,1,0)</f>
        <v>0</v>
      </c>
      <c r="AT423" s="20">
        <f>IF(Table1[[#This Row],[Control Panel Color Time]]&gt;0,1,0)</f>
        <v>0</v>
      </c>
    </row>
    <row r="424" spans="1:46" x14ac:dyDescent="0.25">
      <c r="A424"/>
      <c r="I424" s="8">
        <f>+Table1[[#This Row],[Auton ball picked up in our trench]]+Table1[[#This Row],[Auton Balls Picked Up in Mid]]+Table1[[#This Row],[Auton Balls Picked Up In Their Trench]]</f>
        <v>0</v>
      </c>
      <c r="J424" s="8">
        <f>+Table1[[#This Row],[Auton Scored High]]+Table1[[#This Row],[Auton Scored Low]]</f>
        <v>0</v>
      </c>
      <c r="K42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24" s="8">
        <f>Table1[[#This Row],[Balls Scored From Trench]]+Table1[[#This Row],[Balls Scored from Mid]]+Table1[[#This Row],[Balls Scored From Alliance zone]]</f>
        <v>0</v>
      </c>
      <c r="W424" s="8">
        <f>Table1[[#This Row],[balls scored high]]+Table1[[#This Row],[balls scored low]]</f>
        <v>0</v>
      </c>
      <c r="X424" s="8">
        <f>Table1[[#This Row],[Control Panel Spun Time]]+Table1[[#This Row],[Control Panel Color Time]]</f>
        <v>0</v>
      </c>
      <c r="Y424" s="8">
        <f>Table1[[#This Row],[Control Panels Spun]]+Table1[[#This Row],[Control Panel Color]]</f>
        <v>0</v>
      </c>
      <c r="Z42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24" s="17">
        <f>(Table1[[#This Row],[Climbed]]*weighting!$B$18)+(Table1[[#This Row],[Adjustable Climber]]*weighting!$B$19)+(Table1[[#This Row],[Lift other Robot]]*weighting!$B$20)+(Table1[[#This Row],[Balanced]]*weighting!$B$21)</f>
        <v>0</v>
      </c>
      <c r="AL424" s="8">
        <f>+Table1[[#This Row],[Endgame our score]]+Table1[[#This Row],[teleop our score]]+Table1[[#This Row],[auton our score]]</f>
        <v>0</v>
      </c>
      <c r="AM424" s="20">
        <f t="shared" si="18"/>
        <v>0</v>
      </c>
      <c r="AN424" s="20">
        <f t="shared" si="19"/>
        <v>0</v>
      </c>
      <c r="AO424" s="20">
        <f t="shared" si="20"/>
        <v>0</v>
      </c>
      <c r="AP424" s="20">
        <f>Table1[[#This Row],[balls scored]]+Table1[[#This Row],[auton balls scored]]</f>
        <v>0</v>
      </c>
      <c r="AQ424" s="20">
        <f>Table1[[#This Row],[balls scored high]]+Table1[[#This Row],[Auton Scored High]]</f>
        <v>0</v>
      </c>
      <c r="AR424" s="20">
        <f>Table1[[#This Row],[balls scored low]]+Table1[[#This Row],[Auton Scored Low]]</f>
        <v>0</v>
      </c>
      <c r="AS424" s="50">
        <f>IF(Table1[[#This Row],[Control Panel Spun Time]]&gt;0,1,0)</f>
        <v>0</v>
      </c>
      <c r="AT424" s="20">
        <f>IF(Table1[[#This Row],[Control Panel Color Time]]&gt;0,1,0)</f>
        <v>0</v>
      </c>
    </row>
    <row r="425" spans="1:46" s="2" customFormat="1" x14ac:dyDescent="0.25">
      <c r="A425"/>
      <c r="B425"/>
      <c r="C425"/>
      <c r="D425"/>
      <c r="E425"/>
      <c r="F425"/>
      <c r="G425"/>
      <c r="H425"/>
      <c r="I425" s="8">
        <f>+Table1[[#This Row],[Auton ball picked up in our trench]]+Table1[[#This Row],[Auton Balls Picked Up in Mid]]+Table1[[#This Row],[Auton Balls Picked Up In Their Trench]]</f>
        <v>0</v>
      </c>
      <c r="J425" s="8">
        <f>+Table1[[#This Row],[Auton Scored High]]+Table1[[#This Row],[Auton Scored Low]]</f>
        <v>0</v>
      </c>
      <c r="K42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25"/>
      <c r="M425"/>
      <c r="N425"/>
      <c r="O425"/>
      <c r="P425"/>
      <c r="Q425"/>
      <c r="R425"/>
      <c r="S425"/>
      <c r="T425"/>
      <c r="U425"/>
      <c r="V425" s="8">
        <f>Table1[[#This Row],[Balls Scored From Trench]]+Table1[[#This Row],[Balls Scored from Mid]]+Table1[[#This Row],[Balls Scored From Alliance zone]]</f>
        <v>0</v>
      </c>
      <c r="W425" s="8">
        <f>Table1[[#This Row],[balls scored high]]+Table1[[#This Row],[balls scored low]]</f>
        <v>0</v>
      </c>
      <c r="X425" s="8">
        <f>Table1[[#This Row],[Control Panel Spun Time]]+Table1[[#This Row],[Control Panel Color Time]]</f>
        <v>0</v>
      </c>
      <c r="Y425" s="8">
        <f>Table1[[#This Row],[Control Panels Spun]]+Table1[[#This Row],[Control Panel Color]]</f>
        <v>0</v>
      </c>
      <c r="Z42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25"/>
      <c r="AB425"/>
      <c r="AC425"/>
      <c r="AD425"/>
      <c r="AE425"/>
      <c r="AF425"/>
      <c r="AG425"/>
      <c r="AH425"/>
      <c r="AI425"/>
      <c r="AJ425"/>
      <c r="AK425" s="17">
        <f>(Table1[[#This Row],[Climbed]]*weighting!$B$18)+(Table1[[#This Row],[Adjustable Climber]]*weighting!$B$19)+(Table1[[#This Row],[Lift other Robot]]*weighting!$B$20)+(Table1[[#This Row],[Balanced]]*weighting!$B$21)</f>
        <v>0</v>
      </c>
      <c r="AL425" s="8">
        <f>+Table1[[#This Row],[Endgame our score]]+Table1[[#This Row],[teleop our score]]+Table1[[#This Row],[auton our score]]</f>
        <v>0</v>
      </c>
      <c r="AM425" s="20">
        <f t="shared" si="18"/>
        <v>0</v>
      </c>
      <c r="AN425" s="20">
        <f t="shared" si="19"/>
        <v>0</v>
      </c>
      <c r="AO425" s="20">
        <f t="shared" si="20"/>
        <v>0</v>
      </c>
      <c r="AP425" s="20">
        <f>Table1[[#This Row],[balls scored]]+Table1[[#This Row],[auton balls scored]]</f>
        <v>0</v>
      </c>
      <c r="AQ425" s="20">
        <f>Table1[[#This Row],[balls scored high]]+Table1[[#This Row],[Auton Scored High]]</f>
        <v>0</v>
      </c>
      <c r="AR425" s="20">
        <f>Table1[[#This Row],[balls scored low]]+Table1[[#This Row],[Auton Scored Low]]</f>
        <v>0</v>
      </c>
      <c r="AS425" s="50">
        <f>IF(Table1[[#This Row],[Control Panel Spun Time]]&gt;0,1,0)</f>
        <v>0</v>
      </c>
      <c r="AT425" s="20">
        <f>IF(Table1[[#This Row],[Control Panel Color Time]]&gt;0,1,0)</f>
        <v>0</v>
      </c>
    </row>
    <row r="426" spans="1:46" x14ac:dyDescent="0.25">
      <c r="A426"/>
      <c r="I426" s="8">
        <f>+Table1[[#This Row],[Auton ball picked up in our trench]]+Table1[[#This Row],[Auton Balls Picked Up in Mid]]+Table1[[#This Row],[Auton Balls Picked Up In Their Trench]]</f>
        <v>0</v>
      </c>
      <c r="J426" s="8">
        <f>+Table1[[#This Row],[Auton Scored High]]+Table1[[#This Row],[Auton Scored Low]]</f>
        <v>0</v>
      </c>
      <c r="K42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26" s="8">
        <f>Table1[[#This Row],[Balls Scored From Trench]]+Table1[[#This Row],[Balls Scored from Mid]]+Table1[[#This Row],[Balls Scored From Alliance zone]]</f>
        <v>0</v>
      </c>
      <c r="W426" s="8">
        <f>Table1[[#This Row],[balls scored high]]+Table1[[#This Row],[balls scored low]]</f>
        <v>0</v>
      </c>
      <c r="X426" s="8">
        <f>Table1[[#This Row],[Control Panel Spun Time]]+Table1[[#This Row],[Control Panel Color Time]]</f>
        <v>0</v>
      </c>
      <c r="Y426" s="8">
        <f>Table1[[#This Row],[Control Panels Spun]]+Table1[[#This Row],[Control Panel Color]]</f>
        <v>0</v>
      </c>
      <c r="Z42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26" s="17">
        <f>(Table1[[#This Row],[Climbed]]*weighting!$B$18)+(Table1[[#This Row],[Adjustable Climber]]*weighting!$B$19)+(Table1[[#This Row],[Lift other Robot]]*weighting!$B$20)+(Table1[[#This Row],[Balanced]]*weighting!$B$21)</f>
        <v>0</v>
      </c>
      <c r="AL426" s="8">
        <f>+Table1[[#This Row],[Endgame our score]]+Table1[[#This Row],[teleop our score]]+Table1[[#This Row],[auton our score]]</f>
        <v>0</v>
      </c>
      <c r="AM426" s="20">
        <f t="shared" si="18"/>
        <v>0</v>
      </c>
      <c r="AN426" s="20">
        <f t="shared" si="19"/>
        <v>0</v>
      </c>
      <c r="AO426" s="20">
        <f t="shared" si="20"/>
        <v>0</v>
      </c>
      <c r="AP426" s="20">
        <f>Table1[[#This Row],[balls scored]]+Table1[[#This Row],[auton balls scored]]</f>
        <v>0</v>
      </c>
      <c r="AQ426" s="20">
        <f>Table1[[#This Row],[balls scored high]]+Table1[[#This Row],[Auton Scored High]]</f>
        <v>0</v>
      </c>
      <c r="AR426" s="20">
        <f>Table1[[#This Row],[balls scored low]]+Table1[[#This Row],[Auton Scored Low]]</f>
        <v>0</v>
      </c>
      <c r="AS426" s="50">
        <f>IF(Table1[[#This Row],[Control Panel Spun Time]]&gt;0,1,0)</f>
        <v>0</v>
      </c>
      <c r="AT426" s="20">
        <f>IF(Table1[[#This Row],[Control Panel Color Time]]&gt;0,1,0)</f>
        <v>0</v>
      </c>
    </row>
    <row r="427" spans="1:46" s="2" customFormat="1" x14ac:dyDescent="0.25">
      <c r="A427"/>
      <c r="B427"/>
      <c r="C427"/>
      <c r="D427"/>
      <c r="E427"/>
      <c r="F427"/>
      <c r="G427"/>
      <c r="H427"/>
      <c r="I427" s="8">
        <f>+Table1[[#This Row],[Auton ball picked up in our trench]]+Table1[[#This Row],[Auton Balls Picked Up in Mid]]+Table1[[#This Row],[Auton Balls Picked Up In Their Trench]]</f>
        <v>0</v>
      </c>
      <c r="J427" s="8">
        <f>+Table1[[#This Row],[Auton Scored High]]+Table1[[#This Row],[Auton Scored Low]]</f>
        <v>0</v>
      </c>
      <c r="K42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27"/>
      <c r="M427"/>
      <c r="N427"/>
      <c r="O427"/>
      <c r="P427"/>
      <c r="Q427"/>
      <c r="R427"/>
      <c r="S427"/>
      <c r="T427"/>
      <c r="U427"/>
      <c r="V427" s="8">
        <f>Table1[[#This Row],[Balls Scored From Trench]]+Table1[[#This Row],[Balls Scored from Mid]]+Table1[[#This Row],[Balls Scored From Alliance zone]]</f>
        <v>0</v>
      </c>
      <c r="W427" s="8">
        <f>Table1[[#This Row],[balls scored high]]+Table1[[#This Row],[balls scored low]]</f>
        <v>0</v>
      </c>
      <c r="X427" s="8">
        <f>Table1[[#This Row],[Control Panel Spun Time]]+Table1[[#This Row],[Control Panel Color Time]]</f>
        <v>0</v>
      </c>
      <c r="Y427" s="8">
        <f>Table1[[#This Row],[Control Panels Spun]]+Table1[[#This Row],[Control Panel Color]]</f>
        <v>0</v>
      </c>
      <c r="Z42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27"/>
      <c r="AB427"/>
      <c r="AC427"/>
      <c r="AD427"/>
      <c r="AE427"/>
      <c r="AF427"/>
      <c r="AG427"/>
      <c r="AH427"/>
      <c r="AI427"/>
      <c r="AJ427"/>
      <c r="AK427" s="17">
        <f>(Table1[[#This Row],[Climbed]]*weighting!$B$18)+(Table1[[#This Row],[Adjustable Climber]]*weighting!$B$19)+(Table1[[#This Row],[Lift other Robot]]*weighting!$B$20)+(Table1[[#This Row],[Balanced]]*weighting!$B$21)</f>
        <v>0</v>
      </c>
      <c r="AL427" s="8">
        <f>+Table1[[#This Row],[Endgame our score]]+Table1[[#This Row],[teleop our score]]+Table1[[#This Row],[auton our score]]</f>
        <v>0</v>
      </c>
      <c r="AM427" s="20">
        <f t="shared" si="18"/>
        <v>0</v>
      </c>
      <c r="AN427" s="20">
        <f t="shared" si="19"/>
        <v>0</v>
      </c>
      <c r="AO427" s="20">
        <f t="shared" si="20"/>
        <v>0</v>
      </c>
      <c r="AP427" s="20">
        <f>Table1[[#This Row],[balls scored]]+Table1[[#This Row],[auton balls scored]]</f>
        <v>0</v>
      </c>
      <c r="AQ427" s="20">
        <f>Table1[[#This Row],[balls scored high]]+Table1[[#This Row],[Auton Scored High]]</f>
        <v>0</v>
      </c>
      <c r="AR427" s="20">
        <f>Table1[[#This Row],[balls scored low]]+Table1[[#This Row],[Auton Scored Low]]</f>
        <v>0</v>
      </c>
      <c r="AS427" s="50">
        <f>IF(Table1[[#This Row],[Control Panel Spun Time]]&gt;0,1,0)</f>
        <v>0</v>
      </c>
      <c r="AT427" s="20">
        <f>IF(Table1[[#This Row],[Control Panel Color Time]]&gt;0,1,0)</f>
        <v>0</v>
      </c>
    </row>
    <row r="428" spans="1:46" x14ac:dyDescent="0.25">
      <c r="A428"/>
      <c r="I428" s="8">
        <f>+Table1[[#This Row],[Auton ball picked up in our trench]]+Table1[[#This Row],[Auton Balls Picked Up in Mid]]+Table1[[#This Row],[Auton Balls Picked Up In Their Trench]]</f>
        <v>0</v>
      </c>
      <c r="J428" s="8">
        <f>+Table1[[#This Row],[Auton Scored High]]+Table1[[#This Row],[Auton Scored Low]]</f>
        <v>0</v>
      </c>
      <c r="K42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28" s="8">
        <f>Table1[[#This Row],[Balls Scored From Trench]]+Table1[[#This Row],[Balls Scored from Mid]]+Table1[[#This Row],[Balls Scored From Alliance zone]]</f>
        <v>0</v>
      </c>
      <c r="W428" s="8">
        <f>Table1[[#This Row],[balls scored high]]+Table1[[#This Row],[balls scored low]]</f>
        <v>0</v>
      </c>
      <c r="X428" s="8">
        <f>Table1[[#This Row],[Control Panel Spun Time]]+Table1[[#This Row],[Control Panel Color Time]]</f>
        <v>0</v>
      </c>
      <c r="Y428" s="8">
        <f>Table1[[#This Row],[Control Panels Spun]]+Table1[[#This Row],[Control Panel Color]]</f>
        <v>0</v>
      </c>
      <c r="Z42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28" s="17">
        <f>(Table1[[#This Row],[Climbed]]*weighting!$B$18)+(Table1[[#This Row],[Adjustable Climber]]*weighting!$B$19)+(Table1[[#This Row],[Lift other Robot]]*weighting!$B$20)+(Table1[[#This Row],[Balanced]]*weighting!$B$21)</f>
        <v>0</v>
      </c>
      <c r="AL428" s="8">
        <f>+Table1[[#This Row],[Endgame our score]]+Table1[[#This Row],[teleop our score]]+Table1[[#This Row],[auton our score]]</f>
        <v>0</v>
      </c>
      <c r="AM428" s="20">
        <f t="shared" si="18"/>
        <v>0</v>
      </c>
      <c r="AN428" s="20">
        <f t="shared" si="19"/>
        <v>0</v>
      </c>
      <c r="AO428" s="20">
        <f t="shared" si="20"/>
        <v>0</v>
      </c>
      <c r="AP428" s="20">
        <f>Table1[[#This Row],[balls scored]]+Table1[[#This Row],[auton balls scored]]</f>
        <v>0</v>
      </c>
      <c r="AQ428" s="20">
        <f>Table1[[#This Row],[balls scored high]]+Table1[[#This Row],[Auton Scored High]]</f>
        <v>0</v>
      </c>
      <c r="AR428" s="20">
        <f>Table1[[#This Row],[balls scored low]]+Table1[[#This Row],[Auton Scored Low]]</f>
        <v>0</v>
      </c>
      <c r="AS428" s="50">
        <f>IF(Table1[[#This Row],[Control Panel Spun Time]]&gt;0,1,0)</f>
        <v>0</v>
      </c>
      <c r="AT428" s="20">
        <f>IF(Table1[[#This Row],[Control Panel Color Time]]&gt;0,1,0)</f>
        <v>0</v>
      </c>
    </row>
    <row r="429" spans="1:46" s="2" customFormat="1" x14ac:dyDescent="0.25">
      <c r="A429"/>
      <c r="B429"/>
      <c r="C429"/>
      <c r="D429"/>
      <c r="E429"/>
      <c r="F429"/>
      <c r="G429"/>
      <c r="H429"/>
      <c r="I429" s="8">
        <f>+Table1[[#This Row],[Auton ball picked up in our trench]]+Table1[[#This Row],[Auton Balls Picked Up in Mid]]+Table1[[#This Row],[Auton Balls Picked Up In Their Trench]]</f>
        <v>0</v>
      </c>
      <c r="J429" s="8">
        <f>+Table1[[#This Row],[Auton Scored High]]+Table1[[#This Row],[Auton Scored Low]]</f>
        <v>0</v>
      </c>
      <c r="K42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29"/>
      <c r="M429"/>
      <c r="N429"/>
      <c r="O429"/>
      <c r="P429"/>
      <c r="Q429"/>
      <c r="R429"/>
      <c r="S429"/>
      <c r="T429"/>
      <c r="U429"/>
      <c r="V429" s="8">
        <f>Table1[[#This Row],[Balls Scored From Trench]]+Table1[[#This Row],[Balls Scored from Mid]]+Table1[[#This Row],[Balls Scored From Alliance zone]]</f>
        <v>0</v>
      </c>
      <c r="W429" s="8">
        <f>Table1[[#This Row],[balls scored high]]+Table1[[#This Row],[balls scored low]]</f>
        <v>0</v>
      </c>
      <c r="X429" s="8">
        <f>Table1[[#This Row],[Control Panel Spun Time]]+Table1[[#This Row],[Control Panel Color Time]]</f>
        <v>0</v>
      </c>
      <c r="Y429" s="8">
        <f>Table1[[#This Row],[Control Panels Spun]]+Table1[[#This Row],[Control Panel Color]]</f>
        <v>0</v>
      </c>
      <c r="Z42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29"/>
      <c r="AB429"/>
      <c r="AC429"/>
      <c r="AD429"/>
      <c r="AE429"/>
      <c r="AF429"/>
      <c r="AG429"/>
      <c r="AH429"/>
      <c r="AI429"/>
      <c r="AJ429"/>
      <c r="AK429" s="17">
        <f>(Table1[[#This Row],[Climbed]]*weighting!$B$18)+(Table1[[#This Row],[Adjustable Climber]]*weighting!$B$19)+(Table1[[#This Row],[Lift other Robot]]*weighting!$B$20)+(Table1[[#This Row],[Balanced]]*weighting!$B$21)</f>
        <v>0</v>
      </c>
      <c r="AL429" s="8">
        <f>+Table1[[#This Row],[Endgame our score]]+Table1[[#This Row],[teleop our score]]+Table1[[#This Row],[auton our score]]</f>
        <v>0</v>
      </c>
      <c r="AM429" s="20">
        <f t="shared" si="18"/>
        <v>0</v>
      </c>
      <c r="AN429" s="20">
        <f t="shared" si="19"/>
        <v>0</v>
      </c>
      <c r="AO429" s="20">
        <f t="shared" si="20"/>
        <v>0</v>
      </c>
      <c r="AP429" s="20">
        <f>Table1[[#This Row],[balls scored]]+Table1[[#This Row],[auton balls scored]]</f>
        <v>0</v>
      </c>
      <c r="AQ429" s="20">
        <f>Table1[[#This Row],[balls scored high]]+Table1[[#This Row],[Auton Scored High]]</f>
        <v>0</v>
      </c>
      <c r="AR429" s="20">
        <f>Table1[[#This Row],[balls scored low]]+Table1[[#This Row],[Auton Scored Low]]</f>
        <v>0</v>
      </c>
      <c r="AS429" s="50">
        <f>IF(Table1[[#This Row],[Control Panel Spun Time]]&gt;0,1,0)</f>
        <v>0</v>
      </c>
      <c r="AT429" s="20">
        <f>IF(Table1[[#This Row],[Control Panel Color Time]]&gt;0,1,0)</f>
        <v>0</v>
      </c>
    </row>
    <row r="430" spans="1:46" x14ac:dyDescent="0.25">
      <c r="A430"/>
      <c r="I430" s="8">
        <f>+Table1[[#This Row],[Auton ball picked up in our trench]]+Table1[[#This Row],[Auton Balls Picked Up in Mid]]+Table1[[#This Row],[Auton Balls Picked Up In Their Trench]]</f>
        <v>0</v>
      </c>
      <c r="J430" s="8">
        <f>+Table1[[#This Row],[Auton Scored High]]+Table1[[#This Row],[Auton Scored Low]]</f>
        <v>0</v>
      </c>
      <c r="K43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30" s="8">
        <f>Table1[[#This Row],[Balls Scored From Trench]]+Table1[[#This Row],[Balls Scored from Mid]]+Table1[[#This Row],[Balls Scored From Alliance zone]]</f>
        <v>0</v>
      </c>
      <c r="W430" s="8">
        <f>Table1[[#This Row],[balls scored high]]+Table1[[#This Row],[balls scored low]]</f>
        <v>0</v>
      </c>
      <c r="X430" s="8">
        <f>Table1[[#This Row],[Control Panel Spun Time]]+Table1[[#This Row],[Control Panel Color Time]]</f>
        <v>0</v>
      </c>
      <c r="Y430" s="8">
        <f>Table1[[#This Row],[Control Panels Spun]]+Table1[[#This Row],[Control Panel Color]]</f>
        <v>0</v>
      </c>
      <c r="Z43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30" s="17">
        <f>(Table1[[#This Row],[Climbed]]*weighting!$B$18)+(Table1[[#This Row],[Adjustable Climber]]*weighting!$B$19)+(Table1[[#This Row],[Lift other Robot]]*weighting!$B$20)+(Table1[[#This Row],[Balanced]]*weighting!$B$21)</f>
        <v>0</v>
      </c>
      <c r="AL430" s="8">
        <f>+Table1[[#This Row],[Endgame our score]]+Table1[[#This Row],[teleop our score]]+Table1[[#This Row],[auton our score]]</f>
        <v>0</v>
      </c>
      <c r="AM430" s="20">
        <f t="shared" si="18"/>
        <v>0</v>
      </c>
      <c r="AN430" s="20">
        <f t="shared" si="19"/>
        <v>0</v>
      </c>
      <c r="AO430" s="20">
        <f t="shared" si="20"/>
        <v>0</v>
      </c>
      <c r="AP430" s="20">
        <f>Table1[[#This Row],[balls scored]]+Table1[[#This Row],[auton balls scored]]</f>
        <v>0</v>
      </c>
      <c r="AQ430" s="20">
        <f>Table1[[#This Row],[balls scored high]]+Table1[[#This Row],[Auton Scored High]]</f>
        <v>0</v>
      </c>
      <c r="AR430" s="20">
        <f>Table1[[#This Row],[balls scored low]]+Table1[[#This Row],[Auton Scored Low]]</f>
        <v>0</v>
      </c>
      <c r="AS430" s="50">
        <f>IF(Table1[[#This Row],[Control Panel Spun Time]]&gt;0,1,0)</f>
        <v>0</v>
      </c>
      <c r="AT430" s="20">
        <f>IF(Table1[[#This Row],[Control Panel Color Time]]&gt;0,1,0)</f>
        <v>0</v>
      </c>
    </row>
    <row r="431" spans="1:46" s="2" customFormat="1" x14ac:dyDescent="0.25">
      <c r="A431"/>
      <c r="B431"/>
      <c r="C431"/>
      <c r="D431"/>
      <c r="E431"/>
      <c r="F431"/>
      <c r="G431"/>
      <c r="H431"/>
      <c r="I431" s="8">
        <f>+Table1[[#This Row],[Auton ball picked up in our trench]]+Table1[[#This Row],[Auton Balls Picked Up in Mid]]+Table1[[#This Row],[Auton Balls Picked Up In Their Trench]]</f>
        <v>0</v>
      </c>
      <c r="J431" s="8">
        <f>+Table1[[#This Row],[Auton Scored High]]+Table1[[#This Row],[Auton Scored Low]]</f>
        <v>0</v>
      </c>
      <c r="K43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31"/>
      <c r="M431"/>
      <c r="N431"/>
      <c r="O431"/>
      <c r="P431"/>
      <c r="Q431"/>
      <c r="R431"/>
      <c r="S431"/>
      <c r="T431"/>
      <c r="U431"/>
      <c r="V431" s="8">
        <f>Table1[[#This Row],[Balls Scored From Trench]]+Table1[[#This Row],[Balls Scored from Mid]]+Table1[[#This Row],[Balls Scored From Alliance zone]]</f>
        <v>0</v>
      </c>
      <c r="W431" s="8">
        <f>Table1[[#This Row],[balls scored high]]+Table1[[#This Row],[balls scored low]]</f>
        <v>0</v>
      </c>
      <c r="X431" s="8">
        <f>Table1[[#This Row],[Control Panel Spun Time]]+Table1[[#This Row],[Control Panel Color Time]]</f>
        <v>0</v>
      </c>
      <c r="Y431" s="8">
        <f>Table1[[#This Row],[Control Panels Spun]]+Table1[[#This Row],[Control Panel Color]]</f>
        <v>0</v>
      </c>
      <c r="Z43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31"/>
      <c r="AB431"/>
      <c r="AC431"/>
      <c r="AD431"/>
      <c r="AE431"/>
      <c r="AF431"/>
      <c r="AG431"/>
      <c r="AH431"/>
      <c r="AI431"/>
      <c r="AJ431"/>
      <c r="AK431" s="17">
        <f>(Table1[[#This Row],[Climbed]]*weighting!$B$18)+(Table1[[#This Row],[Adjustable Climber]]*weighting!$B$19)+(Table1[[#This Row],[Lift other Robot]]*weighting!$B$20)+(Table1[[#This Row],[Balanced]]*weighting!$B$21)</f>
        <v>0</v>
      </c>
      <c r="AL431" s="8">
        <f>+Table1[[#This Row],[Endgame our score]]+Table1[[#This Row],[teleop our score]]+Table1[[#This Row],[auton our score]]</f>
        <v>0</v>
      </c>
      <c r="AM431" s="20">
        <f t="shared" si="18"/>
        <v>0</v>
      </c>
      <c r="AN431" s="20">
        <f t="shared" si="19"/>
        <v>0</v>
      </c>
      <c r="AO431" s="20">
        <f t="shared" si="20"/>
        <v>0</v>
      </c>
      <c r="AP431" s="20">
        <f>Table1[[#This Row],[balls scored]]+Table1[[#This Row],[auton balls scored]]</f>
        <v>0</v>
      </c>
      <c r="AQ431" s="20">
        <f>Table1[[#This Row],[balls scored high]]+Table1[[#This Row],[Auton Scored High]]</f>
        <v>0</v>
      </c>
      <c r="AR431" s="20">
        <f>Table1[[#This Row],[balls scored low]]+Table1[[#This Row],[Auton Scored Low]]</f>
        <v>0</v>
      </c>
      <c r="AS431" s="50">
        <f>IF(Table1[[#This Row],[Control Panel Spun Time]]&gt;0,1,0)</f>
        <v>0</v>
      </c>
      <c r="AT431" s="20">
        <f>IF(Table1[[#This Row],[Control Panel Color Time]]&gt;0,1,0)</f>
        <v>0</v>
      </c>
    </row>
    <row r="432" spans="1:46" x14ac:dyDescent="0.25">
      <c r="A432"/>
      <c r="I432" s="8">
        <f>+Table1[[#This Row],[Auton ball picked up in our trench]]+Table1[[#This Row],[Auton Balls Picked Up in Mid]]+Table1[[#This Row],[Auton Balls Picked Up In Their Trench]]</f>
        <v>0</v>
      </c>
      <c r="J432" s="8">
        <f>+Table1[[#This Row],[Auton Scored High]]+Table1[[#This Row],[Auton Scored Low]]</f>
        <v>0</v>
      </c>
      <c r="K43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32" s="8">
        <f>Table1[[#This Row],[Balls Scored From Trench]]+Table1[[#This Row],[Balls Scored from Mid]]+Table1[[#This Row],[Balls Scored From Alliance zone]]</f>
        <v>0</v>
      </c>
      <c r="W432" s="8">
        <f>Table1[[#This Row],[balls scored high]]+Table1[[#This Row],[balls scored low]]</f>
        <v>0</v>
      </c>
      <c r="X432" s="8">
        <f>Table1[[#This Row],[Control Panel Spun Time]]+Table1[[#This Row],[Control Panel Color Time]]</f>
        <v>0</v>
      </c>
      <c r="Y432" s="8">
        <f>Table1[[#This Row],[Control Panels Spun]]+Table1[[#This Row],[Control Panel Color]]</f>
        <v>0</v>
      </c>
      <c r="Z43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32" s="17">
        <f>(Table1[[#This Row],[Climbed]]*weighting!$B$18)+(Table1[[#This Row],[Adjustable Climber]]*weighting!$B$19)+(Table1[[#This Row],[Lift other Robot]]*weighting!$B$20)+(Table1[[#This Row],[Balanced]]*weighting!$B$21)</f>
        <v>0</v>
      </c>
      <c r="AL432" s="8">
        <f>+Table1[[#This Row],[Endgame our score]]+Table1[[#This Row],[teleop our score]]+Table1[[#This Row],[auton our score]]</f>
        <v>0</v>
      </c>
      <c r="AM432" s="20">
        <f t="shared" si="18"/>
        <v>0</v>
      </c>
      <c r="AN432" s="20">
        <f t="shared" si="19"/>
        <v>0</v>
      </c>
      <c r="AO432" s="20">
        <f t="shared" si="20"/>
        <v>0</v>
      </c>
      <c r="AP432" s="20">
        <f>Table1[[#This Row],[balls scored]]+Table1[[#This Row],[auton balls scored]]</f>
        <v>0</v>
      </c>
      <c r="AQ432" s="20">
        <f>Table1[[#This Row],[balls scored high]]+Table1[[#This Row],[Auton Scored High]]</f>
        <v>0</v>
      </c>
      <c r="AR432" s="20">
        <f>Table1[[#This Row],[balls scored low]]+Table1[[#This Row],[Auton Scored Low]]</f>
        <v>0</v>
      </c>
      <c r="AS432" s="50">
        <f>IF(Table1[[#This Row],[Control Panel Spun Time]]&gt;0,1,0)</f>
        <v>0</v>
      </c>
      <c r="AT432" s="20">
        <f>IF(Table1[[#This Row],[Control Panel Color Time]]&gt;0,1,0)</f>
        <v>0</v>
      </c>
    </row>
    <row r="433" spans="1:46" s="2" customFormat="1" x14ac:dyDescent="0.25">
      <c r="A433"/>
      <c r="B433"/>
      <c r="C433"/>
      <c r="D433"/>
      <c r="E433"/>
      <c r="F433"/>
      <c r="G433"/>
      <c r="H433"/>
      <c r="I433" s="8">
        <f>+Table1[[#This Row],[Auton ball picked up in our trench]]+Table1[[#This Row],[Auton Balls Picked Up in Mid]]+Table1[[#This Row],[Auton Balls Picked Up In Their Trench]]</f>
        <v>0</v>
      </c>
      <c r="J433" s="8">
        <f>+Table1[[#This Row],[Auton Scored High]]+Table1[[#This Row],[Auton Scored Low]]</f>
        <v>0</v>
      </c>
      <c r="K43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33"/>
      <c r="M433"/>
      <c r="N433"/>
      <c r="O433"/>
      <c r="P433"/>
      <c r="Q433"/>
      <c r="R433"/>
      <c r="S433"/>
      <c r="T433"/>
      <c r="U433"/>
      <c r="V433" s="8">
        <f>Table1[[#This Row],[Balls Scored From Trench]]+Table1[[#This Row],[Balls Scored from Mid]]+Table1[[#This Row],[Balls Scored From Alliance zone]]</f>
        <v>0</v>
      </c>
      <c r="W433" s="8">
        <f>Table1[[#This Row],[balls scored high]]+Table1[[#This Row],[balls scored low]]</f>
        <v>0</v>
      </c>
      <c r="X433" s="8">
        <f>Table1[[#This Row],[Control Panel Spun Time]]+Table1[[#This Row],[Control Panel Color Time]]</f>
        <v>0</v>
      </c>
      <c r="Y433" s="8">
        <f>Table1[[#This Row],[Control Panels Spun]]+Table1[[#This Row],[Control Panel Color]]</f>
        <v>0</v>
      </c>
      <c r="Z43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33"/>
      <c r="AB433"/>
      <c r="AC433"/>
      <c r="AD433"/>
      <c r="AE433"/>
      <c r="AF433"/>
      <c r="AG433"/>
      <c r="AH433"/>
      <c r="AI433"/>
      <c r="AJ433"/>
      <c r="AK433" s="17">
        <f>(Table1[[#This Row],[Climbed]]*weighting!$B$18)+(Table1[[#This Row],[Adjustable Climber]]*weighting!$B$19)+(Table1[[#This Row],[Lift other Robot]]*weighting!$B$20)+(Table1[[#This Row],[Balanced]]*weighting!$B$21)</f>
        <v>0</v>
      </c>
      <c r="AL433" s="8">
        <f>+Table1[[#This Row],[Endgame our score]]+Table1[[#This Row],[teleop our score]]+Table1[[#This Row],[auton our score]]</f>
        <v>0</v>
      </c>
      <c r="AM433" s="20">
        <f t="shared" si="18"/>
        <v>0</v>
      </c>
      <c r="AN433" s="20">
        <f t="shared" si="19"/>
        <v>0</v>
      </c>
      <c r="AO433" s="20">
        <f t="shared" si="20"/>
        <v>0</v>
      </c>
      <c r="AP433" s="20">
        <f>Table1[[#This Row],[balls scored]]+Table1[[#This Row],[auton balls scored]]</f>
        <v>0</v>
      </c>
      <c r="AQ433" s="20">
        <f>Table1[[#This Row],[balls scored high]]+Table1[[#This Row],[Auton Scored High]]</f>
        <v>0</v>
      </c>
      <c r="AR433" s="20">
        <f>Table1[[#This Row],[balls scored low]]+Table1[[#This Row],[Auton Scored Low]]</f>
        <v>0</v>
      </c>
      <c r="AS433" s="50">
        <f>IF(Table1[[#This Row],[Control Panel Spun Time]]&gt;0,1,0)</f>
        <v>0</v>
      </c>
      <c r="AT433" s="20">
        <f>IF(Table1[[#This Row],[Control Panel Color Time]]&gt;0,1,0)</f>
        <v>0</v>
      </c>
    </row>
    <row r="434" spans="1:46" x14ac:dyDescent="0.25">
      <c r="A434"/>
      <c r="I434" s="8">
        <f>+Table1[[#This Row],[Auton ball picked up in our trench]]+Table1[[#This Row],[Auton Balls Picked Up in Mid]]+Table1[[#This Row],[Auton Balls Picked Up In Their Trench]]</f>
        <v>0</v>
      </c>
      <c r="J434" s="8">
        <f>+Table1[[#This Row],[Auton Scored High]]+Table1[[#This Row],[Auton Scored Low]]</f>
        <v>0</v>
      </c>
      <c r="K43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34" s="8">
        <f>Table1[[#This Row],[Balls Scored From Trench]]+Table1[[#This Row],[Balls Scored from Mid]]+Table1[[#This Row],[Balls Scored From Alliance zone]]</f>
        <v>0</v>
      </c>
      <c r="W434" s="8">
        <f>Table1[[#This Row],[balls scored high]]+Table1[[#This Row],[balls scored low]]</f>
        <v>0</v>
      </c>
      <c r="X434" s="8">
        <f>Table1[[#This Row],[Control Panel Spun Time]]+Table1[[#This Row],[Control Panel Color Time]]</f>
        <v>0</v>
      </c>
      <c r="Y434" s="8">
        <f>Table1[[#This Row],[Control Panels Spun]]+Table1[[#This Row],[Control Panel Color]]</f>
        <v>0</v>
      </c>
      <c r="Z43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34" s="17">
        <f>(Table1[[#This Row],[Climbed]]*weighting!$B$18)+(Table1[[#This Row],[Adjustable Climber]]*weighting!$B$19)+(Table1[[#This Row],[Lift other Robot]]*weighting!$B$20)+(Table1[[#This Row],[Balanced]]*weighting!$B$21)</f>
        <v>0</v>
      </c>
      <c r="AL434" s="8">
        <f>+Table1[[#This Row],[Endgame our score]]+Table1[[#This Row],[teleop our score]]+Table1[[#This Row],[auton our score]]</f>
        <v>0</v>
      </c>
      <c r="AM434" s="20">
        <f t="shared" si="18"/>
        <v>0</v>
      </c>
      <c r="AN434" s="20">
        <f t="shared" si="19"/>
        <v>0</v>
      </c>
      <c r="AO434" s="20">
        <f t="shared" si="20"/>
        <v>0</v>
      </c>
      <c r="AP434" s="20">
        <f>Table1[[#This Row],[balls scored]]+Table1[[#This Row],[auton balls scored]]</f>
        <v>0</v>
      </c>
      <c r="AQ434" s="20">
        <f>Table1[[#This Row],[balls scored high]]+Table1[[#This Row],[Auton Scored High]]</f>
        <v>0</v>
      </c>
      <c r="AR434" s="20">
        <f>Table1[[#This Row],[balls scored low]]+Table1[[#This Row],[Auton Scored Low]]</f>
        <v>0</v>
      </c>
      <c r="AS434" s="50">
        <f>IF(Table1[[#This Row],[Control Panel Spun Time]]&gt;0,1,0)</f>
        <v>0</v>
      </c>
      <c r="AT434" s="20">
        <f>IF(Table1[[#This Row],[Control Panel Color Time]]&gt;0,1,0)</f>
        <v>0</v>
      </c>
    </row>
    <row r="435" spans="1:46" s="2" customFormat="1" x14ac:dyDescent="0.25">
      <c r="A435"/>
      <c r="B435"/>
      <c r="C435"/>
      <c r="D435"/>
      <c r="E435"/>
      <c r="F435"/>
      <c r="G435"/>
      <c r="H435"/>
      <c r="I435" s="8">
        <f>+Table1[[#This Row],[Auton ball picked up in our trench]]+Table1[[#This Row],[Auton Balls Picked Up in Mid]]+Table1[[#This Row],[Auton Balls Picked Up In Their Trench]]</f>
        <v>0</v>
      </c>
      <c r="J435" s="8">
        <f>+Table1[[#This Row],[Auton Scored High]]+Table1[[#This Row],[Auton Scored Low]]</f>
        <v>0</v>
      </c>
      <c r="K43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35"/>
      <c r="M435"/>
      <c r="N435"/>
      <c r="O435"/>
      <c r="P435"/>
      <c r="Q435"/>
      <c r="R435"/>
      <c r="S435"/>
      <c r="T435"/>
      <c r="U435"/>
      <c r="V435" s="8">
        <f>Table1[[#This Row],[Balls Scored From Trench]]+Table1[[#This Row],[Balls Scored from Mid]]+Table1[[#This Row],[Balls Scored From Alliance zone]]</f>
        <v>0</v>
      </c>
      <c r="W435" s="8">
        <f>Table1[[#This Row],[balls scored high]]+Table1[[#This Row],[balls scored low]]</f>
        <v>0</v>
      </c>
      <c r="X435" s="8">
        <f>Table1[[#This Row],[Control Panel Spun Time]]+Table1[[#This Row],[Control Panel Color Time]]</f>
        <v>0</v>
      </c>
      <c r="Y435" s="8">
        <f>Table1[[#This Row],[Control Panels Spun]]+Table1[[#This Row],[Control Panel Color]]</f>
        <v>0</v>
      </c>
      <c r="Z43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35"/>
      <c r="AB435"/>
      <c r="AC435"/>
      <c r="AD435"/>
      <c r="AE435"/>
      <c r="AF435"/>
      <c r="AG435"/>
      <c r="AH435"/>
      <c r="AI435"/>
      <c r="AJ435"/>
      <c r="AK435" s="17">
        <f>(Table1[[#This Row],[Climbed]]*weighting!$B$18)+(Table1[[#This Row],[Adjustable Climber]]*weighting!$B$19)+(Table1[[#This Row],[Lift other Robot]]*weighting!$B$20)+(Table1[[#This Row],[Balanced]]*weighting!$B$21)</f>
        <v>0</v>
      </c>
      <c r="AL435" s="8">
        <f>+Table1[[#This Row],[Endgame our score]]+Table1[[#This Row],[teleop our score]]+Table1[[#This Row],[auton our score]]</f>
        <v>0</v>
      </c>
      <c r="AM435" s="20">
        <f t="shared" si="18"/>
        <v>0</v>
      </c>
      <c r="AN435" s="20">
        <f t="shared" si="19"/>
        <v>0</v>
      </c>
      <c r="AO435" s="20">
        <f t="shared" si="20"/>
        <v>0</v>
      </c>
      <c r="AP435" s="20">
        <f>Table1[[#This Row],[balls scored]]+Table1[[#This Row],[auton balls scored]]</f>
        <v>0</v>
      </c>
      <c r="AQ435" s="20">
        <f>Table1[[#This Row],[balls scored high]]+Table1[[#This Row],[Auton Scored High]]</f>
        <v>0</v>
      </c>
      <c r="AR435" s="20">
        <f>Table1[[#This Row],[balls scored low]]+Table1[[#This Row],[Auton Scored Low]]</f>
        <v>0</v>
      </c>
      <c r="AS435" s="50">
        <f>IF(Table1[[#This Row],[Control Panel Spun Time]]&gt;0,1,0)</f>
        <v>0</v>
      </c>
      <c r="AT435" s="20">
        <f>IF(Table1[[#This Row],[Control Panel Color Time]]&gt;0,1,0)</f>
        <v>0</v>
      </c>
    </row>
    <row r="436" spans="1:46" x14ac:dyDescent="0.25">
      <c r="A436"/>
      <c r="I436" s="8">
        <f>+Table1[[#This Row],[Auton ball picked up in our trench]]+Table1[[#This Row],[Auton Balls Picked Up in Mid]]+Table1[[#This Row],[Auton Balls Picked Up In Their Trench]]</f>
        <v>0</v>
      </c>
      <c r="J436" s="8">
        <f>+Table1[[#This Row],[Auton Scored High]]+Table1[[#This Row],[Auton Scored Low]]</f>
        <v>0</v>
      </c>
      <c r="K43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36" s="8">
        <f>Table1[[#This Row],[Balls Scored From Trench]]+Table1[[#This Row],[Balls Scored from Mid]]+Table1[[#This Row],[Balls Scored From Alliance zone]]</f>
        <v>0</v>
      </c>
      <c r="W436" s="8">
        <f>Table1[[#This Row],[balls scored high]]+Table1[[#This Row],[balls scored low]]</f>
        <v>0</v>
      </c>
      <c r="X436" s="8">
        <f>Table1[[#This Row],[Control Panel Spun Time]]+Table1[[#This Row],[Control Panel Color Time]]</f>
        <v>0</v>
      </c>
      <c r="Y436" s="8">
        <f>Table1[[#This Row],[Control Panels Spun]]+Table1[[#This Row],[Control Panel Color]]</f>
        <v>0</v>
      </c>
      <c r="Z43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36" s="17">
        <f>(Table1[[#This Row],[Climbed]]*weighting!$B$18)+(Table1[[#This Row],[Adjustable Climber]]*weighting!$B$19)+(Table1[[#This Row],[Lift other Robot]]*weighting!$B$20)+(Table1[[#This Row],[Balanced]]*weighting!$B$21)</f>
        <v>0</v>
      </c>
      <c r="AL436" s="8">
        <f>+Table1[[#This Row],[Endgame our score]]+Table1[[#This Row],[teleop our score]]+Table1[[#This Row],[auton our score]]</f>
        <v>0</v>
      </c>
      <c r="AM436" s="20">
        <f t="shared" si="18"/>
        <v>0</v>
      </c>
      <c r="AN436" s="20">
        <f t="shared" si="19"/>
        <v>0</v>
      </c>
      <c r="AO436" s="20">
        <f t="shared" si="20"/>
        <v>0</v>
      </c>
      <c r="AP436" s="20">
        <f>Table1[[#This Row],[balls scored]]+Table1[[#This Row],[auton balls scored]]</f>
        <v>0</v>
      </c>
      <c r="AQ436" s="20">
        <f>Table1[[#This Row],[balls scored high]]+Table1[[#This Row],[Auton Scored High]]</f>
        <v>0</v>
      </c>
      <c r="AR436" s="20">
        <f>Table1[[#This Row],[balls scored low]]+Table1[[#This Row],[Auton Scored Low]]</f>
        <v>0</v>
      </c>
      <c r="AS436" s="50">
        <f>IF(Table1[[#This Row],[Control Panel Spun Time]]&gt;0,1,0)</f>
        <v>0</v>
      </c>
      <c r="AT436" s="20">
        <f>IF(Table1[[#This Row],[Control Panel Color Time]]&gt;0,1,0)</f>
        <v>0</v>
      </c>
    </row>
    <row r="437" spans="1:46" s="2" customFormat="1" x14ac:dyDescent="0.25">
      <c r="A437"/>
      <c r="B437"/>
      <c r="C437"/>
      <c r="D437"/>
      <c r="E437"/>
      <c r="F437"/>
      <c r="G437"/>
      <c r="H437"/>
      <c r="I437" s="8">
        <f>+Table1[[#This Row],[Auton ball picked up in our trench]]+Table1[[#This Row],[Auton Balls Picked Up in Mid]]+Table1[[#This Row],[Auton Balls Picked Up In Their Trench]]</f>
        <v>0</v>
      </c>
      <c r="J437" s="8">
        <f>+Table1[[#This Row],[Auton Scored High]]+Table1[[#This Row],[Auton Scored Low]]</f>
        <v>0</v>
      </c>
      <c r="K43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37"/>
      <c r="M437"/>
      <c r="N437"/>
      <c r="O437"/>
      <c r="P437"/>
      <c r="Q437"/>
      <c r="R437"/>
      <c r="S437"/>
      <c r="T437"/>
      <c r="U437"/>
      <c r="V437" s="8">
        <f>Table1[[#This Row],[Balls Scored From Trench]]+Table1[[#This Row],[Balls Scored from Mid]]+Table1[[#This Row],[Balls Scored From Alliance zone]]</f>
        <v>0</v>
      </c>
      <c r="W437" s="8">
        <f>Table1[[#This Row],[balls scored high]]+Table1[[#This Row],[balls scored low]]</f>
        <v>0</v>
      </c>
      <c r="X437" s="8">
        <f>Table1[[#This Row],[Control Panel Spun Time]]+Table1[[#This Row],[Control Panel Color Time]]</f>
        <v>0</v>
      </c>
      <c r="Y437" s="8">
        <f>Table1[[#This Row],[Control Panels Spun]]+Table1[[#This Row],[Control Panel Color]]</f>
        <v>0</v>
      </c>
      <c r="Z43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37"/>
      <c r="AB437"/>
      <c r="AC437"/>
      <c r="AD437"/>
      <c r="AE437"/>
      <c r="AF437"/>
      <c r="AG437"/>
      <c r="AH437"/>
      <c r="AI437"/>
      <c r="AJ437"/>
      <c r="AK437" s="17">
        <f>(Table1[[#This Row],[Climbed]]*weighting!$B$18)+(Table1[[#This Row],[Adjustable Climber]]*weighting!$B$19)+(Table1[[#This Row],[Lift other Robot]]*weighting!$B$20)+(Table1[[#This Row],[Balanced]]*weighting!$B$21)</f>
        <v>0</v>
      </c>
      <c r="AL437" s="8">
        <f>+Table1[[#This Row],[Endgame our score]]+Table1[[#This Row],[teleop our score]]+Table1[[#This Row],[auton our score]]</f>
        <v>0</v>
      </c>
      <c r="AM437" s="20">
        <f t="shared" si="18"/>
        <v>0</v>
      </c>
      <c r="AN437" s="20">
        <f t="shared" si="19"/>
        <v>0</v>
      </c>
      <c r="AO437" s="20">
        <f t="shared" si="20"/>
        <v>0</v>
      </c>
      <c r="AP437" s="20">
        <f>Table1[[#This Row],[balls scored]]+Table1[[#This Row],[auton balls scored]]</f>
        <v>0</v>
      </c>
      <c r="AQ437" s="20">
        <f>Table1[[#This Row],[balls scored high]]+Table1[[#This Row],[Auton Scored High]]</f>
        <v>0</v>
      </c>
      <c r="AR437" s="20">
        <f>Table1[[#This Row],[balls scored low]]+Table1[[#This Row],[Auton Scored Low]]</f>
        <v>0</v>
      </c>
      <c r="AS437" s="50">
        <f>IF(Table1[[#This Row],[Control Panel Spun Time]]&gt;0,1,0)</f>
        <v>0</v>
      </c>
      <c r="AT437" s="20">
        <f>IF(Table1[[#This Row],[Control Panel Color Time]]&gt;0,1,0)</f>
        <v>0</v>
      </c>
    </row>
    <row r="438" spans="1:46" x14ac:dyDescent="0.25">
      <c r="A438"/>
      <c r="I438" s="8">
        <f>+Table1[[#This Row],[Auton ball picked up in our trench]]+Table1[[#This Row],[Auton Balls Picked Up in Mid]]+Table1[[#This Row],[Auton Balls Picked Up In Their Trench]]</f>
        <v>0</v>
      </c>
      <c r="J438" s="8">
        <f>+Table1[[#This Row],[Auton Scored High]]+Table1[[#This Row],[Auton Scored Low]]</f>
        <v>0</v>
      </c>
      <c r="K43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38" s="8">
        <f>Table1[[#This Row],[Balls Scored From Trench]]+Table1[[#This Row],[Balls Scored from Mid]]+Table1[[#This Row],[Balls Scored From Alliance zone]]</f>
        <v>0</v>
      </c>
      <c r="W438" s="8">
        <f>Table1[[#This Row],[balls scored high]]+Table1[[#This Row],[balls scored low]]</f>
        <v>0</v>
      </c>
      <c r="X438" s="8">
        <f>Table1[[#This Row],[Control Panel Spun Time]]+Table1[[#This Row],[Control Panel Color Time]]</f>
        <v>0</v>
      </c>
      <c r="Y438" s="8">
        <f>Table1[[#This Row],[Control Panels Spun]]+Table1[[#This Row],[Control Panel Color]]</f>
        <v>0</v>
      </c>
      <c r="Z43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38" s="17">
        <f>(Table1[[#This Row],[Climbed]]*weighting!$B$18)+(Table1[[#This Row],[Adjustable Climber]]*weighting!$B$19)+(Table1[[#This Row],[Lift other Robot]]*weighting!$B$20)+(Table1[[#This Row],[Balanced]]*weighting!$B$21)</f>
        <v>0</v>
      </c>
      <c r="AL438" s="8">
        <f>+Table1[[#This Row],[Endgame our score]]+Table1[[#This Row],[teleop our score]]+Table1[[#This Row],[auton our score]]</f>
        <v>0</v>
      </c>
      <c r="AM438" s="20">
        <f t="shared" si="18"/>
        <v>0</v>
      </c>
      <c r="AN438" s="20">
        <f t="shared" si="19"/>
        <v>0</v>
      </c>
      <c r="AO438" s="20">
        <f t="shared" si="20"/>
        <v>0</v>
      </c>
      <c r="AP438" s="20">
        <f>Table1[[#This Row],[balls scored]]+Table1[[#This Row],[auton balls scored]]</f>
        <v>0</v>
      </c>
      <c r="AQ438" s="20">
        <f>Table1[[#This Row],[balls scored high]]+Table1[[#This Row],[Auton Scored High]]</f>
        <v>0</v>
      </c>
      <c r="AR438" s="20">
        <f>Table1[[#This Row],[balls scored low]]+Table1[[#This Row],[Auton Scored Low]]</f>
        <v>0</v>
      </c>
      <c r="AS438" s="50">
        <f>IF(Table1[[#This Row],[Control Panel Spun Time]]&gt;0,1,0)</f>
        <v>0</v>
      </c>
      <c r="AT438" s="20">
        <f>IF(Table1[[#This Row],[Control Panel Color Time]]&gt;0,1,0)</f>
        <v>0</v>
      </c>
    </row>
    <row r="439" spans="1:46" s="2" customFormat="1" x14ac:dyDescent="0.25">
      <c r="A439"/>
      <c r="B439"/>
      <c r="C439"/>
      <c r="D439"/>
      <c r="E439"/>
      <c r="F439"/>
      <c r="G439"/>
      <c r="H439"/>
      <c r="I439" s="8">
        <f>+Table1[[#This Row],[Auton ball picked up in our trench]]+Table1[[#This Row],[Auton Balls Picked Up in Mid]]+Table1[[#This Row],[Auton Balls Picked Up In Their Trench]]</f>
        <v>0</v>
      </c>
      <c r="J439" s="8">
        <f>+Table1[[#This Row],[Auton Scored High]]+Table1[[#This Row],[Auton Scored Low]]</f>
        <v>0</v>
      </c>
      <c r="K43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39"/>
      <c r="M439"/>
      <c r="N439"/>
      <c r="O439"/>
      <c r="P439"/>
      <c r="Q439"/>
      <c r="R439"/>
      <c r="S439"/>
      <c r="T439"/>
      <c r="U439"/>
      <c r="V439" s="8">
        <f>Table1[[#This Row],[Balls Scored From Trench]]+Table1[[#This Row],[Balls Scored from Mid]]+Table1[[#This Row],[Balls Scored From Alliance zone]]</f>
        <v>0</v>
      </c>
      <c r="W439" s="8">
        <f>Table1[[#This Row],[balls scored high]]+Table1[[#This Row],[balls scored low]]</f>
        <v>0</v>
      </c>
      <c r="X439" s="8">
        <f>Table1[[#This Row],[Control Panel Spun Time]]+Table1[[#This Row],[Control Panel Color Time]]</f>
        <v>0</v>
      </c>
      <c r="Y439" s="8">
        <f>Table1[[#This Row],[Control Panels Spun]]+Table1[[#This Row],[Control Panel Color]]</f>
        <v>0</v>
      </c>
      <c r="Z43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39"/>
      <c r="AB439"/>
      <c r="AC439"/>
      <c r="AD439"/>
      <c r="AE439"/>
      <c r="AF439"/>
      <c r="AG439"/>
      <c r="AH439"/>
      <c r="AI439"/>
      <c r="AJ439"/>
      <c r="AK439" s="17">
        <f>(Table1[[#This Row],[Climbed]]*weighting!$B$18)+(Table1[[#This Row],[Adjustable Climber]]*weighting!$B$19)+(Table1[[#This Row],[Lift other Robot]]*weighting!$B$20)+(Table1[[#This Row],[Balanced]]*weighting!$B$21)</f>
        <v>0</v>
      </c>
      <c r="AL439" s="8">
        <f>+Table1[[#This Row],[Endgame our score]]+Table1[[#This Row],[teleop our score]]+Table1[[#This Row],[auton our score]]</f>
        <v>0</v>
      </c>
      <c r="AM439" s="20">
        <f t="shared" si="18"/>
        <v>0</v>
      </c>
      <c r="AN439" s="20">
        <f t="shared" si="19"/>
        <v>0</v>
      </c>
      <c r="AO439" s="20">
        <f t="shared" si="20"/>
        <v>0</v>
      </c>
      <c r="AP439" s="20">
        <f>Table1[[#This Row],[balls scored]]+Table1[[#This Row],[auton balls scored]]</f>
        <v>0</v>
      </c>
      <c r="AQ439" s="20">
        <f>Table1[[#This Row],[balls scored high]]+Table1[[#This Row],[Auton Scored High]]</f>
        <v>0</v>
      </c>
      <c r="AR439" s="20">
        <f>Table1[[#This Row],[balls scored low]]+Table1[[#This Row],[Auton Scored Low]]</f>
        <v>0</v>
      </c>
      <c r="AS439" s="50">
        <f>IF(Table1[[#This Row],[Control Panel Spun Time]]&gt;0,1,0)</f>
        <v>0</v>
      </c>
      <c r="AT439" s="20">
        <f>IF(Table1[[#This Row],[Control Panel Color Time]]&gt;0,1,0)</f>
        <v>0</v>
      </c>
    </row>
    <row r="440" spans="1:46" x14ac:dyDescent="0.25">
      <c r="A440"/>
      <c r="I440" s="8">
        <f>+Table1[[#This Row],[Auton ball picked up in our trench]]+Table1[[#This Row],[Auton Balls Picked Up in Mid]]+Table1[[#This Row],[Auton Balls Picked Up In Their Trench]]</f>
        <v>0</v>
      </c>
      <c r="J440" s="8">
        <f>+Table1[[#This Row],[Auton Scored High]]+Table1[[#This Row],[Auton Scored Low]]</f>
        <v>0</v>
      </c>
      <c r="K44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40" s="8">
        <f>Table1[[#This Row],[Balls Scored From Trench]]+Table1[[#This Row],[Balls Scored from Mid]]+Table1[[#This Row],[Balls Scored From Alliance zone]]</f>
        <v>0</v>
      </c>
      <c r="W440" s="8">
        <f>Table1[[#This Row],[balls scored high]]+Table1[[#This Row],[balls scored low]]</f>
        <v>0</v>
      </c>
      <c r="X440" s="8">
        <f>Table1[[#This Row],[Control Panel Spun Time]]+Table1[[#This Row],[Control Panel Color Time]]</f>
        <v>0</v>
      </c>
      <c r="Y440" s="8">
        <f>Table1[[#This Row],[Control Panels Spun]]+Table1[[#This Row],[Control Panel Color]]</f>
        <v>0</v>
      </c>
      <c r="Z44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40" s="17">
        <f>(Table1[[#This Row],[Climbed]]*weighting!$B$18)+(Table1[[#This Row],[Adjustable Climber]]*weighting!$B$19)+(Table1[[#This Row],[Lift other Robot]]*weighting!$B$20)+(Table1[[#This Row],[Balanced]]*weighting!$B$21)</f>
        <v>0</v>
      </c>
      <c r="AL440" s="8">
        <f>+Table1[[#This Row],[Endgame our score]]+Table1[[#This Row],[teleop our score]]+Table1[[#This Row],[auton our score]]</f>
        <v>0</v>
      </c>
      <c r="AM440" s="20">
        <f t="shared" si="18"/>
        <v>0</v>
      </c>
      <c r="AN440" s="20">
        <f t="shared" si="19"/>
        <v>0</v>
      </c>
      <c r="AO440" s="20">
        <f t="shared" si="20"/>
        <v>0</v>
      </c>
      <c r="AP440" s="20">
        <f>Table1[[#This Row],[balls scored]]+Table1[[#This Row],[auton balls scored]]</f>
        <v>0</v>
      </c>
      <c r="AQ440" s="20">
        <f>Table1[[#This Row],[balls scored high]]+Table1[[#This Row],[Auton Scored High]]</f>
        <v>0</v>
      </c>
      <c r="AR440" s="20">
        <f>Table1[[#This Row],[balls scored low]]+Table1[[#This Row],[Auton Scored Low]]</f>
        <v>0</v>
      </c>
      <c r="AS440" s="50">
        <f>IF(Table1[[#This Row],[Control Panel Spun Time]]&gt;0,1,0)</f>
        <v>0</v>
      </c>
      <c r="AT440" s="20">
        <f>IF(Table1[[#This Row],[Control Panel Color Time]]&gt;0,1,0)</f>
        <v>0</v>
      </c>
    </row>
    <row r="441" spans="1:46" s="2" customFormat="1" x14ac:dyDescent="0.25">
      <c r="A441"/>
      <c r="B441"/>
      <c r="C441"/>
      <c r="D441"/>
      <c r="E441"/>
      <c r="F441"/>
      <c r="G441"/>
      <c r="H441"/>
      <c r="I441" s="8">
        <f>+Table1[[#This Row],[Auton ball picked up in our trench]]+Table1[[#This Row],[Auton Balls Picked Up in Mid]]+Table1[[#This Row],[Auton Balls Picked Up In Their Trench]]</f>
        <v>0</v>
      </c>
      <c r="J441" s="8">
        <f>+Table1[[#This Row],[Auton Scored High]]+Table1[[#This Row],[Auton Scored Low]]</f>
        <v>0</v>
      </c>
      <c r="K44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41"/>
      <c r="M441"/>
      <c r="N441"/>
      <c r="O441"/>
      <c r="P441"/>
      <c r="Q441"/>
      <c r="R441"/>
      <c r="S441"/>
      <c r="T441"/>
      <c r="U441"/>
      <c r="V441" s="8">
        <f>Table1[[#This Row],[Balls Scored From Trench]]+Table1[[#This Row],[Balls Scored from Mid]]+Table1[[#This Row],[Balls Scored From Alliance zone]]</f>
        <v>0</v>
      </c>
      <c r="W441" s="8">
        <f>Table1[[#This Row],[balls scored high]]+Table1[[#This Row],[balls scored low]]</f>
        <v>0</v>
      </c>
      <c r="X441" s="8">
        <f>Table1[[#This Row],[Control Panel Spun Time]]+Table1[[#This Row],[Control Panel Color Time]]</f>
        <v>0</v>
      </c>
      <c r="Y441" s="8">
        <f>Table1[[#This Row],[Control Panels Spun]]+Table1[[#This Row],[Control Panel Color]]</f>
        <v>0</v>
      </c>
      <c r="Z44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41"/>
      <c r="AB441"/>
      <c r="AC441"/>
      <c r="AD441"/>
      <c r="AE441"/>
      <c r="AF441"/>
      <c r="AG441"/>
      <c r="AH441"/>
      <c r="AI441"/>
      <c r="AJ441"/>
      <c r="AK441" s="17">
        <f>(Table1[[#This Row],[Climbed]]*weighting!$B$18)+(Table1[[#This Row],[Adjustable Climber]]*weighting!$B$19)+(Table1[[#This Row],[Lift other Robot]]*weighting!$B$20)+(Table1[[#This Row],[Balanced]]*weighting!$B$21)</f>
        <v>0</v>
      </c>
      <c r="AL441" s="8">
        <f>+Table1[[#This Row],[Endgame our score]]+Table1[[#This Row],[teleop our score]]+Table1[[#This Row],[auton our score]]</f>
        <v>0</v>
      </c>
      <c r="AM441" s="20">
        <f t="shared" si="18"/>
        <v>0</v>
      </c>
      <c r="AN441" s="20">
        <f t="shared" si="19"/>
        <v>0</v>
      </c>
      <c r="AO441" s="20">
        <f t="shared" si="20"/>
        <v>0</v>
      </c>
      <c r="AP441" s="20">
        <f>Table1[[#This Row],[balls scored]]+Table1[[#This Row],[auton balls scored]]</f>
        <v>0</v>
      </c>
      <c r="AQ441" s="20">
        <f>Table1[[#This Row],[balls scored high]]+Table1[[#This Row],[Auton Scored High]]</f>
        <v>0</v>
      </c>
      <c r="AR441" s="20">
        <f>Table1[[#This Row],[balls scored low]]+Table1[[#This Row],[Auton Scored Low]]</f>
        <v>0</v>
      </c>
      <c r="AS441" s="50">
        <f>IF(Table1[[#This Row],[Control Panel Spun Time]]&gt;0,1,0)</f>
        <v>0</v>
      </c>
      <c r="AT441" s="20">
        <f>IF(Table1[[#This Row],[Control Panel Color Time]]&gt;0,1,0)</f>
        <v>0</v>
      </c>
    </row>
    <row r="442" spans="1:46" x14ac:dyDescent="0.25">
      <c r="A442"/>
      <c r="I442" s="8">
        <f>+Table1[[#This Row],[Auton ball picked up in our trench]]+Table1[[#This Row],[Auton Balls Picked Up in Mid]]+Table1[[#This Row],[Auton Balls Picked Up In Their Trench]]</f>
        <v>0</v>
      </c>
      <c r="J442" s="8">
        <f>+Table1[[#This Row],[Auton Scored High]]+Table1[[#This Row],[Auton Scored Low]]</f>
        <v>0</v>
      </c>
      <c r="K44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42" s="8">
        <f>Table1[[#This Row],[Balls Scored From Trench]]+Table1[[#This Row],[Balls Scored from Mid]]+Table1[[#This Row],[Balls Scored From Alliance zone]]</f>
        <v>0</v>
      </c>
      <c r="W442" s="8">
        <f>Table1[[#This Row],[balls scored high]]+Table1[[#This Row],[balls scored low]]</f>
        <v>0</v>
      </c>
      <c r="X442" s="8">
        <f>Table1[[#This Row],[Control Panel Spun Time]]+Table1[[#This Row],[Control Panel Color Time]]</f>
        <v>0</v>
      </c>
      <c r="Y442" s="8">
        <f>Table1[[#This Row],[Control Panels Spun]]+Table1[[#This Row],[Control Panel Color]]</f>
        <v>0</v>
      </c>
      <c r="Z44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42" s="17">
        <f>(Table1[[#This Row],[Climbed]]*weighting!$B$18)+(Table1[[#This Row],[Adjustable Climber]]*weighting!$B$19)+(Table1[[#This Row],[Lift other Robot]]*weighting!$B$20)+(Table1[[#This Row],[Balanced]]*weighting!$B$21)</f>
        <v>0</v>
      </c>
      <c r="AL442" s="8">
        <f>+Table1[[#This Row],[Endgame our score]]+Table1[[#This Row],[teleop our score]]+Table1[[#This Row],[auton our score]]</f>
        <v>0</v>
      </c>
      <c r="AM442" s="20">
        <f t="shared" si="18"/>
        <v>0</v>
      </c>
      <c r="AN442" s="20">
        <f t="shared" si="19"/>
        <v>0</v>
      </c>
      <c r="AO442" s="20">
        <f t="shared" si="20"/>
        <v>0</v>
      </c>
      <c r="AP442" s="20">
        <f>Table1[[#This Row],[balls scored]]+Table1[[#This Row],[auton balls scored]]</f>
        <v>0</v>
      </c>
      <c r="AQ442" s="20">
        <f>Table1[[#This Row],[balls scored high]]+Table1[[#This Row],[Auton Scored High]]</f>
        <v>0</v>
      </c>
      <c r="AR442" s="20">
        <f>Table1[[#This Row],[balls scored low]]+Table1[[#This Row],[Auton Scored Low]]</f>
        <v>0</v>
      </c>
      <c r="AS442" s="50">
        <f>IF(Table1[[#This Row],[Control Panel Spun Time]]&gt;0,1,0)</f>
        <v>0</v>
      </c>
      <c r="AT442" s="20">
        <f>IF(Table1[[#This Row],[Control Panel Color Time]]&gt;0,1,0)</f>
        <v>0</v>
      </c>
    </row>
    <row r="443" spans="1:46" s="2" customFormat="1" x14ac:dyDescent="0.25">
      <c r="A443"/>
      <c r="B443"/>
      <c r="C443"/>
      <c r="D443"/>
      <c r="E443"/>
      <c r="F443"/>
      <c r="G443"/>
      <c r="H443"/>
      <c r="I443" s="8">
        <f>+Table1[[#This Row],[Auton ball picked up in our trench]]+Table1[[#This Row],[Auton Balls Picked Up in Mid]]+Table1[[#This Row],[Auton Balls Picked Up In Their Trench]]</f>
        <v>0</v>
      </c>
      <c r="J443" s="8">
        <f>+Table1[[#This Row],[Auton Scored High]]+Table1[[#This Row],[Auton Scored Low]]</f>
        <v>0</v>
      </c>
      <c r="K44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43"/>
      <c r="M443"/>
      <c r="N443"/>
      <c r="O443"/>
      <c r="P443"/>
      <c r="Q443"/>
      <c r="R443"/>
      <c r="S443"/>
      <c r="T443"/>
      <c r="U443"/>
      <c r="V443" s="8">
        <f>Table1[[#This Row],[Balls Scored From Trench]]+Table1[[#This Row],[Balls Scored from Mid]]+Table1[[#This Row],[Balls Scored From Alliance zone]]</f>
        <v>0</v>
      </c>
      <c r="W443" s="8">
        <f>Table1[[#This Row],[balls scored high]]+Table1[[#This Row],[balls scored low]]</f>
        <v>0</v>
      </c>
      <c r="X443" s="8">
        <f>Table1[[#This Row],[Control Panel Spun Time]]+Table1[[#This Row],[Control Panel Color Time]]</f>
        <v>0</v>
      </c>
      <c r="Y443" s="8">
        <f>Table1[[#This Row],[Control Panels Spun]]+Table1[[#This Row],[Control Panel Color]]</f>
        <v>0</v>
      </c>
      <c r="Z44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43"/>
      <c r="AB443"/>
      <c r="AC443"/>
      <c r="AD443"/>
      <c r="AE443"/>
      <c r="AF443"/>
      <c r="AG443"/>
      <c r="AH443"/>
      <c r="AI443"/>
      <c r="AJ443"/>
      <c r="AK443" s="17">
        <f>(Table1[[#This Row],[Climbed]]*weighting!$B$18)+(Table1[[#This Row],[Adjustable Climber]]*weighting!$B$19)+(Table1[[#This Row],[Lift other Robot]]*weighting!$B$20)+(Table1[[#This Row],[Balanced]]*weighting!$B$21)</f>
        <v>0</v>
      </c>
      <c r="AL443" s="8">
        <f>+Table1[[#This Row],[Endgame our score]]+Table1[[#This Row],[teleop our score]]+Table1[[#This Row],[auton our score]]</f>
        <v>0</v>
      </c>
      <c r="AM443" s="20">
        <f t="shared" si="18"/>
        <v>0</v>
      </c>
      <c r="AN443" s="20">
        <f t="shared" si="19"/>
        <v>0</v>
      </c>
      <c r="AO443" s="20">
        <f t="shared" si="20"/>
        <v>0</v>
      </c>
      <c r="AP443" s="20">
        <f>Table1[[#This Row],[balls scored]]+Table1[[#This Row],[auton balls scored]]</f>
        <v>0</v>
      </c>
      <c r="AQ443" s="20">
        <f>Table1[[#This Row],[balls scored high]]+Table1[[#This Row],[Auton Scored High]]</f>
        <v>0</v>
      </c>
      <c r="AR443" s="20">
        <f>Table1[[#This Row],[balls scored low]]+Table1[[#This Row],[Auton Scored Low]]</f>
        <v>0</v>
      </c>
      <c r="AS443" s="50">
        <f>IF(Table1[[#This Row],[Control Panel Spun Time]]&gt;0,1,0)</f>
        <v>0</v>
      </c>
      <c r="AT443" s="20">
        <f>IF(Table1[[#This Row],[Control Panel Color Time]]&gt;0,1,0)</f>
        <v>0</v>
      </c>
    </row>
    <row r="444" spans="1:46" x14ac:dyDescent="0.25">
      <c r="A444"/>
      <c r="I444" s="8">
        <f>+Table1[[#This Row],[Auton ball picked up in our trench]]+Table1[[#This Row],[Auton Balls Picked Up in Mid]]+Table1[[#This Row],[Auton Balls Picked Up In Their Trench]]</f>
        <v>0</v>
      </c>
      <c r="J444" s="8">
        <f>+Table1[[#This Row],[Auton Scored High]]+Table1[[#This Row],[Auton Scored Low]]</f>
        <v>0</v>
      </c>
      <c r="K44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44" s="8">
        <f>Table1[[#This Row],[Balls Scored From Trench]]+Table1[[#This Row],[Balls Scored from Mid]]+Table1[[#This Row],[Balls Scored From Alliance zone]]</f>
        <v>0</v>
      </c>
      <c r="W444" s="8">
        <f>Table1[[#This Row],[balls scored high]]+Table1[[#This Row],[balls scored low]]</f>
        <v>0</v>
      </c>
      <c r="X444" s="8">
        <f>Table1[[#This Row],[Control Panel Spun Time]]+Table1[[#This Row],[Control Panel Color Time]]</f>
        <v>0</v>
      </c>
      <c r="Y444" s="8">
        <f>Table1[[#This Row],[Control Panels Spun]]+Table1[[#This Row],[Control Panel Color]]</f>
        <v>0</v>
      </c>
      <c r="Z44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44" s="17">
        <f>(Table1[[#This Row],[Climbed]]*weighting!$B$18)+(Table1[[#This Row],[Adjustable Climber]]*weighting!$B$19)+(Table1[[#This Row],[Lift other Robot]]*weighting!$B$20)+(Table1[[#This Row],[Balanced]]*weighting!$B$21)</f>
        <v>0</v>
      </c>
      <c r="AL444" s="8">
        <f>+Table1[[#This Row],[Endgame our score]]+Table1[[#This Row],[teleop our score]]+Table1[[#This Row],[auton our score]]</f>
        <v>0</v>
      </c>
      <c r="AM444" s="20">
        <f t="shared" si="18"/>
        <v>0</v>
      </c>
      <c r="AN444" s="20">
        <f t="shared" si="19"/>
        <v>0</v>
      </c>
      <c r="AO444" s="20">
        <f t="shared" si="20"/>
        <v>0</v>
      </c>
      <c r="AP444" s="20">
        <f>Table1[[#This Row],[balls scored]]+Table1[[#This Row],[auton balls scored]]</f>
        <v>0</v>
      </c>
      <c r="AQ444" s="20">
        <f>Table1[[#This Row],[balls scored high]]+Table1[[#This Row],[Auton Scored High]]</f>
        <v>0</v>
      </c>
      <c r="AR444" s="20">
        <f>Table1[[#This Row],[balls scored low]]+Table1[[#This Row],[Auton Scored Low]]</f>
        <v>0</v>
      </c>
      <c r="AS444" s="50">
        <f>IF(Table1[[#This Row],[Control Panel Spun Time]]&gt;0,1,0)</f>
        <v>0</v>
      </c>
      <c r="AT444" s="20">
        <f>IF(Table1[[#This Row],[Control Panel Color Time]]&gt;0,1,0)</f>
        <v>0</v>
      </c>
    </row>
    <row r="445" spans="1:46" s="2" customFormat="1" x14ac:dyDescent="0.25">
      <c r="A445"/>
      <c r="B445"/>
      <c r="C445"/>
      <c r="D445"/>
      <c r="E445"/>
      <c r="F445"/>
      <c r="G445"/>
      <c r="H445"/>
      <c r="I445" s="8">
        <f>+Table1[[#This Row],[Auton ball picked up in our trench]]+Table1[[#This Row],[Auton Balls Picked Up in Mid]]+Table1[[#This Row],[Auton Balls Picked Up In Their Trench]]</f>
        <v>0</v>
      </c>
      <c r="J445" s="8">
        <f>+Table1[[#This Row],[Auton Scored High]]+Table1[[#This Row],[Auton Scored Low]]</f>
        <v>0</v>
      </c>
      <c r="K44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45"/>
      <c r="M445"/>
      <c r="N445"/>
      <c r="O445"/>
      <c r="P445"/>
      <c r="Q445"/>
      <c r="R445"/>
      <c r="S445"/>
      <c r="T445"/>
      <c r="U445"/>
      <c r="V445" s="8">
        <f>Table1[[#This Row],[Balls Scored From Trench]]+Table1[[#This Row],[Balls Scored from Mid]]+Table1[[#This Row],[Balls Scored From Alliance zone]]</f>
        <v>0</v>
      </c>
      <c r="W445" s="8">
        <f>Table1[[#This Row],[balls scored high]]+Table1[[#This Row],[balls scored low]]</f>
        <v>0</v>
      </c>
      <c r="X445" s="8">
        <f>Table1[[#This Row],[Control Panel Spun Time]]+Table1[[#This Row],[Control Panel Color Time]]</f>
        <v>0</v>
      </c>
      <c r="Y445" s="8">
        <f>Table1[[#This Row],[Control Panels Spun]]+Table1[[#This Row],[Control Panel Color]]</f>
        <v>0</v>
      </c>
      <c r="Z44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45"/>
      <c r="AB445"/>
      <c r="AC445"/>
      <c r="AD445"/>
      <c r="AE445"/>
      <c r="AF445"/>
      <c r="AG445"/>
      <c r="AH445"/>
      <c r="AI445"/>
      <c r="AJ445"/>
      <c r="AK445" s="17">
        <f>(Table1[[#This Row],[Climbed]]*weighting!$B$18)+(Table1[[#This Row],[Adjustable Climber]]*weighting!$B$19)+(Table1[[#This Row],[Lift other Robot]]*weighting!$B$20)+(Table1[[#This Row],[Balanced]]*weighting!$B$21)</f>
        <v>0</v>
      </c>
      <c r="AL445" s="8">
        <f>+Table1[[#This Row],[Endgame our score]]+Table1[[#This Row],[teleop our score]]+Table1[[#This Row],[auton our score]]</f>
        <v>0</v>
      </c>
      <c r="AM445" s="20">
        <f t="shared" si="18"/>
        <v>0</v>
      </c>
      <c r="AN445" s="20">
        <f t="shared" si="19"/>
        <v>0</v>
      </c>
      <c r="AO445" s="20">
        <f t="shared" si="20"/>
        <v>0</v>
      </c>
      <c r="AP445" s="20">
        <f>Table1[[#This Row],[balls scored]]+Table1[[#This Row],[auton balls scored]]</f>
        <v>0</v>
      </c>
      <c r="AQ445" s="20">
        <f>Table1[[#This Row],[balls scored high]]+Table1[[#This Row],[Auton Scored High]]</f>
        <v>0</v>
      </c>
      <c r="AR445" s="20">
        <f>Table1[[#This Row],[balls scored low]]+Table1[[#This Row],[Auton Scored Low]]</f>
        <v>0</v>
      </c>
      <c r="AS445" s="50">
        <f>IF(Table1[[#This Row],[Control Panel Spun Time]]&gt;0,1,0)</f>
        <v>0</v>
      </c>
      <c r="AT445" s="20">
        <f>IF(Table1[[#This Row],[Control Panel Color Time]]&gt;0,1,0)</f>
        <v>0</v>
      </c>
    </row>
    <row r="446" spans="1:46" x14ac:dyDescent="0.25">
      <c r="A446"/>
      <c r="I446" s="8">
        <f>+Table1[[#This Row],[Auton ball picked up in our trench]]+Table1[[#This Row],[Auton Balls Picked Up in Mid]]+Table1[[#This Row],[Auton Balls Picked Up In Their Trench]]</f>
        <v>0</v>
      </c>
      <c r="J446" s="8">
        <f>+Table1[[#This Row],[Auton Scored High]]+Table1[[#This Row],[Auton Scored Low]]</f>
        <v>0</v>
      </c>
      <c r="K44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46" s="8">
        <f>Table1[[#This Row],[Balls Scored From Trench]]+Table1[[#This Row],[Balls Scored from Mid]]+Table1[[#This Row],[Balls Scored From Alliance zone]]</f>
        <v>0</v>
      </c>
      <c r="W446" s="8">
        <f>Table1[[#This Row],[balls scored high]]+Table1[[#This Row],[balls scored low]]</f>
        <v>0</v>
      </c>
      <c r="X446" s="8">
        <f>Table1[[#This Row],[Control Panel Spun Time]]+Table1[[#This Row],[Control Panel Color Time]]</f>
        <v>0</v>
      </c>
      <c r="Y446" s="8">
        <f>Table1[[#This Row],[Control Panels Spun]]+Table1[[#This Row],[Control Panel Color]]</f>
        <v>0</v>
      </c>
      <c r="Z44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46" s="17">
        <f>(Table1[[#This Row],[Climbed]]*weighting!$B$18)+(Table1[[#This Row],[Adjustable Climber]]*weighting!$B$19)+(Table1[[#This Row],[Lift other Robot]]*weighting!$B$20)+(Table1[[#This Row],[Balanced]]*weighting!$B$21)</f>
        <v>0</v>
      </c>
      <c r="AL446" s="8">
        <f>+Table1[[#This Row],[Endgame our score]]+Table1[[#This Row],[teleop our score]]+Table1[[#This Row],[auton our score]]</f>
        <v>0</v>
      </c>
      <c r="AM446" s="20">
        <f t="shared" si="18"/>
        <v>0</v>
      </c>
      <c r="AN446" s="20">
        <f t="shared" si="19"/>
        <v>0</v>
      </c>
      <c r="AO446" s="20">
        <f t="shared" si="20"/>
        <v>0</v>
      </c>
      <c r="AP446" s="20">
        <f>Table1[[#This Row],[balls scored]]+Table1[[#This Row],[auton balls scored]]</f>
        <v>0</v>
      </c>
      <c r="AQ446" s="20">
        <f>Table1[[#This Row],[balls scored high]]+Table1[[#This Row],[Auton Scored High]]</f>
        <v>0</v>
      </c>
      <c r="AR446" s="20">
        <f>Table1[[#This Row],[balls scored low]]+Table1[[#This Row],[Auton Scored Low]]</f>
        <v>0</v>
      </c>
      <c r="AS446" s="50">
        <f>IF(Table1[[#This Row],[Control Panel Spun Time]]&gt;0,1,0)</f>
        <v>0</v>
      </c>
      <c r="AT446" s="20">
        <f>IF(Table1[[#This Row],[Control Panel Color Time]]&gt;0,1,0)</f>
        <v>0</v>
      </c>
    </row>
    <row r="447" spans="1:46" s="2" customFormat="1" x14ac:dyDescent="0.25">
      <c r="A447"/>
      <c r="B447"/>
      <c r="C447"/>
      <c r="D447"/>
      <c r="E447"/>
      <c r="F447"/>
      <c r="G447"/>
      <c r="H447"/>
      <c r="I447" s="8">
        <f>+Table1[[#This Row],[Auton ball picked up in our trench]]+Table1[[#This Row],[Auton Balls Picked Up in Mid]]+Table1[[#This Row],[Auton Balls Picked Up In Their Trench]]</f>
        <v>0</v>
      </c>
      <c r="J447" s="8">
        <f>+Table1[[#This Row],[Auton Scored High]]+Table1[[#This Row],[Auton Scored Low]]</f>
        <v>0</v>
      </c>
      <c r="K44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47"/>
      <c r="M447"/>
      <c r="N447"/>
      <c r="O447"/>
      <c r="P447"/>
      <c r="Q447"/>
      <c r="R447"/>
      <c r="S447"/>
      <c r="T447"/>
      <c r="U447"/>
      <c r="V447" s="8">
        <f>Table1[[#This Row],[Balls Scored From Trench]]+Table1[[#This Row],[Balls Scored from Mid]]+Table1[[#This Row],[Balls Scored From Alliance zone]]</f>
        <v>0</v>
      </c>
      <c r="W447" s="8">
        <f>Table1[[#This Row],[balls scored high]]+Table1[[#This Row],[balls scored low]]</f>
        <v>0</v>
      </c>
      <c r="X447" s="8">
        <f>Table1[[#This Row],[Control Panel Spun Time]]+Table1[[#This Row],[Control Panel Color Time]]</f>
        <v>0</v>
      </c>
      <c r="Y447" s="8">
        <f>Table1[[#This Row],[Control Panels Spun]]+Table1[[#This Row],[Control Panel Color]]</f>
        <v>0</v>
      </c>
      <c r="Z44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47"/>
      <c r="AB447"/>
      <c r="AC447"/>
      <c r="AD447"/>
      <c r="AE447"/>
      <c r="AF447"/>
      <c r="AG447"/>
      <c r="AH447"/>
      <c r="AI447"/>
      <c r="AJ447"/>
      <c r="AK447" s="17">
        <f>(Table1[[#This Row],[Climbed]]*weighting!$B$18)+(Table1[[#This Row],[Adjustable Climber]]*weighting!$B$19)+(Table1[[#This Row],[Lift other Robot]]*weighting!$B$20)+(Table1[[#This Row],[Balanced]]*weighting!$B$21)</f>
        <v>0</v>
      </c>
      <c r="AL447" s="8">
        <f>+Table1[[#This Row],[Endgame our score]]+Table1[[#This Row],[teleop our score]]+Table1[[#This Row],[auton our score]]</f>
        <v>0</v>
      </c>
      <c r="AM447" s="20">
        <f t="shared" si="18"/>
        <v>0</v>
      </c>
      <c r="AN447" s="20">
        <f t="shared" si="19"/>
        <v>0</v>
      </c>
      <c r="AO447" s="20">
        <f t="shared" si="20"/>
        <v>0</v>
      </c>
      <c r="AP447" s="20">
        <f>Table1[[#This Row],[balls scored]]+Table1[[#This Row],[auton balls scored]]</f>
        <v>0</v>
      </c>
      <c r="AQ447" s="20">
        <f>Table1[[#This Row],[balls scored high]]+Table1[[#This Row],[Auton Scored High]]</f>
        <v>0</v>
      </c>
      <c r="AR447" s="20">
        <f>Table1[[#This Row],[balls scored low]]+Table1[[#This Row],[Auton Scored Low]]</f>
        <v>0</v>
      </c>
      <c r="AS447" s="50">
        <f>IF(Table1[[#This Row],[Control Panel Spun Time]]&gt;0,1,0)</f>
        <v>0</v>
      </c>
      <c r="AT447" s="20">
        <f>IF(Table1[[#This Row],[Control Panel Color Time]]&gt;0,1,0)</f>
        <v>0</v>
      </c>
    </row>
    <row r="448" spans="1:46" x14ac:dyDescent="0.25">
      <c r="A448"/>
      <c r="I448" s="8">
        <f>+Table1[[#This Row],[Auton ball picked up in our trench]]+Table1[[#This Row],[Auton Balls Picked Up in Mid]]+Table1[[#This Row],[Auton Balls Picked Up In Their Trench]]</f>
        <v>0</v>
      </c>
      <c r="J448" s="8">
        <f>+Table1[[#This Row],[Auton Scored High]]+Table1[[#This Row],[Auton Scored Low]]</f>
        <v>0</v>
      </c>
      <c r="K44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48" s="8">
        <f>Table1[[#This Row],[Balls Scored From Trench]]+Table1[[#This Row],[Balls Scored from Mid]]+Table1[[#This Row],[Balls Scored From Alliance zone]]</f>
        <v>0</v>
      </c>
      <c r="W448" s="8">
        <f>Table1[[#This Row],[balls scored high]]+Table1[[#This Row],[balls scored low]]</f>
        <v>0</v>
      </c>
      <c r="X448" s="8">
        <f>Table1[[#This Row],[Control Panel Spun Time]]+Table1[[#This Row],[Control Panel Color Time]]</f>
        <v>0</v>
      </c>
      <c r="Y448" s="8">
        <f>Table1[[#This Row],[Control Panels Spun]]+Table1[[#This Row],[Control Panel Color]]</f>
        <v>0</v>
      </c>
      <c r="Z44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48" s="17">
        <f>(Table1[[#This Row],[Climbed]]*weighting!$B$18)+(Table1[[#This Row],[Adjustable Climber]]*weighting!$B$19)+(Table1[[#This Row],[Lift other Robot]]*weighting!$B$20)+(Table1[[#This Row],[Balanced]]*weighting!$B$21)</f>
        <v>0</v>
      </c>
      <c r="AL448" s="8">
        <f>+Table1[[#This Row],[Endgame our score]]+Table1[[#This Row],[teleop our score]]+Table1[[#This Row],[auton our score]]</f>
        <v>0</v>
      </c>
      <c r="AM448" s="20">
        <f t="shared" si="18"/>
        <v>0</v>
      </c>
      <c r="AN448" s="20">
        <f t="shared" si="19"/>
        <v>0</v>
      </c>
      <c r="AO448" s="20">
        <f t="shared" si="20"/>
        <v>0</v>
      </c>
      <c r="AP448" s="20">
        <f>Table1[[#This Row],[balls scored]]+Table1[[#This Row],[auton balls scored]]</f>
        <v>0</v>
      </c>
      <c r="AQ448" s="20">
        <f>Table1[[#This Row],[balls scored high]]+Table1[[#This Row],[Auton Scored High]]</f>
        <v>0</v>
      </c>
      <c r="AR448" s="20">
        <f>Table1[[#This Row],[balls scored low]]+Table1[[#This Row],[Auton Scored Low]]</f>
        <v>0</v>
      </c>
      <c r="AS448" s="50">
        <f>IF(Table1[[#This Row],[Control Panel Spun Time]]&gt;0,1,0)</f>
        <v>0</v>
      </c>
      <c r="AT448" s="20">
        <f>IF(Table1[[#This Row],[Control Panel Color Time]]&gt;0,1,0)</f>
        <v>0</v>
      </c>
    </row>
    <row r="449" spans="1:46" s="2" customFormat="1" x14ac:dyDescent="0.25">
      <c r="A449"/>
      <c r="B449"/>
      <c r="C449"/>
      <c r="D449"/>
      <c r="E449"/>
      <c r="F449"/>
      <c r="G449"/>
      <c r="H449"/>
      <c r="I449" s="8">
        <f>+Table1[[#This Row],[Auton ball picked up in our trench]]+Table1[[#This Row],[Auton Balls Picked Up in Mid]]+Table1[[#This Row],[Auton Balls Picked Up In Their Trench]]</f>
        <v>0</v>
      </c>
      <c r="J449" s="8">
        <f>+Table1[[#This Row],[Auton Scored High]]+Table1[[#This Row],[Auton Scored Low]]</f>
        <v>0</v>
      </c>
      <c r="K44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49"/>
      <c r="M449"/>
      <c r="N449"/>
      <c r="O449"/>
      <c r="P449"/>
      <c r="Q449"/>
      <c r="R449"/>
      <c r="S449"/>
      <c r="T449"/>
      <c r="U449"/>
      <c r="V449" s="8">
        <f>Table1[[#This Row],[Balls Scored From Trench]]+Table1[[#This Row],[Balls Scored from Mid]]+Table1[[#This Row],[Balls Scored From Alliance zone]]</f>
        <v>0</v>
      </c>
      <c r="W449" s="8">
        <f>Table1[[#This Row],[balls scored high]]+Table1[[#This Row],[balls scored low]]</f>
        <v>0</v>
      </c>
      <c r="X449" s="8">
        <f>Table1[[#This Row],[Control Panel Spun Time]]+Table1[[#This Row],[Control Panel Color Time]]</f>
        <v>0</v>
      </c>
      <c r="Y449" s="8">
        <f>Table1[[#This Row],[Control Panels Spun]]+Table1[[#This Row],[Control Panel Color]]</f>
        <v>0</v>
      </c>
      <c r="Z44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49"/>
      <c r="AB449"/>
      <c r="AC449"/>
      <c r="AD449"/>
      <c r="AE449"/>
      <c r="AF449"/>
      <c r="AG449"/>
      <c r="AH449"/>
      <c r="AI449"/>
      <c r="AJ449"/>
      <c r="AK449" s="17">
        <f>(Table1[[#This Row],[Climbed]]*weighting!$B$18)+(Table1[[#This Row],[Adjustable Climber]]*weighting!$B$19)+(Table1[[#This Row],[Lift other Robot]]*weighting!$B$20)+(Table1[[#This Row],[Balanced]]*weighting!$B$21)</f>
        <v>0</v>
      </c>
      <c r="AL449" s="8">
        <f>+Table1[[#This Row],[Endgame our score]]+Table1[[#This Row],[teleop our score]]+Table1[[#This Row],[auton our score]]</f>
        <v>0</v>
      </c>
      <c r="AM449" s="20">
        <f t="shared" si="18"/>
        <v>0</v>
      </c>
      <c r="AN449" s="20">
        <f t="shared" si="19"/>
        <v>0</v>
      </c>
      <c r="AO449" s="20">
        <f t="shared" si="20"/>
        <v>0</v>
      </c>
      <c r="AP449" s="20">
        <f>Table1[[#This Row],[balls scored]]+Table1[[#This Row],[auton balls scored]]</f>
        <v>0</v>
      </c>
      <c r="AQ449" s="20">
        <f>Table1[[#This Row],[balls scored high]]+Table1[[#This Row],[Auton Scored High]]</f>
        <v>0</v>
      </c>
      <c r="AR449" s="20">
        <f>Table1[[#This Row],[balls scored low]]+Table1[[#This Row],[Auton Scored Low]]</f>
        <v>0</v>
      </c>
      <c r="AS449" s="50">
        <f>IF(Table1[[#This Row],[Control Panel Spun Time]]&gt;0,1,0)</f>
        <v>0</v>
      </c>
      <c r="AT449" s="20">
        <f>IF(Table1[[#This Row],[Control Panel Color Time]]&gt;0,1,0)</f>
        <v>0</v>
      </c>
    </row>
    <row r="450" spans="1:46" x14ac:dyDescent="0.25">
      <c r="A450"/>
      <c r="I450" s="8">
        <f>+Table1[[#This Row],[Auton ball picked up in our trench]]+Table1[[#This Row],[Auton Balls Picked Up in Mid]]+Table1[[#This Row],[Auton Balls Picked Up In Their Trench]]</f>
        <v>0</v>
      </c>
      <c r="J450" s="8">
        <f>+Table1[[#This Row],[Auton Scored High]]+Table1[[#This Row],[Auton Scored Low]]</f>
        <v>0</v>
      </c>
      <c r="K45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50" s="8">
        <f>Table1[[#This Row],[Balls Scored From Trench]]+Table1[[#This Row],[Balls Scored from Mid]]+Table1[[#This Row],[Balls Scored From Alliance zone]]</f>
        <v>0</v>
      </c>
      <c r="W450" s="8">
        <f>Table1[[#This Row],[balls scored high]]+Table1[[#This Row],[balls scored low]]</f>
        <v>0</v>
      </c>
      <c r="X450" s="8">
        <f>Table1[[#This Row],[Control Panel Spun Time]]+Table1[[#This Row],[Control Panel Color Time]]</f>
        <v>0</v>
      </c>
      <c r="Y450" s="8">
        <f>Table1[[#This Row],[Control Panels Spun]]+Table1[[#This Row],[Control Panel Color]]</f>
        <v>0</v>
      </c>
      <c r="Z45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50" s="17">
        <f>(Table1[[#This Row],[Climbed]]*weighting!$B$18)+(Table1[[#This Row],[Adjustable Climber]]*weighting!$B$19)+(Table1[[#This Row],[Lift other Robot]]*weighting!$B$20)+(Table1[[#This Row],[Balanced]]*weighting!$B$21)</f>
        <v>0</v>
      </c>
      <c r="AL450" s="8">
        <f>+Table1[[#This Row],[Endgame our score]]+Table1[[#This Row],[teleop our score]]+Table1[[#This Row],[auton our score]]</f>
        <v>0</v>
      </c>
      <c r="AM450" s="20">
        <f t="shared" ref="AM450:AM513" si="21">IF(B450=1,1,0)</f>
        <v>0</v>
      </c>
      <c r="AN450" s="20">
        <f t="shared" ref="AN450:AN513" si="22">IF(B450=2,1,0)</f>
        <v>0</v>
      </c>
      <c r="AO450" s="20">
        <f t="shared" ref="AO450:AO513" si="23">IF(B450=3,1,0)</f>
        <v>0</v>
      </c>
      <c r="AP450" s="20">
        <f>Table1[[#This Row],[balls scored]]+Table1[[#This Row],[auton balls scored]]</f>
        <v>0</v>
      </c>
      <c r="AQ450" s="20">
        <f>Table1[[#This Row],[balls scored high]]+Table1[[#This Row],[Auton Scored High]]</f>
        <v>0</v>
      </c>
      <c r="AR450" s="20">
        <f>Table1[[#This Row],[balls scored low]]+Table1[[#This Row],[Auton Scored Low]]</f>
        <v>0</v>
      </c>
      <c r="AS450" s="50">
        <f>IF(Table1[[#This Row],[Control Panel Spun Time]]&gt;0,1,0)</f>
        <v>0</v>
      </c>
      <c r="AT450" s="20">
        <f>IF(Table1[[#This Row],[Control Panel Color Time]]&gt;0,1,0)</f>
        <v>0</v>
      </c>
    </row>
    <row r="451" spans="1:46" s="2" customFormat="1" x14ac:dyDescent="0.25">
      <c r="A451"/>
      <c r="B451"/>
      <c r="C451"/>
      <c r="D451"/>
      <c r="E451"/>
      <c r="F451"/>
      <c r="G451"/>
      <c r="H451"/>
      <c r="I451" s="8">
        <f>+Table1[[#This Row],[Auton ball picked up in our trench]]+Table1[[#This Row],[Auton Balls Picked Up in Mid]]+Table1[[#This Row],[Auton Balls Picked Up In Their Trench]]</f>
        <v>0</v>
      </c>
      <c r="J451" s="8">
        <f>+Table1[[#This Row],[Auton Scored High]]+Table1[[#This Row],[Auton Scored Low]]</f>
        <v>0</v>
      </c>
      <c r="K45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51"/>
      <c r="M451"/>
      <c r="N451"/>
      <c r="O451"/>
      <c r="P451"/>
      <c r="Q451"/>
      <c r="R451"/>
      <c r="S451"/>
      <c r="T451"/>
      <c r="U451"/>
      <c r="V451" s="8">
        <f>Table1[[#This Row],[Balls Scored From Trench]]+Table1[[#This Row],[Balls Scored from Mid]]+Table1[[#This Row],[Balls Scored From Alliance zone]]</f>
        <v>0</v>
      </c>
      <c r="W451" s="8">
        <f>Table1[[#This Row],[balls scored high]]+Table1[[#This Row],[balls scored low]]</f>
        <v>0</v>
      </c>
      <c r="X451" s="8">
        <f>Table1[[#This Row],[Control Panel Spun Time]]+Table1[[#This Row],[Control Panel Color Time]]</f>
        <v>0</v>
      </c>
      <c r="Y451" s="8">
        <f>Table1[[#This Row],[Control Panels Spun]]+Table1[[#This Row],[Control Panel Color]]</f>
        <v>0</v>
      </c>
      <c r="Z45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51"/>
      <c r="AB451"/>
      <c r="AC451"/>
      <c r="AD451"/>
      <c r="AE451"/>
      <c r="AF451"/>
      <c r="AG451"/>
      <c r="AH451"/>
      <c r="AI451"/>
      <c r="AJ451"/>
      <c r="AK451" s="17">
        <f>(Table1[[#This Row],[Climbed]]*weighting!$B$18)+(Table1[[#This Row],[Adjustable Climber]]*weighting!$B$19)+(Table1[[#This Row],[Lift other Robot]]*weighting!$B$20)+(Table1[[#This Row],[Balanced]]*weighting!$B$21)</f>
        <v>0</v>
      </c>
      <c r="AL451" s="8">
        <f>+Table1[[#This Row],[Endgame our score]]+Table1[[#This Row],[teleop our score]]+Table1[[#This Row],[auton our score]]</f>
        <v>0</v>
      </c>
      <c r="AM451" s="20">
        <f t="shared" si="21"/>
        <v>0</v>
      </c>
      <c r="AN451" s="20">
        <f t="shared" si="22"/>
        <v>0</v>
      </c>
      <c r="AO451" s="20">
        <f t="shared" si="23"/>
        <v>0</v>
      </c>
      <c r="AP451" s="20">
        <f>Table1[[#This Row],[balls scored]]+Table1[[#This Row],[auton balls scored]]</f>
        <v>0</v>
      </c>
      <c r="AQ451" s="20">
        <f>Table1[[#This Row],[balls scored high]]+Table1[[#This Row],[Auton Scored High]]</f>
        <v>0</v>
      </c>
      <c r="AR451" s="20">
        <f>Table1[[#This Row],[balls scored low]]+Table1[[#This Row],[Auton Scored Low]]</f>
        <v>0</v>
      </c>
      <c r="AS451" s="50">
        <f>IF(Table1[[#This Row],[Control Panel Spun Time]]&gt;0,1,0)</f>
        <v>0</v>
      </c>
      <c r="AT451" s="20">
        <f>IF(Table1[[#This Row],[Control Panel Color Time]]&gt;0,1,0)</f>
        <v>0</v>
      </c>
    </row>
    <row r="452" spans="1:46" x14ac:dyDescent="0.25">
      <c r="A452"/>
      <c r="I452" s="8">
        <f>+Table1[[#This Row],[Auton ball picked up in our trench]]+Table1[[#This Row],[Auton Balls Picked Up in Mid]]+Table1[[#This Row],[Auton Balls Picked Up In Their Trench]]</f>
        <v>0</v>
      </c>
      <c r="J452" s="8">
        <f>+Table1[[#This Row],[Auton Scored High]]+Table1[[#This Row],[Auton Scored Low]]</f>
        <v>0</v>
      </c>
      <c r="K45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52" s="8">
        <f>Table1[[#This Row],[Balls Scored From Trench]]+Table1[[#This Row],[Balls Scored from Mid]]+Table1[[#This Row],[Balls Scored From Alliance zone]]</f>
        <v>0</v>
      </c>
      <c r="W452" s="8">
        <f>Table1[[#This Row],[balls scored high]]+Table1[[#This Row],[balls scored low]]</f>
        <v>0</v>
      </c>
      <c r="X452" s="8">
        <f>Table1[[#This Row],[Control Panel Spun Time]]+Table1[[#This Row],[Control Panel Color Time]]</f>
        <v>0</v>
      </c>
      <c r="Y452" s="8">
        <f>Table1[[#This Row],[Control Panels Spun]]+Table1[[#This Row],[Control Panel Color]]</f>
        <v>0</v>
      </c>
      <c r="Z45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52" s="17">
        <f>(Table1[[#This Row],[Climbed]]*weighting!$B$18)+(Table1[[#This Row],[Adjustable Climber]]*weighting!$B$19)+(Table1[[#This Row],[Lift other Robot]]*weighting!$B$20)+(Table1[[#This Row],[Balanced]]*weighting!$B$21)</f>
        <v>0</v>
      </c>
      <c r="AL452" s="8">
        <f>+Table1[[#This Row],[Endgame our score]]+Table1[[#This Row],[teleop our score]]+Table1[[#This Row],[auton our score]]</f>
        <v>0</v>
      </c>
      <c r="AM452" s="20">
        <f t="shared" si="21"/>
        <v>0</v>
      </c>
      <c r="AN452" s="20">
        <f t="shared" si="22"/>
        <v>0</v>
      </c>
      <c r="AO452" s="20">
        <f t="shared" si="23"/>
        <v>0</v>
      </c>
      <c r="AP452" s="20">
        <f>Table1[[#This Row],[balls scored]]+Table1[[#This Row],[auton balls scored]]</f>
        <v>0</v>
      </c>
      <c r="AQ452" s="20">
        <f>Table1[[#This Row],[balls scored high]]+Table1[[#This Row],[Auton Scored High]]</f>
        <v>0</v>
      </c>
      <c r="AR452" s="20">
        <f>Table1[[#This Row],[balls scored low]]+Table1[[#This Row],[Auton Scored Low]]</f>
        <v>0</v>
      </c>
      <c r="AS452" s="50">
        <f>IF(Table1[[#This Row],[Control Panel Spun Time]]&gt;0,1,0)</f>
        <v>0</v>
      </c>
      <c r="AT452" s="20">
        <f>IF(Table1[[#This Row],[Control Panel Color Time]]&gt;0,1,0)</f>
        <v>0</v>
      </c>
    </row>
    <row r="453" spans="1:46" s="2" customFormat="1" x14ac:dyDescent="0.25">
      <c r="A453"/>
      <c r="B453"/>
      <c r="C453"/>
      <c r="D453"/>
      <c r="E453"/>
      <c r="F453"/>
      <c r="G453"/>
      <c r="H453"/>
      <c r="I453" s="8">
        <f>+Table1[[#This Row],[Auton ball picked up in our trench]]+Table1[[#This Row],[Auton Balls Picked Up in Mid]]+Table1[[#This Row],[Auton Balls Picked Up In Their Trench]]</f>
        <v>0</v>
      </c>
      <c r="J453" s="8">
        <f>+Table1[[#This Row],[Auton Scored High]]+Table1[[#This Row],[Auton Scored Low]]</f>
        <v>0</v>
      </c>
      <c r="K45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53"/>
      <c r="M453"/>
      <c r="N453"/>
      <c r="O453"/>
      <c r="P453"/>
      <c r="Q453"/>
      <c r="R453"/>
      <c r="S453"/>
      <c r="T453"/>
      <c r="U453"/>
      <c r="V453" s="8">
        <f>Table1[[#This Row],[Balls Scored From Trench]]+Table1[[#This Row],[Balls Scored from Mid]]+Table1[[#This Row],[Balls Scored From Alliance zone]]</f>
        <v>0</v>
      </c>
      <c r="W453" s="8">
        <f>Table1[[#This Row],[balls scored high]]+Table1[[#This Row],[balls scored low]]</f>
        <v>0</v>
      </c>
      <c r="X453" s="8">
        <f>Table1[[#This Row],[Control Panel Spun Time]]+Table1[[#This Row],[Control Panel Color Time]]</f>
        <v>0</v>
      </c>
      <c r="Y453" s="8">
        <f>Table1[[#This Row],[Control Panels Spun]]+Table1[[#This Row],[Control Panel Color]]</f>
        <v>0</v>
      </c>
      <c r="Z45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53"/>
      <c r="AB453"/>
      <c r="AC453"/>
      <c r="AD453"/>
      <c r="AE453"/>
      <c r="AF453"/>
      <c r="AG453"/>
      <c r="AH453"/>
      <c r="AI453"/>
      <c r="AJ453"/>
      <c r="AK453" s="17">
        <f>(Table1[[#This Row],[Climbed]]*weighting!$B$18)+(Table1[[#This Row],[Adjustable Climber]]*weighting!$B$19)+(Table1[[#This Row],[Lift other Robot]]*weighting!$B$20)+(Table1[[#This Row],[Balanced]]*weighting!$B$21)</f>
        <v>0</v>
      </c>
      <c r="AL453" s="8">
        <f>+Table1[[#This Row],[Endgame our score]]+Table1[[#This Row],[teleop our score]]+Table1[[#This Row],[auton our score]]</f>
        <v>0</v>
      </c>
      <c r="AM453" s="20">
        <f t="shared" si="21"/>
        <v>0</v>
      </c>
      <c r="AN453" s="20">
        <f t="shared" si="22"/>
        <v>0</v>
      </c>
      <c r="AO453" s="20">
        <f t="shared" si="23"/>
        <v>0</v>
      </c>
      <c r="AP453" s="20">
        <f>Table1[[#This Row],[balls scored]]+Table1[[#This Row],[auton balls scored]]</f>
        <v>0</v>
      </c>
      <c r="AQ453" s="20">
        <f>Table1[[#This Row],[balls scored high]]+Table1[[#This Row],[Auton Scored High]]</f>
        <v>0</v>
      </c>
      <c r="AR453" s="20">
        <f>Table1[[#This Row],[balls scored low]]+Table1[[#This Row],[Auton Scored Low]]</f>
        <v>0</v>
      </c>
      <c r="AS453" s="50">
        <f>IF(Table1[[#This Row],[Control Panel Spun Time]]&gt;0,1,0)</f>
        <v>0</v>
      </c>
      <c r="AT453" s="20">
        <f>IF(Table1[[#This Row],[Control Panel Color Time]]&gt;0,1,0)</f>
        <v>0</v>
      </c>
    </row>
    <row r="454" spans="1:46" x14ac:dyDescent="0.25">
      <c r="A454"/>
      <c r="I454" s="8">
        <f>+Table1[[#This Row],[Auton ball picked up in our trench]]+Table1[[#This Row],[Auton Balls Picked Up in Mid]]+Table1[[#This Row],[Auton Balls Picked Up In Their Trench]]</f>
        <v>0</v>
      </c>
      <c r="J454" s="8">
        <f>+Table1[[#This Row],[Auton Scored High]]+Table1[[#This Row],[Auton Scored Low]]</f>
        <v>0</v>
      </c>
      <c r="K45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54" s="8">
        <f>Table1[[#This Row],[Balls Scored From Trench]]+Table1[[#This Row],[Balls Scored from Mid]]+Table1[[#This Row],[Balls Scored From Alliance zone]]</f>
        <v>0</v>
      </c>
      <c r="W454" s="8">
        <f>Table1[[#This Row],[balls scored high]]+Table1[[#This Row],[balls scored low]]</f>
        <v>0</v>
      </c>
      <c r="X454" s="8">
        <f>Table1[[#This Row],[Control Panel Spun Time]]+Table1[[#This Row],[Control Panel Color Time]]</f>
        <v>0</v>
      </c>
      <c r="Y454" s="8">
        <f>Table1[[#This Row],[Control Panels Spun]]+Table1[[#This Row],[Control Panel Color]]</f>
        <v>0</v>
      </c>
      <c r="Z45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54" s="17">
        <f>(Table1[[#This Row],[Climbed]]*weighting!$B$18)+(Table1[[#This Row],[Adjustable Climber]]*weighting!$B$19)+(Table1[[#This Row],[Lift other Robot]]*weighting!$B$20)+(Table1[[#This Row],[Balanced]]*weighting!$B$21)</f>
        <v>0</v>
      </c>
      <c r="AL454" s="8">
        <f>+Table1[[#This Row],[Endgame our score]]+Table1[[#This Row],[teleop our score]]+Table1[[#This Row],[auton our score]]</f>
        <v>0</v>
      </c>
      <c r="AM454" s="20">
        <f t="shared" si="21"/>
        <v>0</v>
      </c>
      <c r="AN454" s="20">
        <f t="shared" si="22"/>
        <v>0</v>
      </c>
      <c r="AO454" s="20">
        <f t="shared" si="23"/>
        <v>0</v>
      </c>
      <c r="AP454" s="20">
        <f>Table1[[#This Row],[balls scored]]+Table1[[#This Row],[auton balls scored]]</f>
        <v>0</v>
      </c>
      <c r="AQ454" s="20">
        <f>Table1[[#This Row],[balls scored high]]+Table1[[#This Row],[Auton Scored High]]</f>
        <v>0</v>
      </c>
      <c r="AR454" s="20">
        <f>Table1[[#This Row],[balls scored low]]+Table1[[#This Row],[Auton Scored Low]]</f>
        <v>0</v>
      </c>
      <c r="AS454" s="50">
        <f>IF(Table1[[#This Row],[Control Panel Spun Time]]&gt;0,1,0)</f>
        <v>0</v>
      </c>
      <c r="AT454" s="20">
        <f>IF(Table1[[#This Row],[Control Panel Color Time]]&gt;0,1,0)</f>
        <v>0</v>
      </c>
    </row>
    <row r="455" spans="1:46" s="2" customFormat="1" x14ac:dyDescent="0.25">
      <c r="A455"/>
      <c r="B455"/>
      <c r="C455"/>
      <c r="D455"/>
      <c r="E455"/>
      <c r="F455"/>
      <c r="G455"/>
      <c r="H455"/>
      <c r="I455" s="8">
        <f>+Table1[[#This Row],[Auton ball picked up in our trench]]+Table1[[#This Row],[Auton Balls Picked Up in Mid]]+Table1[[#This Row],[Auton Balls Picked Up In Their Trench]]</f>
        <v>0</v>
      </c>
      <c r="J455" s="8">
        <f>+Table1[[#This Row],[Auton Scored High]]+Table1[[#This Row],[Auton Scored Low]]</f>
        <v>0</v>
      </c>
      <c r="K45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55"/>
      <c r="M455"/>
      <c r="N455"/>
      <c r="O455"/>
      <c r="P455"/>
      <c r="Q455"/>
      <c r="R455"/>
      <c r="S455"/>
      <c r="T455"/>
      <c r="U455"/>
      <c r="V455" s="8">
        <f>Table1[[#This Row],[Balls Scored From Trench]]+Table1[[#This Row],[Balls Scored from Mid]]+Table1[[#This Row],[Balls Scored From Alliance zone]]</f>
        <v>0</v>
      </c>
      <c r="W455" s="8">
        <f>Table1[[#This Row],[balls scored high]]+Table1[[#This Row],[balls scored low]]</f>
        <v>0</v>
      </c>
      <c r="X455" s="8">
        <f>Table1[[#This Row],[Control Panel Spun Time]]+Table1[[#This Row],[Control Panel Color Time]]</f>
        <v>0</v>
      </c>
      <c r="Y455" s="8">
        <f>Table1[[#This Row],[Control Panels Spun]]+Table1[[#This Row],[Control Panel Color]]</f>
        <v>0</v>
      </c>
      <c r="Z45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55"/>
      <c r="AB455"/>
      <c r="AC455"/>
      <c r="AD455"/>
      <c r="AE455"/>
      <c r="AF455"/>
      <c r="AG455"/>
      <c r="AH455"/>
      <c r="AI455"/>
      <c r="AJ455"/>
      <c r="AK455" s="17">
        <f>(Table1[[#This Row],[Climbed]]*weighting!$B$18)+(Table1[[#This Row],[Adjustable Climber]]*weighting!$B$19)+(Table1[[#This Row],[Lift other Robot]]*weighting!$B$20)+(Table1[[#This Row],[Balanced]]*weighting!$B$21)</f>
        <v>0</v>
      </c>
      <c r="AL455" s="8">
        <f>+Table1[[#This Row],[Endgame our score]]+Table1[[#This Row],[teleop our score]]+Table1[[#This Row],[auton our score]]</f>
        <v>0</v>
      </c>
      <c r="AM455" s="20">
        <f t="shared" si="21"/>
        <v>0</v>
      </c>
      <c r="AN455" s="20">
        <f t="shared" si="22"/>
        <v>0</v>
      </c>
      <c r="AO455" s="20">
        <f t="shared" si="23"/>
        <v>0</v>
      </c>
      <c r="AP455" s="20">
        <f>Table1[[#This Row],[balls scored]]+Table1[[#This Row],[auton balls scored]]</f>
        <v>0</v>
      </c>
      <c r="AQ455" s="20">
        <f>Table1[[#This Row],[balls scored high]]+Table1[[#This Row],[Auton Scored High]]</f>
        <v>0</v>
      </c>
      <c r="AR455" s="20">
        <f>Table1[[#This Row],[balls scored low]]+Table1[[#This Row],[Auton Scored Low]]</f>
        <v>0</v>
      </c>
      <c r="AS455" s="50">
        <f>IF(Table1[[#This Row],[Control Panel Spun Time]]&gt;0,1,0)</f>
        <v>0</v>
      </c>
      <c r="AT455" s="20">
        <f>IF(Table1[[#This Row],[Control Panel Color Time]]&gt;0,1,0)</f>
        <v>0</v>
      </c>
    </row>
    <row r="456" spans="1:46" x14ac:dyDescent="0.25">
      <c r="A456"/>
      <c r="I456" s="8">
        <f>+Table1[[#This Row],[Auton ball picked up in our trench]]+Table1[[#This Row],[Auton Balls Picked Up in Mid]]+Table1[[#This Row],[Auton Balls Picked Up In Their Trench]]</f>
        <v>0</v>
      </c>
      <c r="J456" s="8">
        <f>+Table1[[#This Row],[Auton Scored High]]+Table1[[#This Row],[Auton Scored Low]]</f>
        <v>0</v>
      </c>
      <c r="K45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56" s="8">
        <f>Table1[[#This Row],[Balls Scored From Trench]]+Table1[[#This Row],[Balls Scored from Mid]]+Table1[[#This Row],[Balls Scored From Alliance zone]]</f>
        <v>0</v>
      </c>
      <c r="W456" s="8">
        <f>Table1[[#This Row],[balls scored high]]+Table1[[#This Row],[balls scored low]]</f>
        <v>0</v>
      </c>
      <c r="X456" s="8">
        <f>Table1[[#This Row],[Control Panel Spun Time]]+Table1[[#This Row],[Control Panel Color Time]]</f>
        <v>0</v>
      </c>
      <c r="Y456" s="8">
        <f>Table1[[#This Row],[Control Panels Spun]]+Table1[[#This Row],[Control Panel Color]]</f>
        <v>0</v>
      </c>
      <c r="Z45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56" s="17">
        <f>(Table1[[#This Row],[Climbed]]*weighting!$B$18)+(Table1[[#This Row],[Adjustable Climber]]*weighting!$B$19)+(Table1[[#This Row],[Lift other Robot]]*weighting!$B$20)+(Table1[[#This Row],[Balanced]]*weighting!$B$21)</f>
        <v>0</v>
      </c>
      <c r="AL456" s="8">
        <f>+Table1[[#This Row],[Endgame our score]]+Table1[[#This Row],[teleop our score]]+Table1[[#This Row],[auton our score]]</f>
        <v>0</v>
      </c>
      <c r="AM456" s="20">
        <f t="shared" si="21"/>
        <v>0</v>
      </c>
      <c r="AN456" s="20">
        <f t="shared" si="22"/>
        <v>0</v>
      </c>
      <c r="AO456" s="20">
        <f t="shared" si="23"/>
        <v>0</v>
      </c>
      <c r="AP456" s="20">
        <f>Table1[[#This Row],[balls scored]]+Table1[[#This Row],[auton balls scored]]</f>
        <v>0</v>
      </c>
      <c r="AQ456" s="20">
        <f>Table1[[#This Row],[balls scored high]]+Table1[[#This Row],[Auton Scored High]]</f>
        <v>0</v>
      </c>
      <c r="AR456" s="20">
        <f>Table1[[#This Row],[balls scored low]]+Table1[[#This Row],[Auton Scored Low]]</f>
        <v>0</v>
      </c>
      <c r="AS456" s="50">
        <f>IF(Table1[[#This Row],[Control Panel Spun Time]]&gt;0,1,0)</f>
        <v>0</v>
      </c>
      <c r="AT456" s="20">
        <f>IF(Table1[[#This Row],[Control Panel Color Time]]&gt;0,1,0)</f>
        <v>0</v>
      </c>
    </row>
    <row r="457" spans="1:46" s="2" customFormat="1" x14ac:dyDescent="0.25">
      <c r="A457"/>
      <c r="B457"/>
      <c r="C457"/>
      <c r="D457"/>
      <c r="E457"/>
      <c r="F457"/>
      <c r="G457"/>
      <c r="H457"/>
      <c r="I457" s="8">
        <f>+Table1[[#This Row],[Auton ball picked up in our trench]]+Table1[[#This Row],[Auton Balls Picked Up in Mid]]+Table1[[#This Row],[Auton Balls Picked Up In Their Trench]]</f>
        <v>0</v>
      </c>
      <c r="J457" s="8">
        <f>+Table1[[#This Row],[Auton Scored High]]+Table1[[#This Row],[Auton Scored Low]]</f>
        <v>0</v>
      </c>
      <c r="K45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57"/>
      <c r="M457"/>
      <c r="N457"/>
      <c r="O457"/>
      <c r="P457"/>
      <c r="Q457"/>
      <c r="R457"/>
      <c r="S457"/>
      <c r="T457"/>
      <c r="U457"/>
      <c r="V457" s="8">
        <f>Table1[[#This Row],[Balls Scored From Trench]]+Table1[[#This Row],[Balls Scored from Mid]]+Table1[[#This Row],[Balls Scored From Alliance zone]]</f>
        <v>0</v>
      </c>
      <c r="W457" s="8">
        <f>Table1[[#This Row],[balls scored high]]+Table1[[#This Row],[balls scored low]]</f>
        <v>0</v>
      </c>
      <c r="X457" s="8">
        <f>Table1[[#This Row],[Control Panel Spun Time]]+Table1[[#This Row],[Control Panel Color Time]]</f>
        <v>0</v>
      </c>
      <c r="Y457" s="8">
        <f>Table1[[#This Row],[Control Panels Spun]]+Table1[[#This Row],[Control Panel Color]]</f>
        <v>0</v>
      </c>
      <c r="Z45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57"/>
      <c r="AB457"/>
      <c r="AC457"/>
      <c r="AD457"/>
      <c r="AE457"/>
      <c r="AF457"/>
      <c r="AG457"/>
      <c r="AH457"/>
      <c r="AI457"/>
      <c r="AJ457"/>
      <c r="AK457" s="17">
        <f>(Table1[[#This Row],[Climbed]]*weighting!$B$18)+(Table1[[#This Row],[Adjustable Climber]]*weighting!$B$19)+(Table1[[#This Row],[Lift other Robot]]*weighting!$B$20)+(Table1[[#This Row],[Balanced]]*weighting!$B$21)</f>
        <v>0</v>
      </c>
      <c r="AL457" s="8">
        <f>+Table1[[#This Row],[Endgame our score]]+Table1[[#This Row],[teleop our score]]+Table1[[#This Row],[auton our score]]</f>
        <v>0</v>
      </c>
      <c r="AM457" s="20">
        <f t="shared" si="21"/>
        <v>0</v>
      </c>
      <c r="AN457" s="20">
        <f t="shared" si="22"/>
        <v>0</v>
      </c>
      <c r="AO457" s="20">
        <f t="shared" si="23"/>
        <v>0</v>
      </c>
      <c r="AP457" s="20">
        <f>Table1[[#This Row],[balls scored]]+Table1[[#This Row],[auton balls scored]]</f>
        <v>0</v>
      </c>
      <c r="AQ457" s="20">
        <f>Table1[[#This Row],[balls scored high]]+Table1[[#This Row],[Auton Scored High]]</f>
        <v>0</v>
      </c>
      <c r="AR457" s="20">
        <f>Table1[[#This Row],[balls scored low]]+Table1[[#This Row],[Auton Scored Low]]</f>
        <v>0</v>
      </c>
      <c r="AS457" s="50">
        <f>IF(Table1[[#This Row],[Control Panel Spun Time]]&gt;0,1,0)</f>
        <v>0</v>
      </c>
      <c r="AT457" s="20">
        <f>IF(Table1[[#This Row],[Control Panel Color Time]]&gt;0,1,0)</f>
        <v>0</v>
      </c>
    </row>
    <row r="458" spans="1:46" x14ac:dyDescent="0.25">
      <c r="A458"/>
      <c r="I458" s="8">
        <f>+Table1[[#This Row],[Auton ball picked up in our trench]]+Table1[[#This Row],[Auton Balls Picked Up in Mid]]+Table1[[#This Row],[Auton Balls Picked Up In Their Trench]]</f>
        <v>0</v>
      </c>
      <c r="J458" s="8">
        <f>+Table1[[#This Row],[Auton Scored High]]+Table1[[#This Row],[Auton Scored Low]]</f>
        <v>0</v>
      </c>
      <c r="K45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58" s="8">
        <f>Table1[[#This Row],[Balls Scored From Trench]]+Table1[[#This Row],[Balls Scored from Mid]]+Table1[[#This Row],[Balls Scored From Alliance zone]]</f>
        <v>0</v>
      </c>
      <c r="W458" s="8">
        <f>Table1[[#This Row],[balls scored high]]+Table1[[#This Row],[balls scored low]]</f>
        <v>0</v>
      </c>
      <c r="X458" s="8">
        <f>Table1[[#This Row],[Control Panel Spun Time]]+Table1[[#This Row],[Control Panel Color Time]]</f>
        <v>0</v>
      </c>
      <c r="Y458" s="8">
        <f>Table1[[#This Row],[Control Panels Spun]]+Table1[[#This Row],[Control Panel Color]]</f>
        <v>0</v>
      </c>
      <c r="Z45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58" s="17">
        <f>(Table1[[#This Row],[Climbed]]*weighting!$B$18)+(Table1[[#This Row],[Adjustable Climber]]*weighting!$B$19)+(Table1[[#This Row],[Lift other Robot]]*weighting!$B$20)+(Table1[[#This Row],[Balanced]]*weighting!$B$21)</f>
        <v>0</v>
      </c>
      <c r="AL458" s="8">
        <f>+Table1[[#This Row],[Endgame our score]]+Table1[[#This Row],[teleop our score]]+Table1[[#This Row],[auton our score]]</f>
        <v>0</v>
      </c>
      <c r="AM458" s="20">
        <f t="shared" si="21"/>
        <v>0</v>
      </c>
      <c r="AN458" s="20">
        <f t="shared" si="22"/>
        <v>0</v>
      </c>
      <c r="AO458" s="20">
        <f t="shared" si="23"/>
        <v>0</v>
      </c>
      <c r="AP458" s="20">
        <f>Table1[[#This Row],[balls scored]]+Table1[[#This Row],[auton balls scored]]</f>
        <v>0</v>
      </c>
      <c r="AQ458" s="20">
        <f>Table1[[#This Row],[balls scored high]]+Table1[[#This Row],[Auton Scored High]]</f>
        <v>0</v>
      </c>
      <c r="AR458" s="20">
        <f>Table1[[#This Row],[balls scored low]]+Table1[[#This Row],[Auton Scored Low]]</f>
        <v>0</v>
      </c>
      <c r="AS458" s="50">
        <f>IF(Table1[[#This Row],[Control Panel Spun Time]]&gt;0,1,0)</f>
        <v>0</v>
      </c>
      <c r="AT458" s="20">
        <f>IF(Table1[[#This Row],[Control Panel Color Time]]&gt;0,1,0)</f>
        <v>0</v>
      </c>
    </row>
    <row r="459" spans="1:46" s="2" customFormat="1" x14ac:dyDescent="0.25">
      <c r="A459"/>
      <c r="B459"/>
      <c r="C459"/>
      <c r="D459"/>
      <c r="E459"/>
      <c r="F459"/>
      <c r="G459"/>
      <c r="H459"/>
      <c r="I459" s="8">
        <f>+Table1[[#This Row],[Auton ball picked up in our trench]]+Table1[[#This Row],[Auton Balls Picked Up in Mid]]+Table1[[#This Row],[Auton Balls Picked Up In Their Trench]]</f>
        <v>0</v>
      </c>
      <c r="J459" s="8">
        <f>+Table1[[#This Row],[Auton Scored High]]+Table1[[#This Row],[Auton Scored Low]]</f>
        <v>0</v>
      </c>
      <c r="K45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59"/>
      <c r="M459"/>
      <c r="N459"/>
      <c r="O459"/>
      <c r="P459"/>
      <c r="Q459"/>
      <c r="R459"/>
      <c r="S459"/>
      <c r="T459"/>
      <c r="U459"/>
      <c r="V459" s="8">
        <f>Table1[[#This Row],[Balls Scored From Trench]]+Table1[[#This Row],[Balls Scored from Mid]]+Table1[[#This Row],[Balls Scored From Alliance zone]]</f>
        <v>0</v>
      </c>
      <c r="W459" s="8">
        <f>Table1[[#This Row],[balls scored high]]+Table1[[#This Row],[balls scored low]]</f>
        <v>0</v>
      </c>
      <c r="X459" s="8">
        <f>Table1[[#This Row],[Control Panel Spun Time]]+Table1[[#This Row],[Control Panel Color Time]]</f>
        <v>0</v>
      </c>
      <c r="Y459" s="8">
        <f>Table1[[#This Row],[Control Panels Spun]]+Table1[[#This Row],[Control Panel Color]]</f>
        <v>0</v>
      </c>
      <c r="Z45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59"/>
      <c r="AB459"/>
      <c r="AC459"/>
      <c r="AD459"/>
      <c r="AE459"/>
      <c r="AF459"/>
      <c r="AG459"/>
      <c r="AH459"/>
      <c r="AI459"/>
      <c r="AJ459"/>
      <c r="AK459" s="17">
        <f>(Table1[[#This Row],[Climbed]]*weighting!$B$18)+(Table1[[#This Row],[Adjustable Climber]]*weighting!$B$19)+(Table1[[#This Row],[Lift other Robot]]*weighting!$B$20)+(Table1[[#This Row],[Balanced]]*weighting!$B$21)</f>
        <v>0</v>
      </c>
      <c r="AL459" s="8">
        <f>+Table1[[#This Row],[Endgame our score]]+Table1[[#This Row],[teleop our score]]+Table1[[#This Row],[auton our score]]</f>
        <v>0</v>
      </c>
      <c r="AM459" s="20">
        <f t="shared" si="21"/>
        <v>0</v>
      </c>
      <c r="AN459" s="20">
        <f t="shared" si="22"/>
        <v>0</v>
      </c>
      <c r="AO459" s="20">
        <f t="shared" si="23"/>
        <v>0</v>
      </c>
      <c r="AP459" s="20">
        <f>Table1[[#This Row],[balls scored]]+Table1[[#This Row],[auton balls scored]]</f>
        <v>0</v>
      </c>
      <c r="AQ459" s="20">
        <f>Table1[[#This Row],[balls scored high]]+Table1[[#This Row],[Auton Scored High]]</f>
        <v>0</v>
      </c>
      <c r="AR459" s="20">
        <f>Table1[[#This Row],[balls scored low]]+Table1[[#This Row],[Auton Scored Low]]</f>
        <v>0</v>
      </c>
      <c r="AS459" s="50">
        <f>IF(Table1[[#This Row],[Control Panel Spun Time]]&gt;0,1,0)</f>
        <v>0</v>
      </c>
      <c r="AT459" s="20">
        <f>IF(Table1[[#This Row],[Control Panel Color Time]]&gt;0,1,0)</f>
        <v>0</v>
      </c>
    </row>
    <row r="460" spans="1:46" x14ac:dyDescent="0.25">
      <c r="A460"/>
      <c r="I460" s="8">
        <f>+Table1[[#This Row],[Auton ball picked up in our trench]]+Table1[[#This Row],[Auton Balls Picked Up in Mid]]+Table1[[#This Row],[Auton Balls Picked Up In Their Trench]]</f>
        <v>0</v>
      </c>
      <c r="J460" s="8">
        <f>+Table1[[#This Row],[Auton Scored High]]+Table1[[#This Row],[Auton Scored Low]]</f>
        <v>0</v>
      </c>
      <c r="K46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60" s="8">
        <f>Table1[[#This Row],[Balls Scored From Trench]]+Table1[[#This Row],[Balls Scored from Mid]]+Table1[[#This Row],[Balls Scored From Alliance zone]]</f>
        <v>0</v>
      </c>
      <c r="W460" s="8">
        <f>Table1[[#This Row],[balls scored high]]+Table1[[#This Row],[balls scored low]]</f>
        <v>0</v>
      </c>
      <c r="X460" s="8">
        <f>Table1[[#This Row],[Control Panel Spun Time]]+Table1[[#This Row],[Control Panel Color Time]]</f>
        <v>0</v>
      </c>
      <c r="Y460" s="8">
        <f>Table1[[#This Row],[Control Panels Spun]]+Table1[[#This Row],[Control Panel Color]]</f>
        <v>0</v>
      </c>
      <c r="Z46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60" s="17">
        <f>(Table1[[#This Row],[Climbed]]*weighting!$B$18)+(Table1[[#This Row],[Adjustable Climber]]*weighting!$B$19)+(Table1[[#This Row],[Lift other Robot]]*weighting!$B$20)+(Table1[[#This Row],[Balanced]]*weighting!$B$21)</f>
        <v>0</v>
      </c>
      <c r="AL460" s="8">
        <f>+Table1[[#This Row],[Endgame our score]]+Table1[[#This Row],[teleop our score]]+Table1[[#This Row],[auton our score]]</f>
        <v>0</v>
      </c>
      <c r="AM460" s="20">
        <f t="shared" si="21"/>
        <v>0</v>
      </c>
      <c r="AN460" s="20">
        <f t="shared" si="22"/>
        <v>0</v>
      </c>
      <c r="AO460" s="20">
        <f t="shared" si="23"/>
        <v>0</v>
      </c>
      <c r="AP460" s="20">
        <f>Table1[[#This Row],[balls scored]]+Table1[[#This Row],[auton balls scored]]</f>
        <v>0</v>
      </c>
      <c r="AQ460" s="20">
        <f>Table1[[#This Row],[balls scored high]]+Table1[[#This Row],[Auton Scored High]]</f>
        <v>0</v>
      </c>
      <c r="AR460" s="20">
        <f>Table1[[#This Row],[balls scored low]]+Table1[[#This Row],[Auton Scored Low]]</f>
        <v>0</v>
      </c>
      <c r="AS460" s="50">
        <f>IF(Table1[[#This Row],[Control Panel Spun Time]]&gt;0,1,0)</f>
        <v>0</v>
      </c>
      <c r="AT460" s="20">
        <f>IF(Table1[[#This Row],[Control Panel Color Time]]&gt;0,1,0)</f>
        <v>0</v>
      </c>
    </row>
    <row r="461" spans="1:46" s="2" customFormat="1" x14ac:dyDescent="0.25">
      <c r="A461"/>
      <c r="B461"/>
      <c r="C461"/>
      <c r="D461"/>
      <c r="E461"/>
      <c r="F461"/>
      <c r="G461"/>
      <c r="H461"/>
      <c r="I461" s="8">
        <f>+Table1[[#This Row],[Auton ball picked up in our trench]]+Table1[[#This Row],[Auton Balls Picked Up in Mid]]+Table1[[#This Row],[Auton Balls Picked Up In Their Trench]]</f>
        <v>0</v>
      </c>
      <c r="J461" s="8">
        <f>+Table1[[#This Row],[Auton Scored High]]+Table1[[#This Row],[Auton Scored Low]]</f>
        <v>0</v>
      </c>
      <c r="K46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61"/>
      <c r="M461"/>
      <c r="N461"/>
      <c r="O461"/>
      <c r="P461"/>
      <c r="Q461"/>
      <c r="R461"/>
      <c r="S461"/>
      <c r="T461"/>
      <c r="U461"/>
      <c r="V461" s="8">
        <f>Table1[[#This Row],[Balls Scored From Trench]]+Table1[[#This Row],[Balls Scored from Mid]]+Table1[[#This Row],[Balls Scored From Alliance zone]]</f>
        <v>0</v>
      </c>
      <c r="W461" s="8">
        <f>Table1[[#This Row],[balls scored high]]+Table1[[#This Row],[balls scored low]]</f>
        <v>0</v>
      </c>
      <c r="X461" s="8">
        <f>Table1[[#This Row],[Control Panel Spun Time]]+Table1[[#This Row],[Control Panel Color Time]]</f>
        <v>0</v>
      </c>
      <c r="Y461" s="8">
        <f>Table1[[#This Row],[Control Panels Spun]]+Table1[[#This Row],[Control Panel Color]]</f>
        <v>0</v>
      </c>
      <c r="Z46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61"/>
      <c r="AB461"/>
      <c r="AC461"/>
      <c r="AD461"/>
      <c r="AE461"/>
      <c r="AF461"/>
      <c r="AG461"/>
      <c r="AH461"/>
      <c r="AI461"/>
      <c r="AJ461"/>
      <c r="AK461" s="17">
        <f>(Table1[[#This Row],[Climbed]]*weighting!$B$18)+(Table1[[#This Row],[Adjustable Climber]]*weighting!$B$19)+(Table1[[#This Row],[Lift other Robot]]*weighting!$B$20)+(Table1[[#This Row],[Balanced]]*weighting!$B$21)</f>
        <v>0</v>
      </c>
      <c r="AL461" s="8">
        <f>+Table1[[#This Row],[Endgame our score]]+Table1[[#This Row],[teleop our score]]+Table1[[#This Row],[auton our score]]</f>
        <v>0</v>
      </c>
      <c r="AM461" s="20">
        <f t="shared" si="21"/>
        <v>0</v>
      </c>
      <c r="AN461" s="20">
        <f t="shared" si="22"/>
        <v>0</v>
      </c>
      <c r="AO461" s="20">
        <f t="shared" si="23"/>
        <v>0</v>
      </c>
      <c r="AP461" s="20">
        <f>Table1[[#This Row],[balls scored]]+Table1[[#This Row],[auton balls scored]]</f>
        <v>0</v>
      </c>
      <c r="AQ461" s="20">
        <f>Table1[[#This Row],[balls scored high]]+Table1[[#This Row],[Auton Scored High]]</f>
        <v>0</v>
      </c>
      <c r="AR461" s="20">
        <f>Table1[[#This Row],[balls scored low]]+Table1[[#This Row],[Auton Scored Low]]</f>
        <v>0</v>
      </c>
      <c r="AS461" s="50">
        <f>IF(Table1[[#This Row],[Control Panel Spun Time]]&gt;0,1,0)</f>
        <v>0</v>
      </c>
      <c r="AT461" s="20">
        <f>IF(Table1[[#This Row],[Control Panel Color Time]]&gt;0,1,0)</f>
        <v>0</v>
      </c>
    </row>
    <row r="462" spans="1:46" x14ac:dyDescent="0.25">
      <c r="A462"/>
      <c r="I462" s="8">
        <f>+Table1[[#This Row],[Auton ball picked up in our trench]]+Table1[[#This Row],[Auton Balls Picked Up in Mid]]+Table1[[#This Row],[Auton Balls Picked Up In Their Trench]]</f>
        <v>0</v>
      </c>
      <c r="J462" s="8">
        <f>+Table1[[#This Row],[Auton Scored High]]+Table1[[#This Row],[Auton Scored Low]]</f>
        <v>0</v>
      </c>
      <c r="K46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62" s="8">
        <f>Table1[[#This Row],[Balls Scored From Trench]]+Table1[[#This Row],[Balls Scored from Mid]]+Table1[[#This Row],[Balls Scored From Alliance zone]]</f>
        <v>0</v>
      </c>
      <c r="W462" s="8">
        <f>Table1[[#This Row],[balls scored high]]+Table1[[#This Row],[balls scored low]]</f>
        <v>0</v>
      </c>
      <c r="X462" s="8">
        <f>Table1[[#This Row],[Control Panel Spun Time]]+Table1[[#This Row],[Control Panel Color Time]]</f>
        <v>0</v>
      </c>
      <c r="Y462" s="8">
        <f>Table1[[#This Row],[Control Panels Spun]]+Table1[[#This Row],[Control Panel Color]]</f>
        <v>0</v>
      </c>
      <c r="Z46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62" s="17">
        <f>(Table1[[#This Row],[Climbed]]*weighting!$B$18)+(Table1[[#This Row],[Adjustable Climber]]*weighting!$B$19)+(Table1[[#This Row],[Lift other Robot]]*weighting!$B$20)+(Table1[[#This Row],[Balanced]]*weighting!$B$21)</f>
        <v>0</v>
      </c>
      <c r="AL462" s="8">
        <f>+Table1[[#This Row],[Endgame our score]]+Table1[[#This Row],[teleop our score]]+Table1[[#This Row],[auton our score]]</f>
        <v>0</v>
      </c>
      <c r="AM462" s="20">
        <f t="shared" si="21"/>
        <v>0</v>
      </c>
      <c r="AN462" s="20">
        <f t="shared" si="22"/>
        <v>0</v>
      </c>
      <c r="AO462" s="20">
        <f t="shared" si="23"/>
        <v>0</v>
      </c>
      <c r="AP462" s="20">
        <f>Table1[[#This Row],[balls scored]]+Table1[[#This Row],[auton balls scored]]</f>
        <v>0</v>
      </c>
      <c r="AQ462" s="20">
        <f>Table1[[#This Row],[balls scored high]]+Table1[[#This Row],[Auton Scored High]]</f>
        <v>0</v>
      </c>
      <c r="AR462" s="20">
        <f>Table1[[#This Row],[balls scored low]]+Table1[[#This Row],[Auton Scored Low]]</f>
        <v>0</v>
      </c>
      <c r="AS462" s="50">
        <f>IF(Table1[[#This Row],[Control Panel Spun Time]]&gt;0,1,0)</f>
        <v>0</v>
      </c>
      <c r="AT462" s="20">
        <f>IF(Table1[[#This Row],[Control Panel Color Time]]&gt;0,1,0)</f>
        <v>0</v>
      </c>
    </row>
    <row r="463" spans="1:46" s="2" customFormat="1" x14ac:dyDescent="0.25">
      <c r="A463"/>
      <c r="B463"/>
      <c r="C463"/>
      <c r="D463"/>
      <c r="E463"/>
      <c r="F463"/>
      <c r="G463"/>
      <c r="H463"/>
      <c r="I463" s="8">
        <f>+Table1[[#This Row],[Auton ball picked up in our trench]]+Table1[[#This Row],[Auton Balls Picked Up in Mid]]+Table1[[#This Row],[Auton Balls Picked Up In Their Trench]]</f>
        <v>0</v>
      </c>
      <c r="J463" s="8">
        <f>+Table1[[#This Row],[Auton Scored High]]+Table1[[#This Row],[Auton Scored Low]]</f>
        <v>0</v>
      </c>
      <c r="K46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63"/>
      <c r="M463"/>
      <c r="N463"/>
      <c r="O463"/>
      <c r="P463"/>
      <c r="Q463"/>
      <c r="R463"/>
      <c r="S463"/>
      <c r="T463"/>
      <c r="U463"/>
      <c r="V463" s="8">
        <f>Table1[[#This Row],[Balls Scored From Trench]]+Table1[[#This Row],[Balls Scored from Mid]]+Table1[[#This Row],[Balls Scored From Alliance zone]]</f>
        <v>0</v>
      </c>
      <c r="W463" s="8">
        <f>Table1[[#This Row],[balls scored high]]+Table1[[#This Row],[balls scored low]]</f>
        <v>0</v>
      </c>
      <c r="X463" s="8">
        <f>Table1[[#This Row],[Control Panel Spun Time]]+Table1[[#This Row],[Control Panel Color Time]]</f>
        <v>0</v>
      </c>
      <c r="Y463" s="8">
        <f>Table1[[#This Row],[Control Panels Spun]]+Table1[[#This Row],[Control Panel Color]]</f>
        <v>0</v>
      </c>
      <c r="Z46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63"/>
      <c r="AB463"/>
      <c r="AC463"/>
      <c r="AD463"/>
      <c r="AE463"/>
      <c r="AF463"/>
      <c r="AG463"/>
      <c r="AH463"/>
      <c r="AI463"/>
      <c r="AJ463"/>
      <c r="AK463" s="17">
        <f>(Table1[[#This Row],[Climbed]]*weighting!$B$18)+(Table1[[#This Row],[Adjustable Climber]]*weighting!$B$19)+(Table1[[#This Row],[Lift other Robot]]*weighting!$B$20)+(Table1[[#This Row],[Balanced]]*weighting!$B$21)</f>
        <v>0</v>
      </c>
      <c r="AL463" s="8">
        <f>+Table1[[#This Row],[Endgame our score]]+Table1[[#This Row],[teleop our score]]+Table1[[#This Row],[auton our score]]</f>
        <v>0</v>
      </c>
      <c r="AM463" s="20">
        <f t="shared" si="21"/>
        <v>0</v>
      </c>
      <c r="AN463" s="20">
        <f t="shared" si="22"/>
        <v>0</v>
      </c>
      <c r="AO463" s="20">
        <f t="shared" si="23"/>
        <v>0</v>
      </c>
      <c r="AP463" s="20">
        <f>Table1[[#This Row],[balls scored]]+Table1[[#This Row],[auton balls scored]]</f>
        <v>0</v>
      </c>
      <c r="AQ463" s="20">
        <f>Table1[[#This Row],[balls scored high]]+Table1[[#This Row],[Auton Scored High]]</f>
        <v>0</v>
      </c>
      <c r="AR463" s="20">
        <f>Table1[[#This Row],[balls scored low]]+Table1[[#This Row],[Auton Scored Low]]</f>
        <v>0</v>
      </c>
      <c r="AS463" s="50">
        <f>IF(Table1[[#This Row],[Control Panel Spun Time]]&gt;0,1,0)</f>
        <v>0</v>
      </c>
      <c r="AT463" s="20">
        <f>IF(Table1[[#This Row],[Control Panel Color Time]]&gt;0,1,0)</f>
        <v>0</v>
      </c>
    </row>
    <row r="464" spans="1:46" x14ac:dyDescent="0.25">
      <c r="A464"/>
      <c r="I464" s="8">
        <f>+Table1[[#This Row],[Auton ball picked up in our trench]]+Table1[[#This Row],[Auton Balls Picked Up in Mid]]+Table1[[#This Row],[Auton Balls Picked Up In Their Trench]]</f>
        <v>0</v>
      </c>
      <c r="J464" s="8">
        <f>+Table1[[#This Row],[Auton Scored High]]+Table1[[#This Row],[Auton Scored Low]]</f>
        <v>0</v>
      </c>
      <c r="K46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64" s="8">
        <f>Table1[[#This Row],[Balls Scored From Trench]]+Table1[[#This Row],[Balls Scored from Mid]]+Table1[[#This Row],[Balls Scored From Alliance zone]]</f>
        <v>0</v>
      </c>
      <c r="W464" s="8">
        <f>Table1[[#This Row],[balls scored high]]+Table1[[#This Row],[balls scored low]]</f>
        <v>0</v>
      </c>
      <c r="X464" s="8">
        <f>Table1[[#This Row],[Control Panel Spun Time]]+Table1[[#This Row],[Control Panel Color Time]]</f>
        <v>0</v>
      </c>
      <c r="Y464" s="8">
        <f>Table1[[#This Row],[Control Panels Spun]]+Table1[[#This Row],[Control Panel Color]]</f>
        <v>0</v>
      </c>
      <c r="Z46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64" s="17">
        <f>(Table1[[#This Row],[Climbed]]*weighting!$B$18)+(Table1[[#This Row],[Adjustable Climber]]*weighting!$B$19)+(Table1[[#This Row],[Lift other Robot]]*weighting!$B$20)+(Table1[[#This Row],[Balanced]]*weighting!$B$21)</f>
        <v>0</v>
      </c>
      <c r="AL464" s="8">
        <f>+Table1[[#This Row],[Endgame our score]]+Table1[[#This Row],[teleop our score]]+Table1[[#This Row],[auton our score]]</f>
        <v>0</v>
      </c>
      <c r="AM464" s="20">
        <f t="shared" si="21"/>
        <v>0</v>
      </c>
      <c r="AN464" s="20">
        <f t="shared" si="22"/>
        <v>0</v>
      </c>
      <c r="AO464" s="20">
        <f t="shared" si="23"/>
        <v>0</v>
      </c>
      <c r="AP464" s="20">
        <f>Table1[[#This Row],[balls scored]]+Table1[[#This Row],[auton balls scored]]</f>
        <v>0</v>
      </c>
      <c r="AQ464" s="20">
        <f>Table1[[#This Row],[balls scored high]]+Table1[[#This Row],[Auton Scored High]]</f>
        <v>0</v>
      </c>
      <c r="AR464" s="20">
        <f>Table1[[#This Row],[balls scored low]]+Table1[[#This Row],[Auton Scored Low]]</f>
        <v>0</v>
      </c>
      <c r="AS464" s="50">
        <f>IF(Table1[[#This Row],[Control Panel Spun Time]]&gt;0,1,0)</f>
        <v>0</v>
      </c>
      <c r="AT464" s="20">
        <f>IF(Table1[[#This Row],[Control Panel Color Time]]&gt;0,1,0)</f>
        <v>0</v>
      </c>
    </row>
    <row r="465" spans="1:46" s="2" customFormat="1" x14ac:dyDescent="0.25">
      <c r="A465"/>
      <c r="B465"/>
      <c r="C465"/>
      <c r="D465"/>
      <c r="E465"/>
      <c r="F465"/>
      <c r="G465"/>
      <c r="H465"/>
      <c r="I465" s="8">
        <f>+Table1[[#This Row],[Auton ball picked up in our trench]]+Table1[[#This Row],[Auton Balls Picked Up in Mid]]+Table1[[#This Row],[Auton Balls Picked Up In Their Trench]]</f>
        <v>0</v>
      </c>
      <c r="J465" s="8">
        <f>+Table1[[#This Row],[Auton Scored High]]+Table1[[#This Row],[Auton Scored Low]]</f>
        <v>0</v>
      </c>
      <c r="K46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65"/>
      <c r="M465"/>
      <c r="N465"/>
      <c r="O465"/>
      <c r="P465"/>
      <c r="Q465"/>
      <c r="R465"/>
      <c r="S465"/>
      <c r="T465"/>
      <c r="U465"/>
      <c r="V465" s="8">
        <f>Table1[[#This Row],[Balls Scored From Trench]]+Table1[[#This Row],[Balls Scored from Mid]]+Table1[[#This Row],[Balls Scored From Alliance zone]]</f>
        <v>0</v>
      </c>
      <c r="W465" s="8">
        <f>Table1[[#This Row],[balls scored high]]+Table1[[#This Row],[balls scored low]]</f>
        <v>0</v>
      </c>
      <c r="X465" s="8">
        <f>Table1[[#This Row],[Control Panel Spun Time]]+Table1[[#This Row],[Control Panel Color Time]]</f>
        <v>0</v>
      </c>
      <c r="Y465" s="8">
        <f>Table1[[#This Row],[Control Panels Spun]]+Table1[[#This Row],[Control Panel Color]]</f>
        <v>0</v>
      </c>
      <c r="Z46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65"/>
      <c r="AB465"/>
      <c r="AC465"/>
      <c r="AD465"/>
      <c r="AE465"/>
      <c r="AF465"/>
      <c r="AG465"/>
      <c r="AH465"/>
      <c r="AI465"/>
      <c r="AJ465"/>
      <c r="AK465" s="17">
        <f>(Table1[[#This Row],[Climbed]]*weighting!$B$18)+(Table1[[#This Row],[Adjustable Climber]]*weighting!$B$19)+(Table1[[#This Row],[Lift other Robot]]*weighting!$B$20)+(Table1[[#This Row],[Balanced]]*weighting!$B$21)</f>
        <v>0</v>
      </c>
      <c r="AL465" s="8">
        <f>+Table1[[#This Row],[Endgame our score]]+Table1[[#This Row],[teleop our score]]+Table1[[#This Row],[auton our score]]</f>
        <v>0</v>
      </c>
      <c r="AM465" s="20">
        <f t="shared" si="21"/>
        <v>0</v>
      </c>
      <c r="AN465" s="20">
        <f t="shared" si="22"/>
        <v>0</v>
      </c>
      <c r="AO465" s="20">
        <f t="shared" si="23"/>
        <v>0</v>
      </c>
      <c r="AP465" s="20">
        <f>Table1[[#This Row],[balls scored]]+Table1[[#This Row],[auton balls scored]]</f>
        <v>0</v>
      </c>
      <c r="AQ465" s="20">
        <f>Table1[[#This Row],[balls scored high]]+Table1[[#This Row],[Auton Scored High]]</f>
        <v>0</v>
      </c>
      <c r="AR465" s="20">
        <f>Table1[[#This Row],[balls scored low]]+Table1[[#This Row],[Auton Scored Low]]</f>
        <v>0</v>
      </c>
      <c r="AS465" s="50">
        <f>IF(Table1[[#This Row],[Control Panel Spun Time]]&gt;0,1,0)</f>
        <v>0</v>
      </c>
      <c r="AT465" s="20">
        <f>IF(Table1[[#This Row],[Control Panel Color Time]]&gt;0,1,0)</f>
        <v>0</v>
      </c>
    </row>
    <row r="466" spans="1:46" x14ac:dyDescent="0.25">
      <c r="A466"/>
      <c r="I466" s="8">
        <f>+Table1[[#This Row],[Auton ball picked up in our trench]]+Table1[[#This Row],[Auton Balls Picked Up in Mid]]+Table1[[#This Row],[Auton Balls Picked Up In Their Trench]]</f>
        <v>0</v>
      </c>
      <c r="J466" s="8">
        <f>+Table1[[#This Row],[Auton Scored High]]+Table1[[#This Row],[Auton Scored Low]]</f>
        <v>0</v>
      </c>
      <c r="K46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66" s="8">
        <f>Table1[[#This Row],[Balls Scored From Trench]]+Table1[[#This Row],[Balls Scored from Mid]]+Table1[[#This Row],[Balls Scored From Alliance zone]]</f>
        <v>0</v>
      </c>
      <c r="W466" s="8">
        <f>Table1[[#This Row],[balls scored high]]+Table1[[#This Row],[balls scored low]]</f>
        <v>0</v>
      </c>
      <c r="X466" s="8">
        <f>Table1[[#This Row],[Control Panel Spun Time]]+Table1[[#This Row],[Control Panel Color Time]]</f>
        <v>0</v>
      </c>
      <c r="Y466" s="8">
        <f>Table1[[#This Row],[Control Panels Spun]]+Table1[[#This Row],[Control Panel Color]]</f>
        <v>0</v>
      </c>
      <c r="Z46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66" s="17">
        <f>(Table1[[#This Row],[Climbed]]*weighting!$B$18)+(Table1[[#This Row],[Adjustable Climber]]*weighting!$B$19)+(Table1[[#This Row],[Lift other Robot]]*weighting!$B$20)+(Table1[[#This Row],[Balanced]]*weighting!$B$21)</f>
        <v>0</v>
      </c>
      <c r="AL466" s="8">
        <f>+Table1[[#This Row],[Endgame our score]]+Table1[[#This Row],[teleop our score]]+Table1[[#This Row],[auton our score]]</f>
        <v>0</v>
      </c>
      <c r="AM466" s="20">
        <f t="shared" si="21"/>
        <v>0</v>
      </c>
      <c r="AN466" s="20">
        <f t="shared" si="22"/>
        <v>0</v>
      </c>
      <c r="AO466" s="20">
        <f t="shared" si="23"/>
        <v>0</v>
      </c>
      <c r="AP466" s="20">
        <f>Table1[[#This Row],[balls scored]]+Table1[[#This Row],[auton balls scored]]</f>
        <v>0</v>
      </c>
      <c r="AQ466" s="20">
        <f>Table1[[#This Row],[balls scored high]]+Table1[[#This Row],[Auton Scored High]]</f>
        <v>0</v>
      </c>
      <c r="AR466" s="20">
        <f>Table1[[#This Row],[balls scored low]]+Table1[[#This Row],[Auton Scored Low]]</f>
        <v>0</v>
      </c>
      <c r="AS466" s="50">
        <f>IF(Table1[[#This Row],[Control Panel Spun Time]]&gt;0,1,0)</f>
        <v>0</v>
      </c>
      <c r="AT466" s="20">
        <f>IF(Table1[[#This Row],[Control Panel Color Time]]&gt;0,1,0)</f>
        <v>0</v>
      </c>
    </row>
    <row r="467" spans="1:46" s="2" customFormat="1" x14ac:dyDescent="0.25">
      <c r="A467"/>
      <c r="B467"/>
      <c r="C467"/>
      <c r="D467"/>
      <c r="E467"/>
      <c r="F467"/>
      <c r="G467"/>
      <c r="H467"/>
      <c r="I467" s="8">
        <f>+Table1[[#This Row],[Auton ball picked up in our trench]]+Table1[[#This Row],[Auton Balls Picked Up in Mid]]+Table1[[#This Row],[Auton Balls Picked Up In Their Trench]]</f>
        <v>0</v>
      </c>
      <c r="J467" s="8">
        <f>+Table1[[#This Row],[Auton Scored High]]+Table1[[#This Row],[Auton Scored Low]]</f>
        <v>0</v>
      </c>
      <c r="K46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67"/>
      <c r="M467"/>
      <c r="N467"/>
      <c r="O467"/>
      <c r="P467"/>
      <c r="Q467"/>
      <c r="R467"/>
      <c r="S467"/>
      <c r="T467"/>
      <c r="U467"/>
      <c r="V467" s="8">
        <f>Table1[[#This Row],[Balls Scored From Trench]]+Table1[[#This Row],[Balls Scored from Mid]]+Table1[[#This Row],[Balls Scored From Alliance zone]]</f>
        <v>0</v>
      </c>
      <c r="W467" s="8">
        <f>Table1[[#This Row],[balls scored high]]+Table1[[#This Row],[balls scored low]]</f>
        <v>0</v>
      </c>
      <c r="X467" s="8">
        <f>Table1[[#This Row],[Control Panel Spun Time]]+Table1[[#This Row],[Control Panel Color Time]]</f>
        <v>0</v>
      </c>
      <c r="Y467" s="8">
        <f>Table1[[#This Row],[Control Panels Spun]]+Table1[[#This Row],[Control Panel Color]]</f>
        <v>0</v>
      </c>
      <c r="Z46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67"/>
      <c r="AB467"/>
      <c r="AC467"/>
      <c r="AD467"/>
      <c r="AE467"/>
      <c r="AF467"/>
      <c r="AG467"/>
      <c r="AH467"/>
      <c r="AI467"/>
      <c r="AJ467"/>
      <c r="AK467" s="17">
        <f>(Table1[[#This Row],[Climbed]]*weighting!$B$18)+(Table1[[#This Row],[Adjustable Climber]]*weighting!$B$19)+(Table1[[#This Row],[Lift other Robot]]*weighting!$B$20)+(Table1[[#This Row],[Balanced]]*weighting!$B$21)</f>
        <v>0</v>
      </c>
      <c r="AL467" s="8">
        <f>+Table1[[#This Row],[Endgame our score]]+Table1[[#This Row],[teleop our score]]+Table1[[#This Row],[auton our score]]</f>
        <v>0</v>
      </c>
      <c r="AM467" s="20">
        <f t="shared" si="21"/>
        <v>0</v>
      </c>
      <c r="AN467" s="20">
        <f t="shared" si="22"/>
        <v>0</v>
      </c>
      <c r="AO467" s="20">
        <f t="shared" si="23"/>
        <v>0</v>
      </c>
      <c r="AP467" s="20">
        <f>Table1[[#This Row],[balls scored]]+Table1[[#This Row],[auton balls scored]]</f>
        <v>0</v>
      </c>
      <c r="AQ467" s="20">
        <f>Table1[[#This Row],[balls scored high]]+Table1[[#This Row],[Auton Scored High]]</f>
        <v>0</v>
      </c>
      <c r="AR467" s="20">
        <f>Table1[[#This Row],[balls scored low]]+Table1[[#This Row],[Auton Scored Low]]</f>
        <v>0</v>
      </c>
      <c r="AS467" s="50">
        <f>IF(Table1[[#This Row],[Control Panel Spun Time]]&gt;0,1,0)</f>
        <v>0</v>
      </c>
      <c r="AT467" s="20">
        <f>IF(Table1[[#This Row],[Control Panel Color Time]]&gt;0,1,0)</f>
        <v>0</v>
      </c>
    </row>
    <row r="468" spans="1:46" x14ac:dyDescent="0.25">
      <c r="A468"/>
      <c r="I468" s="8">
        <f>+Table1[[#This Row],[Auton ball picked up in our trench]]+Table1[[#This Row],[Auton Balls Picked Up in Mid]]+Table1[[#This Row],[Auton Balls Picked Up In Their Trench]]</f>
        <v>0</v>
      </c>
      <c r="J468" s="8">
        <f>+Table1[[#This Row],[Auton Scored High]]+Table1[[#This Row],[Auton Scored Low]]</f>
        <v>0</v>
      </c>
      <c r="K46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68" s="8">
        <f>Table1[[#This Row],[Balls Scored From Trench]]+Table1[[#This Row],[Balls Scored from Mid]]+Table1[[#This Row],[Balls Scored From Alliance zone]]</f>
        <v>0</v>
      </c>
      <c r="W468" s="8">
        <f>Table1[[#This Row],[balls scored high]]+Table1[[#This Row],[balls scored low]]</f>
        <v>0</v>
      </c>
      <c r="X468" s="8">
        <f>Table1[[#This Row],[Control Panel Spun Time]]+Table1[[#This Row],[Control Panel Color Time]]</f>
        <v>0</v>
      </c>
      <c r="Y468" s="8">
        <f>Table1[[#This Row],[Control Panels Spun]]+Table1[[#This Row],[Control Panel Color]]</f>
        <v>0</v>
      </c>
      <c r="Z46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68" s="17">
        <f>(Table1[[#This Row],[Climbed]]*weighting!$B$18)+(Table1[[#This Row],[Adjustable Climber]]*weighting!$B$19)+(Table1[[#This Row],[Lift other Robot]]*weighting!$B$20)+(Table1[[#This Row],[Balanced]]*weighting!$B$21)</f>
        <v>0</v>
      </c>
      <c r="AL468" s="8">
        <f>+Table1[[#This Row],[Endgame our score]]+Table1[[#This Row],[teleop our score]]+Table1[[#This Row],[auton our score]]</f>
        <v>0</v>
      </c>
      <c r="AM468" s="20">
        <f t="shared" si="21"/>
        <v>0</v>
      </c>
      <c r="AN468" s="20">
        <f t="shared" si="22"/>
        <v>0</v>
      </c>
      <c r="AO468" s="20">
        <f t="shared" si="23"/>
        <v>0</v>
      </c>
      <c r="AP468" s="20">
        <f>Table1[[#This Row],[balls scored]]+Table1[[#This Row],[auton balls scored]]</f>
        <v>0</v>
      </c>
      <c r="AQ468" s="20">
        <f>Table1[[#This Row],[balls scored high]]+Table1[[#This Row],[Auton Scored High]]</f>
        <v>0</v>
      </c>
      <c r="AR468" s="20">
        <f>Table1[[#This Row],[balls scored low]]+Table1[[#This Row],[Auton Scored Low]]</f>
        <v>0</v>
      </c>
      <c r="AS468" s="50">
        <f>IF(Table1[[#This Row],[Control Panel Spun Time]]&gt;0,1,0)</f>
        <v>0</v>
      </c>
      <c r="AT468" s="20">
        <f>IF(Table1[[#This Row],[Control Panel Color Time]]&gt;0,1,0)</f>
        <v>0</v>
      </c>
    </row>
    <row r="469" spans="1:46" s="2" customFormat="1" x14ac:dyDescent="0.25">
      <c r="A469"/>
      <c r="B469"/>
      <c r="C469"/>
      <c r="D469"/>
      <c r="E469"/>
      <c r="F469"/>
      <c r="G469"/>
      <c r="H469"/>
      <c r="I469" s="8">
        <f>+Table1[[#This Row],[Auton ball picked up in our trench]]+Table1[[#This Row],[Auton Balls Picked Up in Mid]]+Table1[[#This Row],[Auton Balls Picked Up In Their Trench]]</f>
        <v>0</v>
      </c>
      <c r="J469" s="8">
        <f>+Table1[[#This Row],[Auton Scored High]]+Table1[[#This Row],[Auton Scored Low]]</f>
        <v>0</v>
      </c>
      <c r="K46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69"/>
      <c r="M469"/>
      <c r="N469"/>
      <c r="O469"/>
      <c r="P469"/>
      <c r="Q469"/>
      <c r="R469"/>
      <c r="S469"/>
      <c r="T469"/>
      <c r="U469"/>
      <c r="V469" s="8">
        <f>Table1[[#This Row],[Balls Scored From Trench]]+Table1[[#This Row],[Balls Scored from Mid]]+Table1[[#This Row],[Balls Scored From Alliance zone]]</f>
        <v>0</v>
      </c>
      <c r="W469" s="8">
        <f>Table1[[#This Row],[balls scored high]]+Table1[[#This Row],[balls scored low]]</f>
        <v>0</v>
      </c>
      <c r="X469" s="8">
        <f>Table1[[#This Row],[Control Panel Spun Time]]+Table1[[#This Row],[Control Panel Color Time]]</f>
        <v>0</v>
      </c>
      <c r="Y469" s="8">
        <f>Table1[[#This Row],[Control Panels Spun]]+Table1[[#This Row],[Control Panel Color]]</f>
        <v>0</v>
      </c>
      <c r="Z46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69"/>
      <c r="AB469"/>
      <c r="AC469"/>
      <c r="AD469"/>
      <c r="AE469"/>
      <c r="AF469"/>
      <c r="AG469"/>
      <c r="AH469"/>
      <c r="AI469"/>
      <c r="AJ469"/>
      <c r="AK469" s="17">
        <f>(Table1[[#This Row],[Climbed]]*weighting!$B$18)+(Table1[[#This Row],[Adjustable Climber]]*weighting!$B$19)+(Table1[[#This Row],[Lift other Robot]]*weighting!$B$20)+(Table1[[#This Row],[Balanced]]*weighting!$B$21)</f>
        <v>0</v>
      </c>
      <c r="AL469" s="8">
        <f>+Table1[[#This Row],[Endgame our score]]+Table1[[#This Row],[teleop our score]]+Table1[[#This Row],[auton our score]]</f>
        <v>0</v>
      </c>
      <c r="AM469" s="20">
        <f t="shared" si="21"/>
        <v>0</v>
      </c>
      <c r="AN469" s="20">
        <f t="shared" si="22"/>
        <v>0</v>
      </c>
      <c r="AO469" s="20">
        <f t="shared" si="23"/>
        <v>0</v>
      </c>
      <c r="AP469" s="20">
        <f>Table1[[#This Row],[balls scored]]+Table1[[#This Row],[auton balls scored]]</f>
        <v>0</v>
      </c>
      <c r="AQ469" s="20">
        <f>Table1[[#This Row],[balls scored high]]+Table1[[#This Row],[Auton Scored High]]</f>
        <v>0</v>
      </c>
      <c r="AR469" s="20">
        <f>Table1[[#This Row],[balls scored low]]+Table1[[#This Row],[Auton Scored Low]]</f>
        <v>0</v>
      </c>
      <c r="AS469" s="50">
        <f>IF(Table1[[#This Row],[Control Panel Spun Time]]&gt;0,1,0)</f>
        <v>0</v>
      </c>
      <c r="AT469" s="20">
        <f>IF(Table1[[#This Row],[Control Panel Color Time]]&gt;0,1,0)</f>
        <v>0</v>
      </c>
    </row>
    <row r="470" spans="1:46" x14ac:dyDescent="0.25">
      <c r="A470"/>
      <c r="I470" s="8">
        <f>+Table1[[#This Row],[Auton ball picked up in our trench]]+Table1[[#This Row],[Auton Balls Picked Up in Mid]]+Table1[[#This Row],[Auton Balls Picked Up In Their Trench]]</f>
        <v>0</v>
      </c>
      <c r="J470" s="8">
        <f>+Table1[[#This Row],[Auton Scored High]]+Table1[[#This Row],[Auton Scored Low]]</f>
        <v>0</v>
      </c>
      <c r="K47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70" s="8">
        <f>Table1[[#This Row],[Balls Scored From Trench]]+Table1[[#This Row],[Balls Scored from Mid]]+Table1[[#This Row],[Balls Scored From Alliance zone]]</f>
        <v>0</v>
      </c>
      <c r="W470" s="8">
        <f>Table1[[#This Row],[balls scored high]]+Table1[[#This Row],[balls scored low]]</f>
        <v>0</v>
      </c>
      <c r="X470" s="8">
        <f>Table1[[#This Row],[Control Panel Spun Time]]+Table1[[#This Row],[Control Panel Color Time]]</f>
        <v>0</v>
      </c>
      <c r="Y470" s="8">
        <f>Table1[[#This Row],[Control Panels Spun]]+Table1[[#This Row],[Control Panel Color]]</f>
        <v>0</v>
      </c>
      <c r="Z47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70" s="17">
        <f>(Table1[[#This Row],[Climbed]]*weighting!$B$18)+(Table1[[#This Row],[Adjustable Climber]]*weighting!$B$19)+(Table1[[#This Row],[Lift other Robot]]*weighting!$B$20)+(Table1[[#This Row],[Balanced]]*weighting!$B$21)</f>
        <v>0</v>
      </c>
      <c r="AL470" s="8">
        <f>+Table1[[#This Row],[Endgame our score]]+Table1[[#This Row],[teleop our score]]+Table1[[#This Row],[auton our score]]</f>
        <v>0</v>
      </c>
      <c r="AM470" s="20">
        <f t="shared" si="21"/>
        <v>0</v>
      </c>
      <c r="AN470" s="20">
        <f t="shared" si="22"/>
        <v>0</v>
      </c>
      <c r="AO470" s="20">
        <f t="shared" si="23"/>
        <v>0</v>
      </c>
      <c r="AP470" s="20">
        <f>Table1[[#This Row],[balls scored]]+Table1[[#This Row],[auton balls scored]]</f>
        <v>0</v>
      </c>
      <c r="AQ470" s="20">
        <f>Table1[[#This Row],[balls scored high]]+Table1[[#This Row],[Auton Scored High]]</f>
        <v>0</v>
      </c>
      <c r="AR470" s="20">
        <f>Table1[[#This Row],[balls scored low]]+Table1[[#This Row],[Auton Scored Low]]</f>
        <v>0</v>
      </c>
      <c r="AS470" s="50">
        <f>IF(Table1[[#This Row],[Control Panel Spun Time]]&gt;0,1,0)</f>
        <v>0</v>
      </c>
      <c r="AT470" s="20">
        <f>IF(Table1[[#This Row],[Control Panel Color Time]]&gt;0,1,0)</f>
        <v>0</v>
      </c>
    </row>
    <row r="471" spans="1:46" s="2" customFormat="1" x14ac:dyDescent="0.25">
      <c r="A471"/>
      <c r="B471"/>
      <c r="C471"/>
      <c r="D471"/>
      <c r="E471"/>
      <c r="F471"/>
      <c r="G471"/>
      <c r="H471"/>
      <c r="I471" s="8">
        <f>+Table1[[#This Row],[Auton ball picked up in our trench]]+Table1[[#This Row],[Auton Balls Picked Up in Mid]]+Table1[[#This Row],[Auton Balls Picked Up In Their Trench]]</f>
        <v>0</v>
      </c>
      <c r="J471" s="8">
        <f>+Table1[[#This Row],[Auton Scored High]]+Table1[[#This Row],[Auton Scored Low]]</f>
        <v>0</v>
      </c>
      <c r="K47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71"/>
      <c r="M471"/>
      <c r="N471"/>
      <c r="O471"/>
      <c r="P471"/>
      <c r="Q471"/>
      <c r="R471"/>
      <c r="S471"/>
      <c r="T471"/>
      <c r="U471"/>
      <c r="V471" s="8">
        <f>Table1[[#This Row],[Balls Scored From Trench]]+Table1[[#This Row],[Balls Scored from Mid]]+Table1[[#This Row],[Balls Scored From Alliance zone]]</f>
        <v>0</v>
      </c>
      <c r="W471" s="8">
        <f>Table1[[#This Row],[balls scored high]]+Table1[[#This Row],[balls scored low]]</f>
        <v>0</v>
      </c>
      <c r="X471" s="8">
        <f>Table1[[#This Row],[Control Panel Spun Time]]+Table1[[#This Row],[Control Panel Color Time]]</f>
        <v>0</v>
      </c>
      <c r="Y471" s="8">
        <f>Table1[[#This Row],[Control Panels Spun]]+Table1[[#This Row],[Control Panel Color]]</f>
        <v>0</v>
      </c>
      <c r="Z47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71"/>
      <c r="AB471"/>
      <c r="AC471"/>
      <c r="AD471"/>
      <c r="AE471"/>
      <c r="AF471"/>
      <c r="AG471"/>
      <c r="AH471"/>
      <c r="AI471"/>
      <c r="AJ471"/>
      <c r="AK471" s="17">
        <f>(Table1[[#This Row],[Climbed]]*weighting!$B$18)+(Table1[[#This Row],[Adjustable Climber]]*weighting!$B$19)+(Table1[[#This Row],[Lift other Robot]]*weighting!$B$20)+(Table1[[#This Row],[Balanced]]*weighting!$B$21)</f>
        <v>0</v>
      </c>
      <c r="AL471" s="8">
        <f>+Table1[[#This Row],[Endgame our score]]+Table1[[#This Row],[teleop our score]]+Table1[[#This Row],[auton our score]]</f>
        <v>0</v>
      </c>
      <c r="AM471" s="20">
        <f t="shared" si="21"/>
        <v>0</v>
      </c>
      <c r="AN471" s="20">
        <f t="shared" si="22"/>
        <v>0</v>
      </c>
      <c r="AO471" s="20">
        <f t="shared" si="23"/>
        <v>0</v>
      </c>
      <c r="AP471" s="20">
        <f>Table1[[#This Row],[balls scored]]+Table1[[#This Row],[auton balls scored]]</f>
        <v>0</v>
      </c>
      <c r="AQ471" s="20">
        <f>Table1[[#This Row],[balls scored high]]+Table1[[#This Row],[Auton Scored High]]</f>
        <v>0</v>
      </c>
      <c r="AR471" s="20">
        <f>Table1[[#This Row],[balls scored low]]+Table1[[#This Row],[Auton Scored Low]]</f>
        <v>0</v>
      </c>
      <c r="AS471" s="50">
        <f>IF(Table1[[#This Row],[Control Panel Spun Time]]&gt;0,1,0)</f>
        <v>0</v>
      </c>
      <c r="AT471" s="20">
        <f>IF(Table1[[#This Row],[Control Panel Color Time]]&gt;0,1,0)</f>
        <v>0</v>
      </c>
    </row>
    <row r="472" spans="1:46" x14ac:dyDescent="0.25">
      <c r="A472"/>
      <c r="I472" s="8">
        <f>+Table1[[#This Row],[Auton ball picked up in our trench]]+Table1[[#This Row],[Auton Balls Picked Up in Mid]]+Table1[[#This Row],[Auton Balls Picked Up In Their Trench]]</f>
        <v>0</v>
      </c>
      <c r="J472" s="8">
        <f>+Table1[[#This Row],[Auton Scored High]]+Table1[[#This Row],[Auton Scored Low]]</f>
        <v>0</v>
      </c>
      <c r="K47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72" s="8">
        <f>Table1[[#This Row],[Balls Scored From Trench]]+Table1[[#This Row],[Balls Scored from Mid]]+Table1[[#This Row],[Balls Scored From Alliance zone]]</f>
        <v>0</v>
      </c>
      <c r="W472" s="8">
        <f>Table1[[#This Row],[balls scored high]]+Table1[[#This Row],[balls scored low]]</f>
        <v>0</v>
      </c>
      <c r="X472" s="8">
        <f>Table1[[#This Row],[Control Panel Spun Time]]+Table1[[#This Row],[Control Panel Color Time]]</f>
        <v>0</v>
      </c>
      <c r="Y472" s="8">
        <f>Table1[[#This Row],[Control Panels Spun]]+Table1[[#This Row],[Control Panel Color]]</f>
        <v>0</v>
      </c>
      <c r="Z47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72" s="17">
        <f>(Table1[[#This Row],[Climbed]]*weighting!$B$18)+(Table1[[#This Row],[Adjustable Climber]]*weighting!$B$19)+(Table1[[#This Row],[Lift other Robot]]*weighting!$B$20)+(Table1[[#This Row],[Balanced]]*weighting!$B$21)</f>
        <v>0</v>
      </c>
      <c r="AL472" s="8">
        <f>+Table1[[#This Row],[Endgame our score]]+Table1[[#This Row],[teleop our score]]+Table1[[#This Row],[auton our score]]</f>
        <v>0</v>
      </c>
      <c r="AM472" s="20">
        <f t="shared" si="21"/>
        <v>0</v>
      </c>
      <c r="AN472" s="20">
        <f t="shared" si="22"/>
        <v>0</v>
      </c>
      <c r="AO472" s="20">
        <f t="shared" si="23"/>
        <v>0</v>
      </c>
      <c r="AP472" s="20">
        <f>Table1[[#This Row],[balls scored]]+Table1[[#This Row],[auton balls scored]]</f>
        <v>0</v>
      </c>
      <c r="AQ472" s="20">
        <f>Table1[[#This Row],[balls scored high]]+Table1[[#This Row],[Auton Scored High]]</f>
        <v>0</v>
      </c>
      <c r="AR472" s="20">
        <f>Table1[[#This Row],[balls scored low]]+Table1[[#This Row],[Auton Scored Low]]</f>
        <v>0</v>
      </c>
      <c r="AS472" s="50">
        <f>IF(Table1[[#This Row],[Control Panel Spun Time]]&gt;0,1,0)</f>
        <v>0</v>
      </c>
      <c r="AT472" s="20">
        <f>IF(Table1[[#This Row],[Control Panel Color Time]]&gt;0,1,0)</f>
        <v>0</v>
      </c>
    </row>
    <row r="473" spans="1:46" s="2" customFormat="1" x14ac:dyDescent="0.25">
      <c r="A473"/>
      <c r="B473"/>
      <c r="C473"/>
      <c r="D473"/>
      <c r="E473"/>
      <c r="F473"/>
      <c r="G473"/>
      <c r="H473"/>
      <c r="I473" s="8">
        <f>+Table1[[#This Row],[Auton ball picked up in our trench]]+Table1[[#This Row],[Auton Balls Picked Up in Mid]]+Table1[[#This Row],[Auton Balls Picked Up In Their Trench]]</f>
        <v>0</v>
      </c>
      <c r="J473" s="8">
        <f>+Table1[[#This Row],[Auton Scored High]]+Table1[[#This Row],[Auton Scored Low]]</f>
        <v>0</v>
      </c>
      <c r="K47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73"/>
      <c r="M473"/>
      <c r="N473"/>
      <c r="O473"/>
      <c r="P473"/>
      <c r="Q473"/>
      <c r="R473"/>
      <c r="S473"/>
      <c r="T473"/>
      <c r="U473"/>
      <c r="V473" s="8">
        <f>Table1[[#This Row],[Balls Scored From Trench]]+Table1[[#This Row],[Balls Scored from Mid]]+Table1[[#This Row],[Balls Scored From Alliance zone]]</f>
        <v>0</v>
      </c>
      <c r="W473" s="8">
        <f>Table1[[#This Row],[balls scored high]]+Table1[[#This Row],[balls scored low]]</f>
        <v>0</v>
      </c>
      <c r="X473" s="8">
        <f>Table1[[#This Row],[Control Panel Spun Time]]+Table1[[#This Row],[Control Panel Color Time]]</f>
        <v>0</v>
      </c>
      <c r="Y473" s="8">
        <f>Table1[[#This Row],[Control Panels Spun]]+Table1[[#This Row],[Control Panel Color]]</f>
        <v>0</v>
      </c>
      <c r="Z47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73"/>
      <c r="AB473"/>
      <c r="AC473"/>
      <c r="AD473"/>
      <c r="AE473"/>
      <c r="AF473"/>
      <c r="AG473"/>
      <c r="AH473"/>
      <c r="AI473"/>
      <c r="AJ473"/>
      <c r="AK473" s="17">
        <f>(Table1[[#This Row],[Climbed]]*weighting!$B$18)+(Table1[[#This Row],[Adjustable Climber]]*weighting!$B$19)+(Table1[[#This Row],[Lift other Robot]]*weighting!$B$20)+(Table1[[#This Row],[Balanced]]*weighting!$B$21)</f>
        <v>0</v>
      </c>
      <c r="AL473" s="8">
        <f>+Table1[[#This Row],[Endgame our score]]+Table1[[#This Row],[teleop our score]]+Table1[[#This Row],[auton our score]]</f>
        <v>0</v>
      </c>
      <c r="AM473" s="20">
        <f t="shared" si="21"/>
        <v>0</v>
      </c>
      <c r="AN473" s="20">
        <f t="shared" si="22"/>
        <v>0</v>
      </c>
      <c r="AO473" s="20">
        <f t="shared" si="23"/>
        <v>0</v>
      </c>
      <c r="AP473" s="20">
        <f>Table1[[#This Row],[balls scored]]+Table1[[#This Row],[auton balls scored]]</f>
        <v>0</v>
      </c>
      <c r="AQ473" s="20">
        <f>Table1[[#This Row],[balls scored high]]+Table1[[#This Row],[Auton Scored High]]</f>
        <v>0</v>
      </c>
      <c r="AR473" s="20">
        <f>Table1[[#This Row],[balls scored low]]+Table1[[#This Row],[Auton Scored Low]]</f>
        <v>0</v>
      </c>
      <c r="AS473" s="50">
        <f>IF(Table1[[#This Row],[Control Panel Spun Time]]&gt;0,1,0)</f>
        <v>0</v>
      </c>
      <c r="AT473" s="20">
        <f>IF(Table1[[#This Row],[Control Panel Color Time]]&gt;0,1,0)</f>
        <v>0</v>
      </c>
    </row>
    <row r="474" spans="1:46" x14ac:dyDescent="0.25">
      <c r="A474"/>
      <c r="I474" s="8">
        <f>+Table1[[#This Row],[Auton ball picked up in our trench]]+Table1[[#This Row],[Auton Balls Picked Up in Mid]]+Table1[[#This Row],[Auton Balls Picked Up In Their Trench]]</f>
        <v>0</v>
      </c>
      <c r="J474" s="8">
        <f>+Table1[[#This Row],[Auton Scored High]]+Table1[[#This Row],[Auton Scored Low]]</f>
        <v>0</v>
      </c>
      <c r="K47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74" s="8">
        <f>Table1[[#This Row],[Balls Scored From Trench]]+Table1[[#This Row],[Balls Scored from Mid]]+Table1[[#This Row],[Balls Scored From Alliance zone]]</f>
        <v>0</v>
      </c>
      <c r="W474" s="8">
        <f>Table1[[#This Row],[balls scored high]]+Table1[[#This Row],[balls scored low]]</f>
        <v>0</v>
      </c>
      <c r="X474" s="8">
        <f>Table1[[#This Row],[Control Panel Spun Time]]+Table1[[#This Row],[Control Panel Color Time]]</f>
        <v>0</v>
      </c>
      <c r="Y474" s="8">
        <f>Table1[[#This Row],[Control Panels Spun]]+Table1[[#This Row],[Control Panel Color]]</f>
        <v>0</v>
      </c>
      <c r="Z47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74" s="17">
        <f>(Table1[[#This Row],[Climbed]]*weighting!$B$18)+(Table1[[#This Row],[Adjustable Climber]]*weighting!$B$19)+(Table1[[#This Row],[Lift other Robot]]*weighting!$B$20)+(Table1[[#This Row],[Balanced]]*weighting!$B$21)</f>
        <v>0</v>
      </c>
      <c r="AL474" s="8">
        <f>+Table1[[#This Row],[Endgame our score]]+Table1[[#This Row],[teleop our score]]+Table1[[#This Row],[auton our score]]</f>
        <v>0</v>
      </c>
      <c r="AM474" s="20">
        <f t="shared" si="21"/>
        <v>0</v>
      </c>
      <c r="AN474" s="20">
        <f t="shared" si="22"/>
        <v>0</v>
      </c>
      <c r="AO474" s="20">
        <f t="shared" si="23"/>
        <v>0</v>
      </c>
      <c r="AP474" s="20">
        <f>Table1[[#This Row],[balls scored]]+Table1[[#This Row],[auton balls scored]]</f>
        <v>0</v>
      </c>
      <c r="AQ474" s="20">
        <f>Table1[[#This Row],[balls scored high]]+Table1[[#This Row],[Auton Scored High]]</f>
        <v>0</v>
      </c>
      <c r="AR474" s="20">
        <f>Table1[[#This Row],[balls scored low]]+Table1[[#This Row],[Auton Scored Low]]</f>
        <v>0</v>
      </c>
      <c r="AS474" s="50">
        <f>IF(Table1[[#This Row],[Control Panel Spun Time]]&gt;0,1,0)</f>
        <v>0</v>
      </c>
      <c r="AT474" s="20">
        <f>IF(Table1[[#This Row],[Control Panel Color Time]]&gt;0,1,0)</f>
        <v>0</v>
      </c>
    </row>
    <row r="475" spans="1:46" s="2" customFormat="1" x14ac:dyDescent="0.25">
      <c r="A475"/>
      <c r="B475"/>
      <c r="C475"/>
      <c r="D475"/>
      <c r="E475"/>
      <c r="F475"/>
      <c r="G475"/>
      <c r="H475"/>
      <c r="I475" s="8">
        <f>+Table1[[#This Row],[Auton ball picked up in our trench]]+Table1[[#This Row],[Auton Balls Picked Up in Mid]]+Table1[[#This Row],[Auton Balls Picked Up In Their Trench]]</f>
        <v>0</v>
      </c>
      <c r="J475" s="8">
        <f>+Table1[[#This Row],[Auton Scored High]]+Table1[[#This Row],[Auton Scored Low]]</f>
        <v>0</v>
      </c>
      <c r="K47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75"/>
      <c r="M475"/>
      <c r="N475"/>
      <c r="O475"/>
      <c r="P475"/>
      <c r="Q475"/>
      <c r="R475"/>
      <c r="S475"/>
      <c r="T475"/>
      <c r="U475"/>
      <c r="V475" s="8">
        <f>Table1[[#This Row],[Balls Scored From Trench]]+Table1[[#This Row],[Balls Scored from Mid]]+Table1[[#This Row],[Balls Scored From Alliance zone]]</f>
        <v>0</v>
      </c>
      <c r="W475" s="8">
        <f>Table1[[#This Row],[balls scored high]]+Table1[[#This Row],[balls scored low]]</f>
        <v>0</v>
      </c>
      <c r="X475" s="8">
        <f>Table1[[#This Row],[Control Panel Spun Time]]+Table1[[#This Row],[Control Panel Color Time]]</f>
        <v>0</v>
      </c>
      <c r="Y475" s="8">
        <f>Table1[[#This Row],[Control Panels Spun]]+Table1[[#This Row],[Control Panel Color]]</f>
        <v>0</v>
      </c>
      <c r="Z47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75"/>
      <c r="AB475"/>
      <c r="AC475"/>
      <c r="AD475"/>
      <c r="AE475"/>
      <c r="AF475"/>
      <c r="AG475"/>
      <c r="AH475"/>
      <c r="AI475"/>
      <c r="AJ475"/>
      <c r="AK475" s="17">
        <f>(Table1[[#This Row],[Climbed]]*weighting!$B$18)+(Table1[[#This Row],[Adjustable Climber]]*weighting!$B$19)+(Table1[[#This Row],[Lift other Robot]]*weighting!$B$20)+(Table1[[#This Row],[Balanced]]*weighting!$B$21)</f>
        <v>0</v>
      </c>
      <c r="AL475" s="8">
        <f>+Table1[[#This Row],[Endgame our score]]+Table1[[#This Row],[teleop our score]]+Table1[[#This Row],[auton our score]]</f>
        <v>0</v>
      </c>
      <c r="AM475" s="20">
        <f t="shared" si="21"/>
        <v>0</v>
      </c>
      <c r="AN475" s="20">
        <f t="shared" si="22"/>
        <v>0</v>
      </c>
      <c r="AO475" s="20">
        <f t="shared" si="23"/>
        <v>0</v>
      </c>
      <c r="AP475" s="20">
        <f>Table1[[#This Row],[balls scored]]+Table1[[#This Row],[auton balls scored]]</f>
        <v>0</v>
      </c>
      <c r="AQ475" s="20">
        <f>Table1[[#This Row],[balls scored high]]+Table1[[#This Row],[Auton Scored High]]</f>
        <v>0</v>
      </c>
      <c r="AR475" s="20">
        <f>Table1[[#This Row],[balls scored low]]+Table1[[#This Row],[Auton Scored Low]]</f>
        <v>0</v>
      </c>
      <c r="AS475" s="50">
        <f>IF(Table1[[#This Row],[Control Panel Spun Time]]&gt;0,1,0)</f>
        <v>0</v>
      </c>
      <c r="AT475" s="20">
        <f>IF(Table1[[#This Row],[Control Panel Color Time]]&gt;0,1,0)</f>
        <v>0</v>
      </c>
    </row>
    <row r="476" spans="1:46" x14ac:dyDescent="0.25">
      <c r="A476"/>
      <c r="I476" s="8">
        <f>+Table1[[#This Row],[Auton ball picked up in our trench]]+Table1[[#This Row],[Auton Balls Picked Up in Mid]]+Table1[[#This Row],[Auton Balls Picked Up In Their Trench]]</f>
        <v>0</v>
      </c>
      <c r="J476" s="8">
        <f>+Table1[[#This Row],[Auton Scored High]]+Table1[[#This Row],[Auton Scored Low]]</f>
        <v>0</v>
      </c>
      <c r="K47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76" s="8">
        <f>Table1[[#This Row],[Balls Scored From Trench]]+Table1[[#This Row],[Balls Scored from Mid]]+Table1[[#This Row],[Balls Scored From Alliance zone]]</f>
        <v>0</v>
      </c>
      <c r="W476" s="8">
        <f>Table1[[#This Row],[balls scored high]]+Table1[[#This Row],[balls scored low]]</f>
        <v>0</v>
      </c>
      <c r="X476" s="8">
        <f>Table1[[#This Row],[Control Panel Spun Time]]+Table1[[#This Row],[Control Panel Color Time]]</f>
        <v>0</v>
      </c>
      <c r="Y476" s="8">
        <f>Table1[[#This Row],[Control Panels Spun]]+Table1[[#This Row],[Control Panel Color]]</f>
        <v>0</v>
      </c>
      <c r="Z47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76" s="17">
        <f>(Table1[[#This Row],[Climbed]]*weighting!$B$18)+(Table1[[#This Row],[Adjustable Climber]]*weighting!$B$19)+(Table1[[#This Row],[Lift other Robot]]*weighting!$B$20)+(Table1[[#This Row],[Balanced]]*weighting!$B$21)</f>
        <v>0</v>
      </c>
      <c r="AL476" s="8">
        <f>+Table1[[#This Row],[Endgame our score]]+Table1[[#This Row],[teleop our score]]+Table1[[#This Row],[auton our score]]</f>
        <v>0</v>
      </c>
      <c r="AM476" s="20">
        <f t="shared" si="21"/>
        <v>0</v>
      </c>
      <c r="AN476" s="20">
        <f t="shared" si="22"/>
        <v>0</v>
      </c>
      <c r="AO476" s="20">
        <f t="shared" si="23"/>
        <v>0</v>
      </c>
      <c r="AP476" s="20">
        <f>Table1[[#This Row],[balls scored]]+Table1[[#This Row],[auton balls scored]]</f>
        <v>0</v>
      </c>
      <c r="AQ476" s="20">
        <f>Table1[[#This Row],[balls scored high]]+Table1[[#This Row],[Auton Scored High]]</f>
        <v>0</v>
      </c>
      <c r="AR476" s="20">
        <f>Table1[[#This Row],[balls scored low]]+Table1[[#This Row],[Auton Scored Low]]</f>
        <v>0</v>
      </c>
      <c r="AS476" s="50">
        <f>IF(Table1[[#This Row],[Control Panel Spun Time]]&gt;0,1,0)</f>
        <v>0</v>
      </c>
      <c r="AT476" s="20">
        <f>IF(Table1[[#This Row],[Control Panel Color Time]]&gt;0,1,0)</f>
        <v>0</v>
      </c>
    </row>
    <row r="477" spans="1:46" s="2" customFormat="1" x14ac:dyDescent="0.25">
      <c r="A477"/>
      <c r="B477"/>
      <c r="C477"/>
      <c r="D477"/>
      <c r="E477"/>
      <c r="F477"/>
      <c r="G477"/>
      <c r="H477"/>
      <c r="I477" s="8">
        <f>+Table1[[#This Row],[Auton ball picked up in our trench]]+Table1[[#This Row],[Auton Balls Picked Up in Mid]]+Table1[[#This Row],[Auton Balls Picked Up In Their Trench]]</f>
        <v>0</v>
      </c>
      <c r="J477" s="8">
        <f>+Table1[[#This Row],[Auton Scored High]]+Table1[[#This Row],[Auton Scored Low]]</f>
        <v>0</v>
      </c>
      <c r="K47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77"/>
      <c r="M477"/>
      <c r="N477"/>
      <c r="O477"/>
      <c r="P477"/>
      <c r="Q477"/>
      <c r="R477"/>
      <c r="S477"/>
      <c r="T477"/>
      <c r="U477"/>
      <c r="V477" s="8">
        <f>Table1[[#This Row],[Balls Scored From Trench]]+Table1[[#This Row],[Balls Scored from Mid]]+Table1[[#This Row],[Balls Scored From Alliance zone]]</f>
        <v>0</v>
      </c>
      <c r="W477" s="8">
        <f>Table1[[#This Row],[balls scored high]]+Table1[[#This Row],[balls scored low]]</f>
        <v>0</v>
      </c>
      <c r="X477" s="8">
        <f>Table1[[#This Row],[Control Panel Spun Time]]+Table1[[#This Row],[Control Panel Color Time]]</f>
        <v>0</v>
      </c>
      <c r="Y477" s="8">
        <f>Table1[[#This Row],[Control Panels Spun]]+Table1[[#This Row],[Control Panel Color]]</f>
        <v>0</v>
      </c>
      <c r="Z47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77"/>
      <c r="AB477"/>
      <c r="AC477"/>
      <c r="AD477"/>
      <c r="AE477"/>
      <c r="AF477"/>
      <c r="AG477"/>
      <c r="AH477"/>
      <c r="AI477"/>
      <c r="AJ477"/>
      <c r="AK477" s="17">
        <f>(Table1[[#This Row],[Climbed]]*weighting!$B$18)+(Table1[[#This Row],[Adjustable Climber]]*weighting!$B$19)+(Table1[[#This Row],[Lift other Robot]]*weighting!$B$20)+(Table1[[#This Row],[Balanced]]*weighting!$B$21)</f>
        <v>0</v>
      </c>
      <c r="AL477" s="8">
        <f>+Table1[[#This Row],[Endgame our score]]+Table1[[#This Row],[teleop our score]]+Table1[[#This Row],[auton our score]]</f>
        <v>0</v>
      </c>
      <c r="AM477" s="20">
        <f t="shared" si="21"/>
        <v>0</v>
      </c>
      <c r="AN477" s="20">
        <f t="shared" si="22"/>
        <v>0</v>
      </c>
      <c r="AO477" s="20">
        <f t="shared" si="23"/>
        <v>0</v>
      </c>
      <c r="AP477" s="20">
        <f>Table1[[#This Row],[balls scored]]+Table1[[#This Row],[auton balls scored]]</f>
        <v>0</v>
      </c>
      <c r="AQ477" s="20">
        <f>Table1[[#This Row],[balls scored high]]+Table1[[#This Row],[Auton Scored High]]</f>
        <v>0</v>
      </c>
      <c r="AR477" s="20">
        <f>Table1[[#This Row],[balls scored low]]+Table1[[#This Row],[Auton Scored Low]]</f>
        <v>0</v>
      </c>
      <c r="AS477" s="50">
        <f>IF(Table1[[#This Row],[Control Panel Spun Time]]&gt;0,1,0)</f>
        <v>0</v>
      </c>
      <c r="AT477" s="20">
        <f>IF(Table1[[#This Row],[Control Panel Color Time]]&gt;0,1,0)</f>
        <v>0</v>
      </c>
    </row>
    <row r="478" spans="1:46" x14ac:dyDescent="0.25">
      <c r="A478"/>
      <c r="I478" s="8">
        <f>+Table1[[#This Row],[Auton ball picked up in our trench]]+Table1[[#This Row],[Auton Balls Picked Up in Mid]]+Table1[[#This Row],[Auton Balls Picked Up In Their Trench]]</f>
        <v>0</v>
      </c>
      <c r="J478" s="8">
        <f>+Table1[[#This Row],[Auton Scored High]]+Table1[[#This Row],[Auton Scored Low]]</f>
        <v>0</v>
      </c>
      <c r="K47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78" s="8">
        <f>Table1[[#This Row],[Balls Scored From Trench]]+Table1[[#This Row],[Balls Scored from Mid]]+Table1[[#This Row],[Balls Scored From Alliance zone]]</f>
        <v>0</v>
      </c>
      <c r="W478" s="8">
        <f>Table1[[#This Row],[balls scored high]]+Table1[[#This Row],[balls scored low]]</f>
        <v>0</v>
      </c>
      <c r="X478" s="8">
        <f>Table1[[#This Row],[Control Panel Spun Time]]+Table1[[#This Row],[Control Panel Color Time]]</f>
        <v>0</v>
      </c>
      <c r="Y478" s="8">
        <f>Table1[[#This Row],[Control Panels Spun]]+Table1[[#This Row],[Control Panel Color]]</f>
        <v>0</v>
      </c>
      <c r="Z47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78" s="17">
        <f>(Table1[[#This Row],[Climbed]]*weighting!$B$18)+(Table1[[#This Row],[Adjustable Climber]]*weighting!$B$19)+(Table1[[#This Row],[Lift other Robot]]*weighting!$B$20)+(Table1[[#This Row],[Balanced]]*weighting!$B$21)</f>
        <v>0</v>
      </c>
      <c r="AL478" s="8">
        <f>+Table1[[#This Row],[Endgame our score]]+Table1[[#This Row],[teleop our score]]+Table1[[#This Row],[auton our score]]</f>
        <v>0</v>
      </c>
      <c r="AM478" s="20">
        <f t="shared" si="21"/>
        <v>0</v>
      </c>
      <c r="AN478" s="20">
        <f t="shared" si="22"/>
        <v>0</v>
      </c>
      <c r="AO478" s="20">
        <f t="shared" si="23"/>
        <v>0</v>
      </c>
      <c r="AP478" s="20">
        <f>Table1[[#This Row],[balls scored]]+Table1[[#This Row],[auton balls scored]]</f>
        <v>0</v>
      </c>
      <c r="AQ478" s="20">
        <f>Table1[[#This Row],[balls scored high]]+Table1[[#This Row],[Auton Scored High]]</f>
        <v>0</v>
      </c>
      <c r="AR478" s="20">
        <f>Table1[[#This Row],[balls scored low]]+Table1[[#This Row],[Auton Scored Low]]</f>
        <v>0</v>
      </c>
      <c r="AS478" s="50">
        <f>IF(Table1[[#This Row],[Control Panel Spun Time]]&gt;0,1,0)</f>
        <v>0</v>
      </c>
      <c r="AT478" s="20">
        <f>IF(Table1[[#This Row],[Control Panel Color Time]]&gt;0,1,0)</f>
        <v>0</v>
      </c>
    </row>
    <row r="479" spans="1:46" s="2" customFormat="1" x14ac:dyDescent="0.25">
      <c r="A479"/>
      <c r="B479"/>
      <c r="C479"/>
      <c r="D479"/>
      <c r="E479"/>
      <c r="F479"/>
      <c r="G479"/>
      <c r="H479"/>
      <c r="I479" s="8">
        <f>+Table1[[#This Row],[Auton ball picked up in our trench]]+Table1[[#This Row],[Auton Balls Picked Up in Mid]]+Table1[[#This Row],[Auton Balls Picked Up In Their Trench]]</f>
        <v>0</v>
      </c>
      <c r="J479" s="8">
        <f>+Table1[[#This Row],[Auton Scored High]]+Table1[[#This Row],[Auton Scored Low]]</f>
        <v>0</v>
      </c>
      <c r="K47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79"/>
      <c r="M479"/>
      <c r="N479"/>
      <c r="O479"/>
      <c r="P479"/>
      <c r="Q479"/>
      <c r="R479"/>
      <c r="S479"/>
      <c r="T479"/>
      <c r="U479"/>
      <c r="V479" s="8">
        <f>Table1[[#This Row],[Balls Scored From Trench]]+Table1[[#This Row],[Balls Scored from Mid]]+Table1[[#This Row],[Balls Scored From Alliance zone]]</f>
        <v>0</v>
      </c>
      <c r="W479" s="8">
        <f>Table1[[#This Row],[balls scored high]]+Table1[[#This Row],[balls scored low]]</f>
        <v>0</v>
      </c>
      <c r="X479" s="8">
        <f>Table1[[#This Row],[Control Panel Spun Time]]+Table1[[#This Row],[Control Panel Color Time]]</f>
        <v>0</v>
      </c>
      <c r="Y479" s="8">
        <f>Table1[[#This Row],[Control Panels Spun]]+Table1[[#This Row],[Control Panel Color]]</f>
        <v>0</v>
      </c>
      <c r="Z47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79"/>
      <c r="AB479"/>
      <c r="AC479"/>
      <c r="AD479"/>
      <c r="AE479"/>
      <c r="AF479"/>
      <c r="AG479"/>
      <c r="AH479"/>
      <c r="AI479"/>
      <c r="AJ479"/>
      <c r="AK479" s="17">
        <f>(Table1[[#This Row],[Climbed]]*weighting!$B$18)+(Table1[[#This Row],[Adjustable Climber]]*weighting!$B$19)+(Table1[[#This Row],[Lift other Robot]]*weighting!$B$20)+(Table1[[#This Row],[Balanced]]*weighting!$B$21)</f>
        <v>0</v>
      </c>
      <c r="AL479" s="8">
        <f>+Table1[[#This Row],[Endgame our score]]+Table1[[#This Row],[teleop our score]]+Table1[[#This Row],[auton our score]]</f>
        <v>0</v>
      </c>
      <c r="AM479" s="20">
        <f t="shared" si="21"/>
        <v>0</v>
      </c>
      <c r="AN479" s="20">
        <f t="shared" si="22"/>
        <v>0</v>
      </c>
      <c r="AO479" s="20">
        <f t="shared" si="23"/>
        <v>0</v>
      </c>
      <c r="AP479" s="20">
        <f>Table1[[#This Row],[balls scored]]+Table1[[#This Row],[auton balls scored]]</f>
        <v>0</v>
      </c>
      <c r="AQ479" s="20">
        <f>Table1[[#This Row],[balls scored high]]+Table1[[#This Row],[Auton Scored High]]</f>
        <v>0</v>
      </c>
      <c r="AR479" s="20">
        <f>Table1[[#This Row],[balls scored low]]+Table1[[#This Row],[Auton Scored Low]]</f>
        <v>0</v>
      </c>
      <c r="AS479" s="50">
        <f>IF(Table1[[#This Row],[Control Panel Spun Time]]&gt;0,1,0)</f>
        <v>0</v>
      </c>
      <c r="AT479" s="20">
        <f>IF(Table1[[#This Row],[Control Panel Color Time]]&gt;0,1,0)</f>
        <v>0</v>
      </c>
    </row>
    <row r="480" spans="1:46" x14ac:dyDescent="0.25">
      <c r="A480"/>
      <c r="I480" s="8">
        <f>+Table1[[#This Row],[Auton ball picked up in our trench]]+Table1[[#This Row],[Auton Balls Picked Up in Mid]]+Table1[[#This Row],[Auton Balls Picked Up In Their Trench]]</f>
        <v>0</v>
      </c>
      <c r="J480" s="8">
        <f>+Table1[[#This Row],[Auton Scored High]]+Table1[[#This Row],[Auton Scored Low]]</f>
        <v>0</v>
      </c>
      <c r="K48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80" s="8">
        <f>Table1[[#This Row],[Balls Scored From Trench]]+Table1[[#This Row],[Balls Scored from Mid]]+Table1[[#This Row],[Balls Scored From Alliance zone]]</f>
        <v>0</v>
      </c>
      <c r="W480" s="8">
        <f>Table1[[#This Row],[balls scored high]]+Table1[[#This Row],[balls scored low]]</f>
        <v>0</v>
      </c>
      <c r="X480" s="8">
        <f>Table1[[#This Row],[Control Panel Spun Time]]+Table1[[#This Row],[Control Panel Color Time]]</f>
        <v>0</v>
      </c>
      <c r="Y480" s="8">
        <f>Table1[[#This Row],[Control Panels Spun]]+Table1[[#This Row],[Control Panel Color]]</f>
        <v>0</v>
      </c>
      <c r="Z48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80" s="17">
        <f>(Table1[[#This Row],[Climbed]]*weighting!$B$18)+(Table1[[#This Row],[Adjustable Climber]]*weighting!$B$19)+(Table1[[#This Row],[Lift other Robot]]*weighting!$B$20)+(Table1[[#This Row],[Balanced]]*weighting!$B$21)</f>
        <v>0</v>
      </c>
      <c r="AL480" s="8">
        <f>+Table1[[#This Row],[Endgame our score]]+Table1[[#This Row],[teleop our score]]+Table1[[#This Row],[auton our score]]</f>
        <v>0</v>
      </c>
      <c r="AM480" s="20">
        <f t="shared" si="21"/>
        <v>0</v>
      </c>
      <c r="AN480" s="20">
        <f t="shared" si="22"/>
        <v>0</v>
      </c>
      <c r="AO480" s="20">
        <f t="shared" si="23"/>
        <v>0</v>
      </c>
      <c r="AP480" s="20">
        <f>Table1[[#This Row],[balls scored]]+Table1[[#This Row],[auton balls scored]]</f>
        <v>0</v>
      </c>
      <c r="AQ480" s="20">
        <f>Table1[[#This Row],[balls scored high]]+Table1[[#This Row],[Auton Scored High]]</f>
        <v>0</v>
      </c>
      <c r="AR480" s="20">
        <f>Table1[[#This Row],[balls scored low]]+Table1[[#This Row],[Auton Scored Low]]</f>
        <v>0</v>
      </c>
      <c r="AS480" s="50">
        <f>IF(Table1[[#This Row],[Control Panel Spun Time]]&gt;0,1,0)</f>
        <v>0</v>
      </c>
      <c r="AT480" s="20">
        <f>IF(Table1[[#This Row],[Control Panel Color Time]]&gt;0,1,0)</f>
        <v>0</v>
      </c>
    </row>
    <row r="481" spans="1:46" s="2" customFormat="1" x14ac:dyDescent="0.25">
      <c r="A481"/>
      <c r="B481"/>
      <c r="C481"/>
      <c r="D481"/>
      <c r="E481"/>
      <c r="F481"/>
      <c r="G481"/>
      <c r="H481"/>
      <c r="I481" s="8">
        <f>+Table1[[#This Row],[Auton ball picked up in our trench]]+Table1[[#This Row],[Auton Balls Picked Up in Mid]]+Table1[[#This Row],[Auton Balls Picked Up In Their Trench]]</f>
        <v>0</v>
      </c>
      <c r="J481" s="8">
        <f>+Table1[[#This Row],[Auton Scored High]]+Table1[[#This Row],[Auton Scored Low]]</f>
        <v>0</v>
      </c>
      <c r="K48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81"/>
      <c r="M481"/>
      <c r="N481"/>
      <c r="O481"/>
      <c r="P481"/>
      <c r="Q481"/>
      <c r="R481"/>
      <c r="S481"/>
      <c r="T481"/>
      <c r="U481"/>
      <c r="V481" s="8">
        <f>Table1[[#This Row],[Balls Scored From Trench]]+Table1[[#This Row],[Balls Scored from Mid]]+Table1[[#This Row],[Balls Scored From Alliance zone]]</f>
        <v>0</v>
      </c>
      <c r="W481" s="8">
        <f>Table1[[#This Row],[balls scored high]]+Table1[[#This Row],[balls scored low]]</f>
        <v>0</v>
      </c>
      <c r="X481" s="8">
        <f>Table1[[#This Row],[Control Panel Spun Time]]+Table1[[#This Row],[Control Panel Color Time]]</f>
        <v>0</v>
      </c>
      <c r="Y481" s="8">
        <f>Table1[[#This Row],[Control Panels Spun]]+Table1[[#This Row],[Control Panel Color]]</f>
        <v>0</v>
      </c>
      <c r="Z48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81"/>
      <c r="AB481"/>
      <c r="AC481"/>
      <c r="AD481"/>
      <c r="AE481"/>
      <c r="AF481"/>
      <c r="AG481"/>
      <c r="AH481"/>
      <c r="AI481"/>
      <c r="AJ481"/>
      <c r="AK481" s="17">
        <f>(Table1[[#This Row],[Climbed]]*weighting!$B$18)+(Table1[[#This Row],[Adjustable Climber]]*weighting!$B$19)+(Table1[[#This Row],[Lift other Robot]]*weighting!$B$20)+(Table1[[#This Row],[Balanced]]*weighting!$B$21)</f>
        <v>0</v>
      </c>
      <c r="AL481" s="8">
        <f>+Table1[[#This Row],[Endgame our score]]+Table1[[#This Row],[teleop our score]]+Table1[[#This Row],[auton our score]]</f>
        <v>0</v>
      </c>
      <c r="AM481" s="20">
        <f t="shared" si="21"/>
        <v>0</v>
      </c>
      <c r="AN481" s="20">
        <f t="shared" si="22"/>
        <v>0</v>
      </c>
      <c r="AO481" s="20">
        <f t="shared" si="23"/>
        <v>0</v>
      </c>
      <c r="AP481" s="20">
        <f>Table1[[#This Row],[balls scored]]+Table1[[#This Row],[auton balls scored]]</f>
        <v>0</v>
      </c>
      <c r="AQ481" s="20">
        <f>Table1[[#This Row],[balls scored high]]+Table1[[#This Row],[Auton Scored High]]</f>
        <v>0</v>
      </c>
      <c r="AR481" s="20">
        <f>Table1[[#This Row],[balls scored low]]+Table1[[#This Row],[Auton Scored Low]]</f>
        <v>0</v>
      </c>
      <c r="AS481" s="50">
        <f>IF(Table1[[#This Row],[Control Panel Spun Time]]&gt;0,1,0)</f>
        <v>0</v>
      </c>
      <c r="AT481" s="20">
        <f>IF(Table1[[#This Row],[Control Panel Color Time]]&gt;0,1,0)</f>
        <v>0</v>
      </c>
    </row>
    <row r="482" spans="1:46" x14ac:dyDescent="0.25">
      <c r="A482"/>
      <c r="I482" s="8">
        <f>+Table1[[#This Row],[Auton ball picked up in our trench]]+Table1[[#This Row],[Auton Balls Picked Up in Mid]]+Table1[[#This Row],[Auton Balls Picked Up In Their Trench]]</f>
        <v>0</v>
      </c>
      <c r="J482" s="8">
        <f>+Table1[[#This Row],[Auton Scored High]]+Table1[[#This Row],[Auton Scored Low]]</f>
        <v>0</v>
      </c>
      <c r="K48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82" s="8">
        <f>Table1[[#This Row],[Balls Scored From Trench]]+Table1[[#This Row],[Balls Scored from Mid]]+Table1[[#This Row],[Balls Scored From Alliance zone]]</f>
        <v>0</v>
      </c>
      <c r="W482" s="8">
        <f>Table1[[#This Row],[balls scored high]]+Table1[[#This Row],[balls scored low]]</f>
        <v>0</v>
      </c>
      <c r="X482" s="8">
        <f>Table1[[#This Row],[Control Panel Spun Time]]+Table1[[#This Row],[Control Panel Color Time]]</f>
        <v>0</v>
      </c>
      <c r="Y482" s="8">
        <f>Table1[[#This Row],[Control Panels Spun]]+Table1[[#This Row],[Control Panel Color]]</f>
        <v>0</v>
      </c>
      <c r="Z48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82" s="17">
        <f>(Table1[[#This Row],[Climbed]]*weighting!$B$18)+(Table1[[#This Row],[Adjustable Climber]]*weighting!$B$19)+(Table1[[#This Row],[Lift other Robot]]*weighting!$B$20)+(Table1[[#This Row],[Balanced]]*weighting!$B$21)</f>
        <v>0</v>
      </c>
      <c r="AL482" s="8">
        <f>+Table1[[#This Row],[Endgame our score]]+Table1[[#This Row],[teleop our score]]+Table1[[#This Row],[auton our score]]</f>
        <v>0</v>
      </c>
      <c r="AM482" s="20">
        <f t="shared" si="21"/>
        <v>0</v>
      </c>
      <c r="AN482" s="20">
        <f t="shared" si="22"/>
        <v>0</v>
      </c>
      <c r="AO482" s="20">
        <f t="shared" si="23"/>
        <v>0</v>
      </c>
      <c r="AP482" s="20">
        <f>Table1[[#This Row],[balls scored]]+Table1[[#This Row],[auton balls scored]]</f>
        <v>0</v>
      </c>
      <c r="AQ482" s="20">
        <f>Table1[[#This Row],[balls scored high]]+Table1[[#This Row],[Auton Scored High]]</f>
        <v>0</v>
      </c>
      <c r="AR482" s="20">
        <f>Table1[[#This Row],[balls scored low]]+Table1[[#This Row],[Auton Scored Low]]</f>
        <v>0</v>
      </c>
      <c r="AS482" s="50">
        <f>IF(Table1[[#This Row],[Control Panel Spun Time]]&gt;0,1,0)</f>
        <v>0</v>
      </c>
      <c r="AT482" s="20">
        <f>IF(Table1[[#This Row],[Control Panel Color Time]]&gt;0,1,0)</f>
        <v>0</v>
      </c>
    </row>
    <row r="483" spans="1:46" s="2" customFormat="1" x14ac:dyDescent="0.25">
      <c r="A483"/>
      <c r="B483"/>
      <c r="C483"/>
      <c r="D483"/>
      <c r="E483"/>
      <c r="F483"/>
      <c r="G483"/>
      <c r="H483"/>
      <c r="I483" s="8">
        <f>+Table1[[#This Row],[Auton ball picked up in our trench]]+Table1[[#This Row],[Auton Balls Picked Up in Mid]]+Table1[[#This Row],[Auton Balls Picked Up In Their Trench]]</f>
        <v>0</v>
      </c>
      <c r="J483" s="8">
        <f>+Table1[[#This Row],[Auton Scored High]]+Table1[[#This Row],[Auton Scored Low]]</f>
        <v>0</v>
      </c>
      <c r="K48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83"/>
      <c r="M483"/>
      <c r="N483"/>
      <c r="O483"/>
      <c r="P483"/>
      <c r="Q483"/>
      <c r="R483"/>
      <c r="S483"/>
      <c r="T483"/>
      <c r="U483"/>
      <c r="V483" s="8">
        <f>Table1[[#This Row],[Balls Scored From Trench]]+Table1[[#This Row],[Balls Scored from Mid]]+Table1[[#This Row],[Balls Scored From Alliance zone]]</f>
        <v>0</v>
      </c>
      <c r="W483" s="8">
        <f>Table1[[#This Row],[balls scored high]]+Table1[[#This Row],[balls scored low]]</f>
        <v>0</v>
      </c>
      <c r="X483" s="8">
        <f>Table1[[#This Row],[Control Panel Spun Time]]+Table1[[#This Row],[Control Panel Color Time]]</f>
        <v>0</v>
      </c>
      <c r="Y483" s="8">
        <f>Table1[[#This Row],[Control Panels Spun]]+Table1[[#This Row],[Control Panel Color]]</f>
        <v>0</v>
      </c>
      <c r="Z48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83"/>
      <c r="AB483"/>
      <c r="AC483"/>
      <c r="AD483"/>
      <c r="AE483"/>
      <c r="AF483"/>
      <c r="AG483"/>
      <c r="AH483"/>
      <c r="AI483"/>
      <c r="AJ483"/>
      <c r="AK483" s="17">
        <f>(Table1[[#This Row],[Climbed]]*weighting!$B$18)+(Table1[[#This Row],[Adjustable Climber]]*weighting!$B$19)+(Table1[[#This Row],[Lift other Robot]]*weighting!$B$20)+(Table1[[#This Row],[Balanced]]*weighting!$B$21)</f>
        <v>0</v>
      </c>
      <c r="AL483" s="8">
        <f>+Table1[[#This Row],[Endgame our score]]+Table1[[#This Row],[teleop our score]]+Table1[[#This Row],[auton our score]]</f>
        <v>0</v>
      </c>
      <c r="AM483" s="20">
        <f t="shared" si="21"/>
        <v>0</v>
      </c>
      <c r="AN483" s="20">
        <f t="shared" si="22"/>
        <v>0</v>
      </c>
      <c r="AO483" s="20">
        <f t="shared" si="23"/>
        <v>0</v>
      </c>
      <c r="AP483" s="20">
        <f>Table1[[#This Row],[balls scored]]+Table1[[#This Row],[auton balls scored]]</f>
        <v>0</v>
      </c>
      <c r="AQ483" s="20">
        <f>Table1[[#This Row],[balls scored high]]+Table1[[#This Row],[Auton Scored High]]</f>
        <v>0</v>
      </c>
      <c r="AR483" s="20">
        <f>Table1[[#This Row],[balls scored low]]+Table1[[#This Row],[Auton Scored Low]]</f>
        <v>0</v>
      </c>
      <c r="AS483" s="50">
        <f>IF(Table1[[#This Row],[Control Panel Spun Time]]&gt;0,1,0)</f>
        <v>0</v>
      </c>
      <c r="AT483" s="20">
        <f>IF(Table1[[#This Row],[Control Panel Color Time]]&gt;0,1,0)</f>
        <v>0</v>
      </c>
    </row>
    <row r="484" spans="1:46" x14ac:dyDescent="0.25">
      <c r="A484"/>
      <c r="I484" s="8">
        <f>+Table1[[#This Row],[Auton ball picked up in our trench]]+Table1[[#This Row],[Auton Balls Picked Up in Mid]]+Table1[[#This Row],[Auton Balls Picked Up In Their Trench]]</f>
        <v>0</v>
      </c>
      <c r="J484" s="8">
        <f>+Table1[[#This Row],[Auton Scored High]]+Table1[[#This Row],[Auton Scored Low]]</f>
        <v>0</v>
      </c>
      <c r="K48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84" s="8">
        <f>Table1[[#This Row],[Balls Scored From Trench]]+Table1[[#This Row],[Balls Scored from Mid]]+Table1[[#This Row],[Balls Scored From Alliance zone]]</f>
        <v>0</v>
      </c>
      <c r="W484" s="8">
        <f>Table1[[#This Row],[balls scored high]]+Table1[[#This Row],[balls scored low]]</f>
        <v>0</v>
      </c>
      <c r="X484" s="8">
        <f>Table1[[#This Row],[Control Panel Spun Time]]+Table1[[#This Row],[Control Panel Color Time]]</f>
        <v>0</v>
      </c>
      <c r="Y484" s="8">
        <f>Table1[[#This Row],[Control Panels Spun]]+Table1[[#This Row],[Control Panel Color]]</f>
        <v>0</v>
      </c>
      <c r="Z48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84" s="17">
        <f>(Table1[[#This Row],[Climbed]]*weighting!$B$18)+(Table1[[#This Row],[Adjustable Climber]]*weighting!$B$19)+(Table1[[#This Row],[Lift other Robot]]*weighting!$B$20)+(Table1[[#This Row],[Balanced]]*weighting!$B$21)</f>
        <v>0</v>
      </c>
      <c r="AL484" s="8">
        <f>+Table1[[#This Row],[Endgame our score]]+Table1[[#This Row],[teleop our score]]+Table1[[#This Row],[auton our score]]</f>
        <v>0</v>
      </c>
      <c r="AM484" s="20">
        <f t="shared" si="21"/>
        <v>0</v>
      </c>
      <c r="AN484" s="20">
        <f t="shared" si="22"/>
        <v>0</v>
      </c>
      <c r="AO484" s="20">
        <f t="shared" si="23"/>
        <v>0</v>
      </c>
      <c r="AP484" s="20">
        <f>Table1[[#This Row],[balls scored]]+Table1[[#This Row],[auton balls scored]]</f>
        <v>0</v>
      </c>
      <c r="AQ484" s="20">
        <f>Table1[[#This Row],[balls scored high]]+Table1[[#This Row],[Auton Scored High]]</f>
        <v>0</v>
      </c>
      <c r="AR484" s="20">
        <f>Table1[[#This Row],[balls scored low]]+Table1[[#This Row],[Auton Scored Low]]</f>
        <v>0</v>
      </c>
      <c r="AS484" s="50">
        <f>IF(Table1[[#This Row],[Control Panel Spun Time]]&gt;0,1,0)</f>
        <v>0</v>
      </c>
      <c r="AT484" s="20">
        <f>IF(Table1[[#This Row],[Control Panel Color Time]]&gt;0,1,0)</f>
        <v>0</v>
      </c>
    </row>
    <row r="485" spans="1:46" s="2" customFormat="1" x14ac:dyDescent="0.25">
      <c r="A485"/>
      <c r="B485"/>
      <c r="C485"/>
      <c r="D485"/>
      <c r="E485"/>
      <c r="F485"/>
      <c r="G485"/>
      <c r="H485"/>
      <c r="I485" s="8">
        <f>+Table1[[#This Row],[Auton ball picked up in our trench]]+Table1[[#This Row],[Auton Balls Picked Up in Mid]]+Table1[[#This Row],[Auton Balls Picked Up In Their Trench]]</f>
        <v>0</v>
      </c>
      <c r="J485" s="8">
        <f>+Table1[[#This Row],[Auton Scored High]]+Table1[[#This Row],[Auton Scored Low]]</f>
        <v>0</v>
      </c>
      <c r="K48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85"/>
      <c r="M485"/>
      <c r="N485"/>
      <c r="O485"/>
      <c r="P485"/>
      <c r="Q485"/>
      <c r="R485"/>
      <c r="S485"/>
      <c r="T485"/>
      <c r="U485"/>
      <c r="V485" s="8">
        <f>Table1[[#This Row],[Balls Scored From Trench]]+Table1[[#This Row],[Balls Scored from Mid]]+Table1[[#This Row],[Balls Scored From Alliance zone]]</f>
        <v>0</v>
      </c>
      <c r="W485" s="8">
        <f>Table1[[#This Row],[balls scored high]]+Table1[[#This Row],[balls scored low]]</f>
        <v>0</v>
      </c>
      <c r="X485" s="8">
        <f>Table1[[#This Row],[Control Panel Spun Time]]+Table1[[#This Row],[Control Panel Color Time]]</f>
        <v>0</v>
      </c>
      <c r="Y485" s="8">
        <f>Table1[[#This Row],[Control Panels Spun]]+Table1[[#This Row],[Control Panel Color]]</f>
        <v>0</v>
      </c>
      <c r="Z48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85"/>
      <c r="AB485"/>
      <c r="AC485"/>
      <c r="AD485"/>
      <c r="AE485"/>
      <c r="AF485"/>
      <c r="AG485"/>
      <c r="AH485"/>
      <c r="AI485"/>
      <c r="AJ485"/>
      <c r="AK485" s="17">
        <f>(Table1[[#This Row],[Climbed]]*weighting!$B$18)+(Table1[[#This Row],[Adjustable Climber]]*weighting!$B$19)+(Table1[[#This Row],[Lift other Robot]]*weighting!$B$20)+(Table1[[#This Row],[Balanced]]*weighting!$B$21)</f>
        <v>0</v>
      </c>
      <c r="AL485" s="8">
        <f>+Table1[[#This Row],[Endgame our score]]+Table1[[#This Row],[teleop our score]]+Table1[[#This Row],[auton our score]]</f>
        <v>0</v>
      </c>
      <c r="AM485" s="20">
        <f t="shared" si="21"/>
        <v>0</v>
      </c>
      <c r="AN485" s="20">
        <f t="shared" si="22"/>
        <v>0</v>
      </c>
      <c r="AO485" s="20">
        <f t="shared" si="23"/>
        <v>0</v>
      </c>
      <c r="AP485" s="20">
        <f>Table1[[#This Row],[balls scored]]+Table1[[#This Row],[auton balls scored]]</f>
        <v>0</v>
      </c>
      <c r="AQ485" s="20">
        <f>Table1[[#This Row],[balls scored high]]+Table1[[#This Row],[Auton Scored High]]</f>
        <v>0</v>
      </c>
      <c r="AR485" s="20">
        <f>Table1[[#This Row],[balls scored low]]+Table1[[#This Row],[Auton Scored Low]]</f>
        <v>0</v>
      </c>
      <c r="AS485" s="50">
        <f>IF(Table1[[#This Row],[Control Panel Spun Time]]&gt;0,1,0)</f>
        <v>0</v>
      </c>
      <c r="AT485" s="20">
        <f>IF(Table1[[#This Row],[Control Panel Color Time]]&gt;0,1,0)</f>
        <v>0</v>
      </c>
    </row>
    <row r="486" spans="1:46" x14ac:dyDescent="0.25">
      <c r="A486"/>
      <c r="I486" s="8">
        <f>+Table1[[#This Row],[Auton ball picked up in our trench]]+Table1[[#This Row],[Auton Balls Picked Up in Mid]]+Table1[[#This Row],[Auton Balls Picked Up In Their Trench]]</f>
        <v>0</v>
      </c>
      <c r="J486" s="8">
        <f>+Table1[[#This Row],[Auton Scored High]]+Table1[[#This Row],[Auton Scored Low]]</f>
        <v>0</v>
      </c>
      <c r="K48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86" s="8">
        <f>Table1[[#This Row],[Balls Scored From Trench]]+Table1[[#This Row],[Balls Scored from Mid]]+Table1[[#This Row],[Balls Scored From Alliance zone]]</f>
        <v>0</v>
      </c>
      <c r="W486" s="8">
        <f>Table1[[#This Row],[balls scored high]]+Table1[[#This Row],[balls scored low]]</f>
        <v>0</v>
      </c>
      <c r="X486" s="8">
        <f>Table1[[#This Row],[Control Panel Spun Time]]+Table1[[#This Row],[Control Panel Color Time]]</f>
        <v>0</v>
      </c>
      <c r="Y486" s="8">
        <f>Table1[[#This Row],[Control Panels Spun]]+Table1[[#This Row],[Control Panel Color]]</f>
        <v>0</v>
      </c>
      <c r="Z48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86" s="17">
        <f>(Table1[[#This Row],[Climbed]]*weighting!$B$18)+(Table1[[#This Row],[Adjustable Climber]]*weighting!$B$19)+(Table1[[#This Row],[Lift other Robot]]*weighting!$B$20)+(Table1[[#This Row],[Balanced]]*weighting!$B$21)</f>
        <v>0</v>
      </c>
      <c r="AL486" s="8">
        <f>+Table1[[#This Row],[Endgame our score]]+Table1[[#This Row],[teleop our score]]+Table1[[#This Row],[auton our score]]</f>
        <v>0</v>
      </c>
      <c r="AM486" s="20">
        <f t="shared" si="21"/>
        <v>0</v>
      </c>
      <c r="AN486" s="20">
        <f t="shared" si="22"/>
        <v>0</v>
      </c>
      <c r="AO486" s="20">
        <f t="shared" si="23"/>
        <v>0</v>
      </c>
      <c r="AP486" s="20">
        <f>Table1[[#This Row],[balls scored]]+Table1[[#This Row],[auton balls scored]]</f>
        <v>0</v>
      </c>
      <c r="AQ486" s="20">
        <f>Table1[[#This Row],[balls scored high]]+Table1[[#This Row],[Auton Scored High]]</f>
        <v>0</v>
      </c>
      <c r="AR486" s="20">
        <f>Table1[[#This Row],[balls scored low]]+Table1[[#This Row],[Auton Scored Low]]</f>
        <v>0</v>
      </c>
      <c r="AS486" s="50">
        <f>IF(Table1[[#This Row],[Control Panel Spun Time]]&gt;0,1,0)</f>
        <v>0</v>
      </c>
      <c r="AT486" s="20">
        <f>IF(Table1[[#This Row],[Control Panel Color Time]]&gt;0,1,0)</f>
        <v>0</v>
      </c>
    </row>
    <row r="487" spans="1:46" s="2" customFormat="1" x14ac:dyDescent="0.25">
      <c r="A487"/>
      <c r="B487"/>
      <c r="C487"/>
      <c r="D487"/>
      <c r="E487"/>
      <c r="F487"/>
      <c r="G487"/>
      <c r="H487"/>
      <c r="I487" s="8">
        <f>+Table1[[#This Row],[Auton ball picked up in our trench]]+Table1[[#This Row],[Auton Balls Picked Up in Mid]]+Table1[[#This Row],[Auton Balls Picked Up In Their Trench]]</f>
        <v>0</v>
      </c>
      <c r="J487" s="8">
        <f>+Table1[[#This Row],[Auton Scored High]]+Table1[[#This Row],[Auton Scored Low]]</f>
        <v>0</v>
      </c>
      <c r="K48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87"/>
      <c r="M487"/>
      <c r="N487"/>
      <c r="O487"/>
      <c r="P487"/>
      <c r="Q487"/>
      <c r="R487"/>
      <c r="S487"/>
      <c r="T487"/>
      <c r="U487"/>
      <c r="V487" s="8">
        <f>Table1[[#This Row],[Balls Scored From Trench]]+Table1[[#This Row],[Balls Scored from Mid]]+Table1[[#This Row],[Balls Scored From Alliance zone]]</f>
        <v>0</v>
      </c>
      <c r="W487" s="8">
        <f>Table1[[#This Row],[balls scored high]]+Table1[[#This Row],[balls scored low]]</f>
        <v>0</v>
      </c>
      <c r="X487" s="8">
        <f>Table1[[#This Row],[Control Panel Spun Time]]+Table1[[#This Row],[Control Panel Color Time]]</f>
        <v>0</v>
      </c>
      <c r="Y487" s="8">
        <f>Table1[[#This Row],[Control Panels Spun]]+Table1[[#This Row],[Control Panel Color]]</f>
        <v>0</v>
      </c>
      <c r="Z48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87"/>
      <c r="AB487"/>
      <c r="AC487"/>
      <c r="AD487"/>
      <c r="AE487"/>
      <c r="AF487"/>
      <c r="AG487"/>
      <c r="AH487"/>
      <c r="AI487"/>
      <c r="AJ487"/>
      <c r="AK487" s="17">
        <f>(Table1[[#This Row],[Climbed]]*weighting!$B$18)+(Table1[[#This Row],[Adjustable Climber]]*weighting!$B$19)+(Table1[[#This Row],[Lift other Robot]]*weighting!$B$20)+(Table1[[#This Row],[Balanced]]*weighting!$B$21)</f>
        <v>0</v>
      </c>
      <c r="AL487" s="8">
        <f>+Table1[[#This Row],[Endgame our score]]+Table1[[#This Row],[teleop our score]]+Table1[[#This Row],[auton our score]]</f>
        <v>0</v>
      </c>
      <c r="AM487" s="20">
        <f t="shared" si="21"/>
        <v>0</v>
      </c>
      <c r="AN487" s="20">
        <f t="shared" si="22"/>
        <v>0</v>
      </c>
      <c r="AO487" s="20">
        <f t="shared" si="23"/>
        <v>0</v>
      </c>
      <c r="AP487" s="20">
        <f>Table1[[#This Row],[balls scored]]+Table1[[#This Row],[auton balls scored]]</f>
        <v>0</v>
      </c>
      <c r="AQ487" s="20">
        <f>Table1[[#This Row],[balls scored high]]+Table1[[#This Row],[Auton Scored High]]</f>
        <v>0</v>
      </c>
      <c r="AR487" s="20">
        <f>Table1[[#This Row],[balls scored low]]+Table1[[#This Row],[Auton Scored Low]]</f>
        <v>0</v>
      </c>
      <c r="AS487" s="50">
        <f>IF(Table1[[#This Row],[Control Panel Spun Time]]&gt;0,1,0)</f>
        <v>0</v>
      </c>
      <c r="AT487" s="20">
        <f>IF(Table1[[#This Row],[Control Panel Color Time]]&gt;0,1,0)</f>
        <v>0</v>
      </c>
    </row>
    <row r="488" spans="1:46" x14ac:dyDescent="0.25">
      <c r="A488"/>
      <c r="I488" s="8">
        <f>+Table1[[#This Row],[Auton ball picked up in our trench]]+Table1[[#This Row],[Auton Balls Picked Up in Mid]]+Table1[[#This Row],[Auton Balls Picked Up In Their Trench]]</f>
        <v>0</v>
      </c>
      <c r="J488" s="8">
        <f>+Table1[[#This Row],[Auton Scored High]]+Table1[[#This Row],[Auton Scored Low]]</f>
        <v>0</v>
      </c>
      <c r="K48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88" s="8">
        <f>Table1[[#This Row],[Balls Scored From Trench]]+Table1[[#This Row],[Balls Scored from Mid]]+Table1[[#This Row],[Balls Scored From Alliance zone]]</f>
        <v>0</v>
      </c>
      <c r="W488" s="8">
        <f>Table1[[#This Row],[balls scored high]]+Table1[[#This Row],[balls scored low]]</f>
        <v>0</v>
      </c>
      <c r="X488" s="8">
        <f>Table1[[#This Row],[Control Panel Spun Time]]+Table1[[#This Row],[Control Panel Color Time]]</f>
        <v>0</v>
      </c>
      <c r="Y488" s="8">
        <f>Table1[[#This Row],[Control Panels Spun]]+Table1[[#This Row],[Control Panel Color]]</f>
        <v>0</v>
      </c>
      <c r="Z48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88" s="17">
        <f>(Table1[[#This Row],[Climbed]]*weighting!$B$18)+(Table1[[#This Row],[Adjustable Climber]]*weighting!$B$19)+(Table1[[#This Row],[Lift other Robot]]*weighting!$B$20)+(Table1[[#This Row],[Balanced]]*weighting!$B$21)</f>
        <v>0</v>
      </c>
      <c r="AL488" s="8">
        <f>+Table1[[#This Row],[Endgame our score]]+Table1[[#This Row],[teleop our score]]+Table1[[#This Row],[auton our score]]</f>
        <v>0</v>
      </c>
      <c r="AM488" s="20">
        <f t="shared" si="21"/>
        <v>0</v>
      </c>
      <c r="AN488" s="20">
        <f t="shared" si="22"/>
        <v>0</v>
      </c>
      <c r="AO488" s="20">
        <f t="shared" si="23"/>
        <v>0</v>
      </c>
      <c r="AP488" s="20">
        <f>Table1[[#This Row],[balls scored]]+Table1[[#This Row],[auton balls scored]]</f>
        <v>0</v>
      </c>
      <c r="AQ488" s="20">
        <f>Table1[[#This Row],[balls scored high]]+Table1[[#This Row],[Auton Scored High]]</f>
        <v>0</v>
      </c>
      <c r="AR488" s="20">
        <f>Table1[[#This Row],[balls scored low]]+Table1[[#This Row],[Auton Scored Low]]</f>
        <v>0</v>
      </c>
      <c r="AS488" s="50">
        <f>IF(Table1[[#This Row],[Control Panel Spun Time]]&gt;0,1,0)</f>
        <v>0</v>
      </c>
      <c r="AT488" s="20">
        <f>IF(Table1[[#This Row],[Control Panel Color Time]]&gt;0,1,0)</f>
        <v>0</v>
      </c>
    </row>
    <row r="489" spans="1:46" s="2" customFormat="1" x14ac:dyDescent="0.25">
      <c r="A489"/>
      <c r="B489"/>
      <c r="C489"/>
      <c r="D489"/>
      <c r="E489"/>
      <c r="F489"/>
      <c r="G489"/>
      <c r="H489"/>
      <c r="I489" s="8">
        <f>+Table1[[#This Row],[Auton ball picked up in our trench]]+Table1[[#This Row],[Auton Balls Picked Up in Mid]]+Table1[[#This Row],[Auton Balls Picked Up In Their Trench]]</f>
        <v>0</v>
      </c>
      <c r="J489" s="8">
        <f>+Table1[[#This Row],[Auton Scored High]]+Table1[[#This Row],[Auton Scored Low]]</f>
        <v>0</v>
      </c>
      <c r="K48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89"/>
      <c r="M489"/>
      <c r="N489"/>
      <c r="O489"/>
      <c r="P489"/>
      <c r="Q489"/>
      <c r="R489"/>
      <c r="S489"/>
      <c r="T489"/>
      <c r="U489"/>
      <c r="V489" s="8">
        <f>Table1[[#This Row],[Balls Scored From Trench]]+Table1[[#This Row],[Balls Scored from Mid]]+Table1[[#This Row],[Balls Scored From Alliance zone]]</f>
        <v>0</v>
      </c>
      <c r="W489" s="8">
        <f>Table1[[#This Row],[balls scored high]]+Table1[[#This Row],[balls scored low]]</f>
        <v>0</v>
      </c>
      <c r="X489" s="8">
        <f>Table1[[#This Row],[Control Panel Spun Time]]+Table1[[#This Row],[Control Panel Color Time]]</f>
        <v>0</v>
      </c>
      <c r="Y489" s="8">
        <f>Table1[[#This Row],[Control Panels Spun]]+Table1[[#This Row],[Control Panel Color]]</f>
        <v>0</v>
      </c>
      <c r="Z48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89"/>
      <c r="AB489"/>
      <c r="AC489"/>
      <c r="AD489"/>
      <c r="AE489"/>
      <c r="AF489"/>
      <c r="AG489"/>
      <c r="AH489"/>
      <c r="AI489"/>
      <c r="AJ489"/>
      <c r="AK489" s="17">
        <f>(Table1[[#This Row],[Climbed]]*weighting!$B$18)+(Table1[[#This Row],[Adjustable Climber]]*weighting!$B$19)+(Table1[[#This Row],[Lift other Robot]]*weighting!$B$20)+(Table1[[#This Row],[Balanced]]*weighting!$B$21)</f>
        <v>0</v>
      </c>
      <c r="AL489" s="8">
        <f>+Table1[[#This Row],[Endgame our score]]+Table1[[#This Row],[teleop our score]]+Table1[[#This Row],[auton our score]]</f>
        <v>0</v>
      </c>
      <c r="AM489" s="20">
        <f t="shared" si="21"/>
        <v>0</v>
      </c>
      <c r="AN489" s="20">
        <f t="shared" si="22"/>
        <v>0</v>
      </c>
      <c r="AO489" s="20">
        <f t="shared" si="23"/>
        <v>0</v>
      </c>
      <c r="AP489" s="20">
        <f>Table1[[#This Row],[balls scored]]+Table1[[#This Row],[auton balls scored]]</f>
        <v>0</v>
      </c>
      <c r="AQ489" s="20">
        <f>Table1[[#This Row],[balls scored high]]+Table1[[#This Row],[Auton Scored High]]</f>
        <v>0</v>
      </c>
      <c r="AR489" s="20">
        <f>Table1[[#This Row],[balls scored low]]+Table1[[#This Row],[Auton Scored Low]]</f>
        <v>0</v>
      </c>
      <c r="AS489" s="50">
        <f>IF(Table1[[#This Row],[Control Panel Spun Time]]&gt;0,1,0)</f>
        <v>0</v>
      </c>
      <c r="AT489" s="20">
        <f>IF(Table1[[#This Row],[Control Panel Color Time]]&gt;0,1,0)</f>
        <v>0</v>
      </c>
    </row>
    <row r="490" spans="1:46" x14ac:dyDescent="0.25">
      <c r="A490"/>
      <c r="I490" s="8">
        <f>+Table1[[#This Row],[Auton ball picked up in our trench]]+Table1[[#This Row],[Auton Balls Picked Up in Mid]]+Table1[[#This Row],[Auton Balls Picked Up In Their Trench]]</f>
        <v>0</v>
      </c>
      <c r="J490" s="8">
        <f>+Table1[[#This Row],[Auton Scored High]]+Table1[[#This Row],[Auton Scored Low]]</f>
        <v>0</v>
      </c>
      <c r="K49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90" s="8">
        <f>Table1[[#This Row],[Balls Scored From Trench]]+Table1[[#This Row],[Balls Scored from Mid]]+Table1[[#This Row],[Balls Scored From Alliance zone]]</f>
        <v>0</v>
      </c>
      <c r="W490" s="8">
        <f>Table1[[#This Row],[balls scored high]]+Table1[[#This Row],[balls scored low]]</f>
        <v>0</v>
      </c>
      <c r="X490" s="8">
        <f>Table1[[#This Row],[Control Panel Spun Time]]+Table1[[#This Row],[Control Panel Color Time]]</f>
        <v>0</v>
      </c>
      <c r="Y490" s="8">
        <f>Table1[[#This Row],[Control Panels Spun]]+Table1[[#This Row],[Control Panel Color]]</f>
        <v>0</v>
      </c>
      <c r="Z49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90" s="17">
        <f>(Table1[[#This Row],[Climbed]]*weighting!$B$18)+(Table1[[#This Row],[Adjustable Climber]]*weighting!$B$19)+(Table1[[#This Row],[Lift other Robot]]*weighting!$B$20)+(Table1[[#This Row],[Balanced]]*weighting!$B$21)</f>
        <v>0</v>
      </c>
      <c r="AL490" s="8">
        <f>+Table1[[#This Row],[Endgame our score]]+Table1[[#This Row],[teleop our score]]+Table1[[#This Row],[auton our score]]</f>
        <v>0</v>
      </c>
      <c r="AM490" s="20">
        <f t="shared" si="21"/>
        <v>0</v>
      </c>
      <c r="AN490" s="20">
        <f t="shared" si="22"/>
        <v>0</v>
      </c>
      <c r="AO490" s="20">
        <f t="shared" si="23"/>
        <v>0</v>
      </c>
      <c r="AP490" s="20">
        <f>Table1[[#This Row],[balls scored]]+Table1[[#This Row],[auton balls scored]]</f>
        <v>0</v>
      </c>
      <c r="AQ490" s="20">
        <f>Table1[[#This Row],[balls scored high]]+Table1[[#This Row],[Auton Scored High]]</f>
        <v>0</v>
      </c>
      <c r="AR490" s="20">
        <f>Table1[[#This Row],[balls scored low]]+Table1[[#This Row],[Auton Scored Low]]</f>
        <v>0</v>
      </c>
      <c r="AS490" s="50">
        <f>IF(Table1[[#This Row],[Control Panel Spun Time]]&gt;0,1,0)</f>
        <v>0</v>
      </c>
      <c r="AT490" s="20">
        <f>IF(Table1[[#This Row],[Control Panel Color Time]]&gt;0,1,0)</f>
        <v>0</v>
      </c>
    </row>
    <row r="491" spans="1:46" s="2" customFormat="1" x14ac:dyDescent="0.25">
      <c r="A491"/>
      <c r="B491"/>
      <c r="C491"/>
      <c r="D491"/>
      <c r="E491"/>
      <c r="F491"/>
      <c r="G491"/>
      <c r="H491"/>
      <c r="I491" s="8">
        <f>+Table1[[#This Row],[Auton ball picked up in our trench]]+Table1[[#This Row],[Auton Balls Picked Up in Mid]]+Table1[[#This Row],[Auton Balls Picked Up In Their Trench]]</f>
        <v>0</v>
      </c>
      <c r="J491" s="8">
        <f>+Table1[[#This Row],[Auton Scored High]]+Table1[[#This Row],[Auton Scored Low]]</f>
        <v>0</v>
      </c>
      <c r="K49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91"/>
      <c r="M491"/>
      <c r="N491"/>
      <c r="O491"/>
      <c r="P491"/>
      <c r="Q491"/>
      <c r="R491"/>
      <c r="S491"/>
      <c r="T491"/>
      <c r="U491"/>
      <c r="V491" s="8">
        <f>Table1[[#This Row],[Balls Scored From Trench]]+Table1[[#This Row],[Balls Scored from Mid]]+Table1[[#This Row],[Balls Scored From Alliance zone]]</f>
        <v>0</v>
      </c>
      <c r="W491" s="8">
        <f>Table1[[#This Row],[balls scored high]]+Table1[[#This Row],[balls scored low]]</f>
        <v>0</v>
      </c>
      <c r="X491" s="8">
        <f>Table1[[#This Row],[Control Panel Spun Time]]+Table1[[#This Row],[Control Panel Color Time]]</f>
        <v>0</v>
      </c>
      <c r="Y491" s="8">
        <f>Table1[[#This Row],[Control Panels Spun]]+Table1[[#This Row],[Control Panel Color]]</f>
        <v>0</v>
      </c>
      <c r="Z49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91"/>
      <c r="AB491"/>
      <c r="AC491"/>
      <c r="AD491"/>
      <c r="AE491"/>
      <c r="AF491"/>
      <c r="AG491"/>
      <c r="AH491"/>
      <c r="AI491"/>
      <c r="AJ491"/>
      <c r="AK491" s="17">
        <f>(Table1[[#This Row],[Climbed]]*weighting!$B$18)+(Table1[[#This Row],[Adjustable Climber]]*weighting!$B$19)+(Table1[[#This Row],[Lift other Robot]]*weighting!$B$20)+(Table1[[#This Row],[Balanced]]*weighting!$B$21)</f>
        <v>0</v>
      </c>
      <c r="AL491" s="8">
        <f>+Table1[[#This Row],[Endgame our score]]+Table1[[#This Row],[teleop our score]]+Table1[[#This Row],[auton our score]]</f>
        <v>0</v>
      </c>
      <c r="AM491" s="20">
        <f t="shared" si="21"/>
        <v>0</v>
      </c>
      <c r="AN491" s="20">
        <f t="shared" si="22"/>
        <v>0</v>
      </c>
      <c r="AO491" s="20">
        <f t="shared" si="23"/>
        <v>0</v>
      </c>
      <c r="AP491" s="20">
        <f>Table1[[#This Row],[balls scored]]+Table1[[#This Row],[auton balls scored]]</f>
        <v>0</v>
      </c>
      <c r="AQ491" s="20">
        <f>Table1[[#This Row],[balls scored high]]+Table1[[#This Row],[Auton Scored High]]</f>
        <v>0</v>
      </c>
      <c r="AR491" s="20">
        <f>Table1[[#This Row],[balls scored low]]+Table1[[#This Row],[Auton Scored Low]]</f>
        <v>0</v>
      </c>
      <c r="AS491" s="50">
        <f>IF(Table1[[#This Row],[Control Panel Spun Time]]&gt;0,1,0)</f>
        <v>0</v>
      </c>
      <c r="AT491" s="20">
        <f>IF(Table1[[#This Row],[Control Panel Color Time]]&gt;0,1,0)</f>
        <v>0</v>
      </c>
    </row>
    <row r="492" spans="1:46" x14ac:dyDescent="0.25">
      <c r="A492"/>
      <c r="I492" s="8">
        <f>+Table1[[#This Row],[Auton ball picked up in our trench]]+Table1[[#This Row],[Auton Balls Picked Up in Mid]]+Table1[[#This Row],[Auton Balls Picked Up In Their Trench]]</f>
        <v>0</v>
      </c>
      <c r="J492" s="8">
        <f>+Table1[[#This Row],[Auton Scored High]]+Table1[[#This Row],[Auton Scored Low]]</f>
        <v>0</v>
      </c>
      <c r="K49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92" s="8">
        <f>Table1[[#This Row],[Balls Scored From Trench]]+Table1[[#This Row],[Balls Scored from Mid]]+Table1[[#This Row],[Balls Scored From Alliance zone]]</f>
        <v>0</v>
      </c>
      <c r="W492" s="8">
        <f>Table1[[#This Row],[balls scored high]]+Table1[[#This Row],[balls scored low]]</f>
        <v>0</v>
      </c>
      <c r="X492" s="8">
        <f>Table1[[#This Row],[Control Panel Spun Time]]+Table1[[#This Row],[Control Panel Color Time]]</f>
        <v>0</v>
      </c>
      <c r="Y492" s="8">
        <f>Table1[[#This Row],[Control Panels Spun]]+Table1[[#This Row],[Control Panel Color]]</f>
        <v>0</v>
      </c>
      <c r="Z49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92" s="17">
        <f>(Table1[[#This Row],[Climbed]]*weighting!$B$18)+(Table1[[#This Row],[Adjustable Climber]]*weighting!$B$19)+(Table1[[#This Row],[Lift other Robot]]*weighting!$B$20)+(Table1[[#This Row],[Balanced]]*weighting!$B$21)</f>
        <v>0</v>
      </c>
      <c r="AL492" s="8">
        <f>+Table1[[#This Row],[Endgame our score]]+Table1[[#This Row],[teleop our score]]+Table1[[#This Row],[auton our score]]</f>
        <v>0</v>
      </c>
      <c r="AM492" s="20">
        <f t="shared" si="21"/>
        <v>0</v>
      </c>
      <c r="AN492" s="20">
        <f t="shared" si="22"/>
        <v>0</v>
      </c>
      <c r="AO492" s="20">
        <f t="shared" si="23"/>
        <v>0</v>
      </c>
      <c r="AP492" s="20">
        <f>Table1[[#This Row],[balls scored]]+Table1[[#This Row],[auton balls scored]]</f>
        <v>0</v>
      </c>
      <c r="AQ492" s="20">
        <f>Table1[[#This Row],[balls scored high]]+Table1[[#This Row],[Auton Scored High]]</f>
        <v>0</v>
      </c>
      <c r="AR492" s="20">
        <f>Table1[[#This Row],[balls scored low]]+Table1[[#This Row],[Auton Scored Low]]</f>
        <v>0</v>
      </c>
      <c r="AS492" s="50">
        <f>IF(Table1[[#This Row],[Control Panel Spun Time]]&gt;0,1,0)</f>
        <v>0</v>
      </c>
      <c r="AT492" s="20">
        <f>IF(Table1[[#This Row],[Control Panel Color Time]]&gt;0,1,0)</f>
        <v>0</v>
      </c>
    </row>
    <row r="493" spans="1:46" s="2" customFormat="1" x14ac:dyDescent="0.25">
      <c r="A493"/>
      <c r="B493"/>
      <c r="C493"/>
      <c r="D493"/>
      <c r="E493"/>
      <c r="F493"/>
      <c r="G493"/>
      <c r="H493"/>
      <c r="I493" s="8">
        <f>+Table1[[#This Row],[Auton ball picked up in our trench]]+Table1[[#This Row],[Auton Balls Picked Up in Mid]]+Table1[[#This Row],[Auton Balls Picked Up In Their Trench]]</f>
        <v>0</v>
      </c>
      <c r="J493" s="8">
        <f>+Table1[[#This Row],[Auton Scored High]]+Table1[[#This Row],[Auton Scored Low]]</f>
        <v>0</v>
      </c>
      <c r="K49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93"/>
      <c r="M493"/>
      <c r="N493"/>
      <c r="O493"/>
      <c r="P493"/>
      <c r="Q493"/>
      <c r="R493"/>
      <c r="S493"/>
      <c r="T493"/>
      <c r="U493"/>
      <c r="V493" s="8">
        <f>Table1[[#This Row],[Balls Scored From Trench]]+Table1[[#This Row],[Balls Scored from Mid]]+Table1[[#This Row],[Balls Scored From Alliance zone]]</f>
        <v>0</v>
      </c>
      <c r="W493" s="8">
        <f>Table1[[#This Row],[balls scored high]]+Table1[[#This Row],[balls scored low]]</f>
        <v>0</v>
      </c>
      <c r="X493" s="8">
        <f>Table1[[#This Row],[Control Panel Spun Time]]+Table1[[#This Row],[Control Panel Color Time]]</f>
        <v>0</v>
      </c>
      <c r="Y493" s="8">
        <f>Table1[[#This Row],[Control Panels Spun]]+Table1[[#This Row],[Control Panel Color]]</f>
        <v>0</v>
      </c>
      <c r="Z49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93"/>
      <c r="AB493"/>
      <c r="AC493"/>
      <c r="AD493"/>
      <c r="AE493"/>
      <c r="AF493"/>
      <c r="AG493"/>
      <c r="AH493"/>
      <c r="AI493"/>
      <c r="AJ493"/>
      <c r="AK493" s="17">
        <f>(Table1[[#This Row],[Climbed]]*weighting!$B$18)+(Table1[[#This Row],[Adjustable Climber]]*weighting!$B$19)+(Table1[[#This Row],[Lift other Robot]]*weighting!$B$20)+(Table1[[#This Row],[Balanced]]*weighting!$B$21)</f>
        <v>0</v>
      </c>
      <c r="AL493" s="8">
        <f>+Table1[[#This Row],[Endgame our score]]+Table1[[#This Row],[teleop our score]]+Table1[[#This Row],[auton our score]]</f>
        <v>0</v>
      </c>
      <c r="AM493" s="20">
        <f t="shared" si="21"/>
        <v>0</v>
      </c>
      <c r="AN493" s="20">
        <f t="shared" si="22"/>
        <v>0</v>
      </c>
      <c r="AO493" s="20">
        <f t="shared" si="23"/>
        <v>0</v>
      </c>
      <c r="AP493" s="20">
        <f>Table1[[#This Row],[balls scored]]+Table1[[#This Row],[auton balls scored]]</f>
        <v>0</v>
      </c>
      <c r="AQ493" s="20">
        <f>Table1[[#This Row],[balls scored high]]+Table1[[#This Row],[Auton Scored High]]</f>
        <v>0</v>
      </c>
      <c r="AR493" s="20">
        <f>Table1[[#This Row],[balls scored low]]+Table1[[#This Row],[Auton Scored Low]]</f>
        <v>0</v>
      </c>
      <c r="AS493" s="50">
        <f>IF(Table1[[#This Row],[Control Panel Spun Time]]&gt;0,1,0)</f>
        <v>0</v>
      </c>
      <c r="AT493" s="20">
        <f>IF(Table1[[#This Row],[Control Panel Color Time]]&gt;0,1,0)</f>
        <v>0</v>
      </c>
    </row>
    <row r="494" spans="1:46" x14ac:dyDescent="0.25">
      <c r="A494"/>
      <c r="I494" s="8">
        <f>+Table1[[#This Row],[Auton ball picked up in our trench]]+Table1[[#This Row],[Auton Balls Picked Up in Mid]]+Table1[[#This Row],[Auton Balls Picked Up In Their Trench]]</f>
        <v>0</v>
      </c>
      <c r="J494" s="8">
        <f>+Table1[[#This Row],[Auton Scored High]]+Table1[[#This Row],[Auton Scored Low]]</f>
        <v>0</v>
      </c>
      <c r="K49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94" s="8">
        <f>Table1[[#This Row],[Balls Scored From Trench]]+Table1[[#This Row],[Balls Scored from Mid]]+Table1[[#This Row],[Balls Scored From Alliance zone]]</f>
        <v>0</v>
      </c>
      <c r="W494" s="8">
        <f>Table1[[#This Row],[balls scored high]]+Table1[[#This Row],[balls scored low]]</f>
        <v>0</v>
      </c>
      <c r="X494" s="8">
        <f>Table1[[#This Row],[Control Panel Spun Time]]+Table1[[#This Row],[Control Panel Color Time]]</f>
        <v>0</v>
      </c>
      <c r="Y494" s="8">
        <f>Table1[[#This Row],[Control Panels Spun]]+Table1[[#This Row],[Control Panel Color]]</f>
        <v>0</v>
      </c>
      <c r="Z49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94" s="17">
        <f>(Table1[[#This Row],[Climbed]]*weighting!$B$18)+(Table1[[#This Row],[Adjustable Climber]]*weighting!$B$19)+(Table1[[#This Row],[Lift other Robot]]*weighting!$B$20)+(Table1[[#This Row],[Balanced]]*weighting!$B$21)</f>
        <v>0</v>
      </c>
      <c r="AL494" s="8">
        <f>+Table1[[#This Row],[Endgame our score]]+Table1[[#This Row],[teleop our score]]+Table1[[#This Row],[auton our score]]</f>
        <v>0</v>
      </c>
      <c r="AM494" s="20">
        <f t="shared" si="21"/>
        <v>0</v>
      </c>
      <c r="AN494" s="20">
        <f t="shared" si="22"/>
        <v>0</v>
      </c>
      <c r="AO494" s="20">
        <f t="shared" si="23"/>
        <v>0</v>
      </c>
      <c r="AP494" s="20">
        <f>Table1[[#This Row],[balls scored]]+Table1[[#This Row],[auton balls scored]]</f>
        <v>0</v>
      </c>
      <c r="AQ494" s="20">
        <f>Table1[[#This Row],[balls scored high]]+Table1[[#This Row],[Auton Scored High]]</f>
        <v>0</v>
      </c>
      <c r="AR494" s="20">
        <f>Table1[[#This Row],[balls scored low]]+Table1[[#This Row],[Auton Scored Low]]</f>
        <v>0</v>
      </c>
      <c r="AS494" s="50">
        <f>IF(Table1[[#This Row],[Control Panel Spun Time]]&gt;0,1,0)</f>
        <v>0</v>
      </c>
      <c r="AT494" s="20">
        <f>IF(Table1[[#This Row],[Control Panel Color Time]]&gt;0,1,0)</f>
        <v>0</v>
      </c>
    </row>
    <row r="495" spans="1:46" s="2" customFormat="1" x14ac:dyDescent="0.25">
      <c r="A495"/>
      <c r="B495"/>
      <c r="C495"/>
      <c r="D495"/>
      <c r="E495"/>
      <c r="F495"/>
      <c r="G495"/>
      <c r="H495"/>
      <c r="I495" s="8">
        <f>+Table1[[#This Row],[Auton ball picked up in our trench]]+Table1[[#This Row],[Auton Balls Picked Up in Mid]]+Table1[[#This Row],[Auton Balls Picked Up In Their Trench]]</f>
        <v>0</v>
      </c>
      <c r="J495" s="8">
        <f>+Table1[[#This Row],[Auton Scored High]]+Table1[[#This Row],[Auton Scored Low]]</f>
        <v>0</v>
      </c>
      <c r="K49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95"/>
      <c r="M495"/>
      <c r="N495"/>
      <c r="O495"/>
      <c r="P495"/>
      <c r="Q495"/>
      <c r="R495"/>
      <c r="S495"/>
      <c r="T495"/>
      <c r="U495"/>
      <c r="V495" s="8">
        <f>Table1[[#This Row],[Balls Scored From Trench]]+Table1[[#This Row],[Balls Scored from Mid]]+Table1[[#This Row],[Balls Scored From Alliance zone]]</f>
        <v>0</v>
      </c>
      <c r="W495" s="8">
        <f>Table1[[#This Row],[balls scored high]]+Table1[[#This Row],[balls scored low]]</f>
        <v>0</v>
      </c>
      <c r="X495" s="8">
        <f>Table1[[#This Row],[Control Panel Spun Time]]+Table1[[#This Row],[Control Panel Color Time]]</f>
        <v>0</v>
      </c>
      <c r="Y495" s="8">
        <f>Table1[[#This Row],[Control Panels Spun]]+Table1[[#This Row],[Control Panel Color]]</f>
        <v>0</v>
      </c>
      <c r="Z49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95"/>
      <c r="AB495"/>
      <c r="AC495"/>
      <c r="AD495"/>
      <c r="AE495"/>
      <c r="AF495"/>
      <c r="AG495"/>
      <c r="AH495"/>
      <c r="AI495"/>
      <c r="AJ495"/>
      <c r="AK495" s="17">
        <f>(Table1[[#This Row],[Climbed]]*weighting!$B$18)+(Table1[[#This Row],[Adjustable Climber]]*weighting!$B$19)+(Table1[[#This Row],[Lift other Robot]]*weighting!$B$20)+(Table1[[#This Row],[Balanced]]*weighting!$B$21)</f>
        <v>0</v>
      </c>
      <c r="AL495" s="8">
        <f>+Table1[[#This Row],[Endgame our score]]+Table1[[#This Row],[teleop our score]]+Table1[[#This Row],[auton our score]]</f>
        <v>0</v>
      </c>
      <c r="AM495" s="20">
        <f t="shared" si="21"/>
        <v>0</v>
      </c>
      <c r="AN495" s="20">
        <f t="shared" si="22"/>
        <v>0</v>
      </c>
      <c r="AO495" s="20">
        <f t="shared" si="23"/>
        <v>0</v>
      </c>
      <c r="AP495" s="20">
        <f>Table1[[#This Row],[balls scored]]+Table1[[#This Row],[auton balls scored]]</f>
        <v>0</v>
      </c>
      <c r="AQ495" s="20">
        <f>Table1[[#This Row],[balls scored high]]+Table1[[#This Row],[Auton Scored High]]</f>
        <v>0</v>
      </c>
      <c r="AR495" s="20">
        <f>Table1[[#This Row],[balls scored low]]+Table1[[#This Row],[Auton Scored Low]]</f>
        <v>0</v>
      </c>
      <c r="AS495" s="50">
        <f>IF(Table1[[#This Row],[Control Panel Spun Time]]&gt;0,1,0)</f>
        <v>0</v>
      </c>
      <c r="AT495" s="20">
        <f>IF(Table1[[#This Row],[Control Panel Color Time]]&gt;0,1,0)</f>
        <v>0</v>
      </c>
    </row>
    <row r="496" spans="1:46" x14ac:dyDescent="0.25">
      <c r="A496"/>
      <c r="I496" s="8">
        <f>+Table1[[#This Row],[Auton ball picked up in our trench]]+Table1[[#This Row],[Auton Balls Picked Up in Mid]]+Table1[[#This Row],[Auton Balls Picked Up In Their Trench]]</f>
        <v>0</v>
      </c>
      <c r="J496" s="8">
        <f>+Table1[[#This Row],[Auton Scored High]]+Table1[[#This Row],[Auton Scored Low]]</f>
        <v>0</v>
      </c>
      <c r="K49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96" s="8">
        <f>Table1[[#This Row],[Balls Scored From Trench]]+Table1[[#This Row],[Balls Scored from Mid]]+Table1[[#This Row],[Balls Scored From Alliance zone]]</f>
        <v>0</v>
      </c>
      <c r="W496" s="8">
        <f>Table1[[#This Row],[balls scored high]]+Table1[[#This Row],[balls scored low]]</f>
        <v>0</v>
      </c>
      <c r="X496" s="8">
        <f>Table1[[#This Row],[Control Panel Spun Time]]+Table1[[#This Row],[Control Panel Color Time]]</f>
        <v>0</v>
      </c>
      <c r="Y496" s="8">
        <f>Table1[[#This Row],[Control Panels Spun]]+Table1[[#This Row],[Control Panel Color]]</f>
        <v>0</v>
      </c>
      <c r="Z49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96" s="17">
        <f>(Table1[[#This Row],[Climbed]]*weighting!$B$18)+(Table1[[#This Row],[Adjustable Climber]]*weighting!$B$19)+(Table1[[#This Row],[Lift other Robot]]*weighting!$B$20)+(Table1[[#This Row],[Balanced]]*weighting!$B$21)</f>
        <v>0</v>
      </c>
      <c r="AL496" s="8">
        <f>+Table1[[#This Row],[Endgame our score]]+Table1[[#This Row],[teleop our score]]+Table1[[#This Row],[auton our score]]</f>
        <v>0</v>
      </c>
      <c r="AM496" s="20">
        <f t="shared" si="21"/>
        <v>0</v>
      </c>
      <c r="AN496" s="20">
        <f t="shared" si="22"/>
        <v>0</v>
      </c>
      <c r="AO496" s="20">
        <f t="shared" si="23"/>
        <v>0</v>
      </c>
      <c r="AP496" s="20">
        <f>Table1[[#This Row],[balls scored]]+Table1[[#This Row],[auton balls scored]]</f>
        <v>0</v>
      </c>
      <c r="AQ496" s="20">
        <f>Table1[[#This Row],[balls scored high]]+Table1[[#This Row],[Auton Scored High]]</f>
        <v>0</v>
      </c>
      <c r="AR496" s="20">
        <f>Table1[[#This Row],[balls scored low]]+Table1[[#This Row],[Auton Scored Low]]</f>
        <v>0</v>
      </c>
      <c r="AS496" s="50">
        <f>IF(Table1[[#This Row],[Control Panel Spun Time]]&gt;0,1,0)</f>
        <v>0</v>
      </c>
      <c r="AT496" s="20">
        <f>IF(Table1[[#This Row],[Control Panel Color Time]]&gt;0,1,0)</f>
        <v>0</v>
      </c>
    </row>
    <row r="497" spans="1:46" s="2" customFormat="1" x14ac:dyDescent="0.25">
      <c r="A497"/>
      <c r="B497"/>
      <c r="C497"/>
      <c r="D497"/>
      <c r="E497"/>
      <c r="F497"/>
      <c r="G497"/>
      <c r="H497"/>
      <c r="I497" s="8">
        <f>+Table1[[#This Row],[Auton ball picked up in our trench]]+Table1[[#This Row],[Auton Balls Picked Up in Mid]]+Table1[[#This Row],[Auton Balls Picked Up In Their Trench]]</f>
        <v>0</v>
      </c>
      <c r="J497" s="8">
        <f>+Table1[[#This Row],[Auton Scored High]]+Table1[[#This Row],[Auton Scored Low]]</f>
        <v>0</v>
      </c>
      <c r="K49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97"/>
      <c r="M497"/>
      <c r="N497"/>
      <c r="O497"/>
      <c r="P497"/>
      <c r="Q497"/>
      <c r="R497"/>
      <c r="S497"/>
      <c r="T497"/>
      <c r="U497"/>
      <c r="V497" s="8">
        <f>Table1[[#This Row],[Balls Scored From Trench]]+Table1[[#This Row],[Balls Scored from Mid]]+Table1[[#This Row],[Balls Scored From Alliance zone]]</f>
        <v>0</v>
      </c>
      <c r="W497" s="8">
        <f>Table1[[#This Row],[balls scored high]]+Table1[[#This Row],[balls scored low]]</f>
        <v>0</v>
      </c>
      <c r="X497" s="8">
        <f>Table1[[#This Row],[Control Panel Spun Time]]+Table1[[#This Row],[Control Panel Color Time]]</f>
        <v>0</v>
      </c>
      <c r="Y497" s="8">
        <f>Table1[[#This Row],[Control Panels Spun]]+Table1[[#This Row],[Control Panel Color]]</f>
        <v>0</v>
      </c>
      <c r="Z49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97"/>
      <c r="AB497"/>
      <c r="AC497"/>
      <c r="AD497"/>
      <c r="AE497"/>
      <c r="AF497"/>
      <c r="AG497"/>
      <c r="AH497"/>
      <c r="AI497"/>
      <c r="AJ497"/>
      <c r="AK497" s="17">
        <f>(Table1[[#This Row],[Climbed]]*weighting!$B$18)+(Table1[[#This Row],[Adjustable Climber]]*weighting!$B$19)+(Table1[[#This Row],[Lift other Robot]]*weighting!$B$20)+(Table1[[#This Row],[Balanced]]*weighting!$B$21)</f>
        <v>0</v>
      </c>
      <c r="AL497" s="8">
        <f>+Table1[[#This Row],[Endgame our score]]+Table1[[#This Row],[teleop our score]]+Table1[[#This Row],[auton our score]]</f>
        <v>0</v>
      </c>
      <c r="AM497" s="20">
        <f t="shared" si="21"/>
        <v>0</v>
      </c>
      <c r="AN497" s="20">
        <f t="shared" si="22"/>
        <v>0</v>
      </c>
      <c r="AO497" s="20">
        <f t="shared" si="23"/>
        <v>0</v>
      </c>
      <c r="AP497" s="20">
        <f>Table1[[#This Row],[balls scored]]+Table1[[#This Row],[auton balls scored]]</f>
        <v>0</v>
      </c>
      <c r="AQ497" s="20">
        <f>Table1[[#This Row],[balls scored high]]+Table1[[#This Row],[Auton Scored High]]</f>
        <v>0</v>
      </c>
      <c r="AR497" s="20">
        <f>Table1[[#This Row],[balls scored low]]+Table1[[#This Row],[Auton Scored Low]]</f>
        <v>0</v>
      </c>
      <c r="AS497" s="50">
        <f>IF(Table1[[#This Row],[Control Panel Spun Time]]&gt;0,1,0)</f>
        <v>0</v>
      </c>
      <c r="AT497" s="20">
        <f>IF(Table1[[#This Row],[Control Panel Color Time]]&gt;0,1,0)</f>
        <v>0</v>
      </c>
    </row>
    <row r="498" spans="1:46" x14ac:dyDescent="0.25">
      <c r="A498"/>
      <c r="I498" s="8">
        <f>+Table1[[#This Row],[Auton ball picked up in our trench]]+Table1[[#This Row],[Auton Balls Picked Up in Mid]]+Table1[[#This Row],[Auton Balls Picked Up In Their Trench]]</f>
        <v>0</v>
      </c>
      <c r="J498" s="8">
        <f>+Table1[[#This Row],[Auton Scored High]]+Table1[[#This Row],[Auton Scored Low]]</f>
        <v>0</v>
      </c>
      <c r="K49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498" s="8">
        <f>Table1[[#This Row],[Balls Scored From Trench]]+Table1[[#This Row],[Balls Scored from Mid]]+Table1[[#This Row],[Balls Scored From Alliance zone]]</f>
        <v>0</v>
      </c>
      <c r="W498" s="8">
        <f>Table1[[#This Row],[balls scored high]]+Table1[[#This Row],[balls scored low]]</f>
        <v>0</v>
      </c>
      <c r="X498" s="8">
        <f>Table1[[#This Row],[Control Panel Spun Time]]+Table1[[#This Row],[Control Panel Color Time]]</f>
        <v>0</v>
      </c>
      <c r="Y498" s="8">
        <f>Table1[[#This Row],[Control Panels Spun]]+Table1[[#This Row],[Control Panel Color]]</f>
        <v>0</v>
      </c>
      <c r="Z49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498" s="17">
        <f>(Table1[[#This Row],[Climbed]]*weighting!$B$18)+(Table1[[#This Row],[Adjustable Climber]]*weighting!$B$19)+(Table1[[#This Row],[Lift other Robot]]*weighting!$B$20)+(Table1[[#This Row],[Balanced]]*weighting!$B$21)</f>
        <v>0</v>
      </c>
      <c r="AL498" s="8">
        <f>+Table1[[#This Row],[Endgame our score]]+Table1[[#This Row],[teleop our score]]+Table1[[#This Row],[auton our score]]</f>
        <v>0</v>
      </c>
      <c r="AM498" s="20">
        <f t="shared" si="21"/>
        <v>0</v>
      </c>
      <c r="AN498" s="20">
        <f t="shared" si="22"/>
        <v>0</v>
      </c>
      <c r="AO498" s="20">
        <f t="shared" si="23"/>
        <v>0</v>
      </c>
      <c r="AP498" s="20">
        <f>Table1[[#This Row],[balls scored]]+Table1[[#This Row],[auton balls scored]]</f>
        <v>0</v>
      </c>
      <c r="AQ498" s="20">
        <f>Table1[[#This Row],[balls scored high]]+Table1[[#This Row],[Auton Scored High]]</f>
        <v>0</v>
      </c>
      <c r="AR498" s="20">
        <f>Table1[[#This Row],[balls scored low]]+Table1[[#This Row],[Auton Scored Low]]</f>
        <v>0</v>
      </c>
      <c r="AS498" s="50">
        <f>IF(Table1[[#This Row],[Control Panel Spun Time]]&gt;0,1,0)</f>
        <v>0</v>
      </c>
      <c r="AT498" s="20">
        <f>IF(Table1[[#This Row],[Control Panel Color Time]]&gt;0,1,0)</f>
        <v>0</v>
      </c>
    </row>
    <row r="499" spans="1:46" s="2" customFormat="1" x14ac:dyDescent="0.25">
      <c r="A499"/>
      <c r="B499"/>
      <c r="C499"/>
      <c r="D499"/>
      <c r="E499"/>
      <c r="F499"/>
      <c r="G499"/>
      <c r="H499"/>
      <c r="I499" s="8">
        <f>+Table1[[#This Row],[Auton ball picked up in our trench]]+Table1[[#This Row],[Auton Balls Picked Up in Mid]]+Table1[[#This Row],[Auton Balls Picked Up In Their Trench]]</f>
        <v>0</v>
      </c>
      <c r="J499" s="8">
        <f>+Table1[[#This Row],[Auton Scored High]]+Table1[[#This Row],[Auton Scored Low]]</f>
        <v>0</v>
      </c>
      <c r="K49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499"/>
      <c r="M499"/>
      <c r="N499"/>
      <c r="O499"/>
      <c r="P499"/>
      <c r="Q499"/>
      <c r="R499"/>
      <c r="S499"/>
      <c r="T499"/>
      <c r="U499"/>
      <c r="V499" s="8">
        <f>Table1[[#This Row],[Balls Scored From Trench]]+Table1[[#This Row],[Balls Scored from Mid]]+Table1[[#This Row],[Balls Scored From Alliance zone]]</f>
        <v>0</v>
      </c>
      <c r="W499" s="8">
        <f>Table1[[#This Row],[balls scored high]]+Table1[[#This Row],[balls scored low]]</f>
        <v>0</v>
      </c>
      <c r="X499" s="8">
        <f>Table1[[#This Row],[Control Panel Spun Time]]+Table1[[#This Row],[Control Panel Color Time]]</f>
        <v>0</v>
      </c>
      <c r="Y499" s="8">
        <f>Table1[[#This Row],[Control Panels Spun]]+Table1[[#This Row],[Control Panel Color]]</f>
        <v>0</v>
      </c>
      <c r="Z49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499"/>
      <c r="AB499"/>
      <c r="AC499"/>
      <c r="AD499"/>
      <c r="AE499"/>
      <c r="AF499"/>
      <c r="AG499"/>
      <c r="AH499"/>
      <c r="AI499"/>
      <c r="AJ499"/>
      <c r="AK499" s="17">
        <f>(Table1[[#This Row],[Climbed]]*weighting!$B$18)+(Table1[[#This Row],[Adjustable Climber]]*weighting!$B$19)+(Table1[[#This Row],[Lift other Robot]]*weighting!$B$20)+(Table1[[#This Row],[Balanced]]*weighting!$B$21)</f>
        <v>0</v>
      </c>
      <c r="AL499" s="8">
        <f>+Table1[[#This Row],[Endgame our score]]+Table1[[#This Row],[teleop our score]]+Table1[[#This Row],[auton our score]]</f>
        <v>0</v>
      </c>
      <c r="AM499" s="20">
        <f t="shared" si="21"/>
        <v>0</v>
      </c>
      <c r="AN499" s="20">
        <f t="shared" si="22"/>
        <v>0</v>
      </c>
      <c r="AO499" s="20">
        <f t="shared" si="23"/>
        <v>0</v>
      </c>
      <c r="AP499" s="20">
        <f>Table1[[#This Row],[balls scored]]+Table1[[#This Row],[auton balls scored]]</f>
        <v>0</v>
      </c>
      <c r="AQ499" s="20">
        <f>Table1[[#This Row],[balls scored high]]+Table1[[#This Row],[Auton Scored High]]</f>
        <v>0</v>
      </c>
      <c r="AR499" s="20">
        <f>Table1[[#This Row],[balls scored low]]+Table1[[#This Row],[Auton Scored Low]]</f>
        <v>0</v>
      </c>
      <c r="AS499" s="50">
        <f>IF(Table1[[#This Row],[Control Panel Spun Time]]&gt;0,1,0)</f>
        <v>0</v>
      </c>
      <c r="AT499" s="20">
        <f>IF(Table1[[#This Row],[Control Panel Color Time]]&gt;0,1,0)</f>
        <v>0</v>
      </c>
    </row>
    <row r="500" spans="1:46" x14ac:dyDescent="0.25">
      <c r="A500"/>
      <c r="I500" s="8">
        <f>+Table1[[#This Row],[Auton ball picked up in our trench]]+Table1[[#This Row],[Auton Balls Picked Up in Mid]]+Table1[[#This Row],[Auton Balls Picked Up In Their Trench]]</f>
        <v>0</v>
      </c>
      <c r="J500" s="8">
        <f>+Table1[[#This Row],[Auton Scored High]]+Table1[[#This Row],[Auton Scored Low]]</f>
        <v>0</v>
      </c>
      <c r="K50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00" s="8">
        <f>Table1[[#This Row],[Balls Scored From Trench]]+Table1[[#This Row],[Balls Scored from Mid]]+Table1[[#This Row],[Balls Scored From Alliance zone]]</f>
        <v>0</v>
      </c>
      <c r="W500" s="8">
        <f>Table1[[#This Row],[balls scored high]]+Table1[[#This Row],[balls scored low]]</f>
        <v>0</v>
      </c>
      <c r="X500" s="8">
        <f>Table1[[#This Row],[Control Panel Spun Time]]+Table1[[#This Row],[Control Panel Color Time]]</f>
        <v>0</v>
      </c>
      <c r="Y500" s="8">
        <f>Table1[[#This Row],[Control Panels Spun]]+Table1[[#This Row],[Control Panel Color]]</f>
        <v>0</v>
      </c>
      <c r="Z50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00" s="17">
        <f>(Table1[[#This Row],[Climbed]]*weighting!$B$18)+(Table1[[#This Row],[Adjustable Climber]]*weighting!$B$19)+(Table1[[#This Row],[Lift other Robot]]*weighting!$B$20)+(Table1[[#This Row],[Balanced]]*weighting!$B$21)</f>
        <v>0</v>
      </c>
      <c r="AL500" s="8">
        <f>+Table1[[#This Row],[Endgame our score]]+Table1[[#This Row],[teleop our score]]+Table1[[#This Row],[auton our score]]</f>
        <v>0</v>
      </c>
      <c r="AM500" s="20">
        <f t="shared" si="21"/>
        <v>0</v>
      </c>
      <c r="AN500" s="20">
        <f t="shared" si="22"/>
        <v>0</v>
      </c>
      <c r="AO500" s="20">
        <f t="shared" si="23"/>
        <v>0</v>
      </c>
      <c r="AP500" s="20">
        <f>Table1[[#This Row],[balls scored]]+Table1[[#This Row],[auton balls scored]]</f>
        <v>0</v>
      </c>
      <c r="AQ500" s="20">
        <f>Table1[[#This Row],[balls scored high]]+Table1[[#This Row],[Auton Scored High]]</f>
        <v>0</v>
      </c>
      <c r="AR500" s="20">
        <f>Table1[[#This Row],[balls scored low]]+Table1[[#This Row],[Auton Scored Low]]</f>
        <v>0</v>
      </c>
      <c r="AS500" s="50">
        <f>IF(Table1[[#This Row],[Control Panel Spun Time]]&gt;0,1,0)</f>
        <v>0</v>
      </c>
      <c r="AT500" s="20">
        <f>IF(Table1[[#This Row],[Control Panel Color Time]]&gt;0,1,0)</f>
        <v>0</v>
      </c>
    </row>
    <row r="501" spans="1:46" s="2" customFormat="1" x14ac:dyDescent="0.25">
      <c r="A501"/>
      <c r="B501"/>
      <c r="C501"/>
      <c r="D501"/>
      <c r="E501"/>
      <c r="F501"/>
      <c r="G501"/>
      <c r="H501"/>
      <c r="I501" s="8">
        <f>+Table1[[#This Row],[Auton ball picked up in our trench]]+Table1[[#This Row],[Auton Balls Picked Up in Mid]]+Table1[[#This Row],[Auton Balls Picked Up In Their Trench]]</f>
        <v>0</v>
      </c>
      <c r="J501" s="8">
        <f>+Table1[[#This Row],[Auton Scored High]]+Table1[[#This Row],[Auton Scored Low]]</f>
        <v>0</v>
      </c>
      <c r="K50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01"/>
      <c r="M501"/>
      <c r="N501"/>
      <c r="O501"/>
      <c r="P501"/>
      <c r="Q501"/>
      <c r="R501"/>
      <c r="S501"/>
      <c r="T501"/>
      <c r="U501"/>
      <c r="V501" s="8">
        <f>Table1[[#This Row],[Balls Scored From Trench]]+Table1[[#This Row],[Balls Scored from Mid]]+Table1[[#This Row],[Balls Scored From Alliance zone]]</f>
        <v>0</v>
      </c>
      <c r="W501" s="8">
        <f>Table1[[#This Row],[balls scored high]]+Table1[[#This Row],[balls scored low]]</f>
        <v>0</v>
      </c>
      <c r="X501" s="8">
        <f>Table1[[#This Row],[Control Panel Spun Time]]+Table1[[#This Row],[Control Panel Color Time]]</f>
        <v>0</v>
      </c>
      <c r="Y501" s="8">
        <f>Table1[[#This Row],[Control Panels Spun]]+Table1[[#This Row],[Control Panel Color]]</f>
        <v>0</v>
      </c>
      <c r="Z50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01"/>
      <c r="AB501"/>
      <c r="AC501"/>
      <c r="AD501"/>
      <c r="AE501"/>
      <c r="AF501"/>
      <c r="AG501"/>
      <c r="AH501"/>
      <c r="AI501"/>
      <c r="AJ501"/>
      <c r="AK501" s="17">
        <f>(Table1[[#This Row],[Climbed]]*weighting!$B$18)+(Table1[[#This Row],[Adjustable Climber]]*weighting!$B$19)+(Table1[[#This Row],[Lift other Robot]]*weighting!$B$20)+(Table1[[#This Row],[Balanced]]*weighting!$B$21)</f>
        <v>0</v>
      </c>
      <c r="AL501" s="8">
        <f>+Table1[[#This Row],[Endgame our score]]+Table1[[#This Row],[teleop our score]]+Table1[[#This Row],[auton our score]]</f>
        <v>0</v>
      </c>
      <c r="AM501" s="20">
        <f t="shared" si="21"/>
        <v>0</v>
      </c>
      <c r="AN501" s="20">
        <f t="shared" si="22"/>
        <v>0</v>
      </c>
      <c r="AO501" s="20">
        <f t="shared" si="23"/>
        <v>0</v>
      </c>
      <c r="AP501" s="20">
        <f>Table1[[#This Row],[balls scored]]+Table1[[#This Row],[auton balls scored]]</f>
        <v>0</v>
      </c>
      <c r="AQ501" s="20">
        <f>Table1[[#This Row],[balls scored high]]+Table1[[#This Row],[Auton Scored High]]</f>
        <v>0</v>
      </c>
      <c r="AR501" s="20">
        <f>Table1[[#This Row],[balls scored low]]+Table1[[#This Row],[Auton Scored Low]]</f>
        <v>0</v>
      </c>
      <c r="AS501" s="50">
        <f>IF(Table1[[#This Row],[Control Panel Spun Time]]&gt;0,1,0)</f>
        <v>0</v>
      </c>
      <c r="AT501" s="20">
        <f>IF(Table1[[#This Row],[Control Panel Color Time]]&gt;0,1,0)</f>
        <v>0</v>
      </c>
    </row>
    <row r="502" spans="1:46" x14ac:dyDescent="0.25">
      <c r="A502"/>
      <c r="I502" s="8">
        <f>+Table1[[#This Row],[Auton ball picked up in our trench]]+Table1[[#This Row],[Auton Balls Picked Up in Mid]]+Table1[[#This Row],[Auton Balls Picked Up In Their Trench]]</f>
        <v>0</v>
      </c>
      <c r="J502" s="8">
        <f>+Table1[[#This Row],[Auton Scored High]]+Table1[[#This Row],[Auton Scored Low]]</f>
        <v>0</v>
      </c>
      <c r="K50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02" s="8">
        <f>Table1[[#This Row],[Balls Scored From Trench]]+Table1[[#This Row],[Balls Scored from Mid]]+Table1[[#This Row],[Balls Scored From Alliance zone]]</f>
        <v>0</v>
      </c>
      <c r="W502" s="8">
        <f>Table1[[#This Row],[balls scored high]]+Table1[[#This Row],[balls scored low]]</f>
        <v>0</v>
      </c>
      <c r="X502" s="8">
        <f>Table1[[#This Row],[Control Panel Spun Time]]+Table1[[#This Row],[Control Panel Color Time]]</f>
        <v>0</v>
      </c>
      <c r="Y502" s="8">
        <f>Table1[[#This Row],[Control Panels Spun]]+Table1[[#This Row],[Control Panel Color]]</f>
        <v>0</v>
      </c>
      <c r="Z50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02" s="17">
        <f>(Table1[[#This Row],[Climbed]]*weighting!$B$18)+(Table1[[#This Row],[Adjustable Climber]]*weighting!$B$19)+(Table1[[#This Row],[Lift other Robot]]*weighting!$B$20)+(Table1[[#This Row],[Balanced]]*weighting!$B$21)</f>
        <v>0</v>
      </c>
      <c r="AL502" s="8">
        <f>+Table1[[#This Row],[Endgame our score]]+Table1[[#This Row],[teleop our score]]+Table1[[#This Row],[auton our score]]</f>
        <v>0</v>
      </c>
      <c r="AM502" s="20">
        <f t="shared" si="21"/>
        <v>0</v>
      </c>
      <c r="AN502" s="20">
        <f t="shared" si="22"/>
        <v>0</v>
      </c>
      <c r="AO502" s="20">
        <f t="shared" si="23"/>
        <v>0</v>
      </c>
      <c r="AP502" s="20">
        <f>Table1[[#This Row],[balls scored]]+Table1[[#This Row],[auton balls scored]]</f>
        <v>0</v>
      </c>
      <c r="AQ502" s="20">
        <f>Table1[[#This Row],[balls scored high]]+Table1[[#This Row],[Auton Scored High]]</f>
        <v>0</v>
      </c>
      <c r="AR502" s="20">
        <f>Table1[[#This Row],[balls scored low]]+Table1[[#This Row],[Auton Scored Low]]</f>
        <v>0</v>
      </c>
      <c r="AS502" s="50">
        <f>IF(Table1[[#This Row],[Control Panel Spun Time]]&gt;0,1,0)</f>
        <v>0</v>
      </c>
      <c r="AT502" s="20">
        <f>IF(Table1[[#This Row],[Control Panel Color Time]]&gt;0,1,0)</f>
        <v>0</v>
      </c>
    </row>
    <row r="503" spans="1:46" s="2" customFormat="1" x14ac:dyDescent="0.25">
      <c r="A503"/>
      <c r="B503"/>
      <c r="C503"/>
      <c r="D503"/>
      <c r="E503"/>
      <c r="F503"/>
      <c r="G503"/>
      <c r="H503"/>
      <c r="I503" s="8">
        <f>+Table1[[#This Row],[Auton ball picked up in our trench]]+Table1[[#This Row],[Auton Balls Picked Up in Mid]]+Table1[[#This Row],[Auton Balls Picked Up In Their Trench]]</f>
        <v>0</v>
      </c>
      <c r="J503" s="8">
        <f>+Table1[[#This Row],[Auton Scored High]]+Table1[[#This Row],[Auton Scored Low]]</f>
        <v>0</v>
      </c>
      <c r="K50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03"/>
      <c r="M503"/>
      <c r="N503"/>
      <c r="O503"/>
      <c r="P503"/>
      <c r="Q503"/>
      <c r="R503"/>
      <c r="S503"/>
      <c r="T503"/>
      <c r="U503"/>
      <c r="V503" s="8">
        <f>Table1[[#This Row],[Balls Scored From Trench]]+Table1[[#This Row],[Balls Scored from Mid]]+Table1[[#This Row],[Balls Scored From Alliance zone]]</f>
        <v>0</v>
      </c>
      <c r="W503" s="8">
        <f>Table1[[#This Row],[balls scored high]]+Table1[[#This Row],[balls scored low]]</f>
        <v>0</v>
      </c>
      <c r="X503" s="8">
        <f>Table1[[#This Row],[Control Panel Spun Time]]+Table1[[#This Row],[Control Panel Color Time]]</f>
        <v>0</v>
      </c>
      <c r="Y503" s="8">
        <f>Table1[[#This Row],[Control Panels Spun]]+Table1[[#This Row],[Control Panel Color]]</f>
        <v>0</v>
      </c>
      <c r="Z50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03"/>
      <c r="AB503"/>
      <c r="AC503"/>
      <c r="AD503"/>
      <c r="AE503"/>
      <c r="AF503"/>
      <c r="AG503"/>
      <c r="AH503"/>
      <c r="AI503"/>
      <c r="AJ503"/>
      <c r="AK503" s="17">
        <f>(Table1[[#This Row],[Climbed]]*weighting!$B$18)+(Table1[[#This Row],[Adjustable Climber]]*weighting!$B$19)+(Table1[[#This Row],[Lift other Robot]]*weighting!$B$20)+(Table1[[#This Row],[Balanced]]*weighting!$B$21)</f>
        <v>0</v>
      </c>
      <c r="AL503" s="8">
        <f>+Table1[[#This Row],[Endgame our score]]+Table1[[#This Row],[teleop our score]]+Table1[[#This Row],[auton our score]]</f>
        <v>0</v>
      </c>
      <c r="AM503" s="20">
        <f t="shared" si="21"/>
        <v>0</v>
      </c>
      <c r="AN503" s="20">
        <f t="shared" si="22"/>
        <v>0</v>
      </c>
      <c r="AO503" s="20">
        <f t="shared" si="23"/>
        <v>0</v>
      </c>
      <c r="AP503" s="20">
        <f>Table1[[#This Row],[balls scored]]+Table1[[#This Row],[auton balls scored]]</f>
        <v>0</v>
      </c>
      <c r="AQ503" s="20">
        <f>Table1[[#This Row],[balls scored high]]+Table1[[#This Row],[Auton Scored High]]</f>
        <v>0</v>
      </c>
      <c r="AR503" s="20">
        <f>Table1[[#This Row],[balls scored low]]+Table1[[#This Row],[Auton Scored Low]]</f>
        <v>0</v>
      </c>
      <c r="AS503" s="50">
        <f>IF(Table1[[#This Row],[Control Panel Spun Time]]&gt;0,1,0)</f>
        <v>0</v>
      </c>
      <c r="AT503" s="20">
        <f>IF(Table1[[#This Row],[Control Panel Color Time]]&gt;0,1,0)</f>
        <v>0</v>
      </c>
    </row>
    <row r="504" spans="1:46" x14ac:dyDescent="0.25">
      <c r="A504"/>
      <c r="I504" s="8">
        <f>+Table1[[#This Row],[Auton ball picked up in our trench]]+Table1[[#This Row],[Auton Balls Picked Up in Mid]]+Table1[[#This Row],[Auton Balls Picked Up In Their Trench]]</f>
        <v>0</v>
      </c>
      <c r="J504" s="8">
        <f>+Table1[[#This Row],[Auton Scored High]]+Table1[[#This Row],[Auton Scored Low]]</f>
        <v>0</v>
      </c>
      <c r="K50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04" s="8">
        <f>Table1[[#This Row],[Balls Scored From Trench]]+Table1[[#This Row],[Balls Scored from Mid]]+Table1[[#This Row],[Balls Scored From Alliance zone]]</f>
        <v>0</v>
      </c>
      <c r="W504" s="8">
        <f>Table1[[#This Row],[balls scored high]]+Table1[[#This Row],[balls scored low]]</f>
        <v>0</v>
      </c>
      <c r="X504" s="8">
        <f>Table1[[#This Row],[Control Panel Spun Time]]+Table1[[#This Row],[Control Panel Color Time]]</f>
        <v>0</v>
      </c>
      <c r="Y504" s="8">
        <f>Table1[[#This Row],[Control Panels Spun]]+Table1[[#This Row],[Control Panel Color]]</f>
        <v>0</v>
      </c>
      <c r="Z50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04" s="17">
        <f>(Table1[[#This Row],[Climbed]]*weighting!$B$18)+(Table1[[#This Row],[Adjustable Climber]]*weighting!$B$19)+(Table1[[#This Row],[Lift other Robot]]*weighting!$B$20)+(Table1[[#This Row],[Balanced]]*weighting!$B$21)</f>
        <v>0</v>
      </c>
      <c r="AL504" s="8">
        <f>+Table1[[#This Row],[Endgame our score]]+Table1[[#This Row],[teleop our score]]+Table1[[#This Row],[auton our score]]</f>
        <v>0</v>
      </c>
      <c r="AM504" s="20">
        <f t="shared" si="21"/>
        <v>0</v>
      </c>
      <c r="AN504" s="20">
        <f t="shared" si="22"/>
        <v>0</v>
      </c>
      <c r="AO504" s="20">
        <f t="shared" si="23"/>
        <v>0</v>
      </c>
      <c r="AP504" s="20">
        <f>Table1[[#This Row],[balls scored]]+Table1[[#This Row],[auton balls scored]]</f>
        <v>0</v>
      </c>
      <c r="AQ504" s="20">
        <f>Table1[[#This Row],[balls scored high]]+Table1[[#This Row],[Auton Scored High]]</f>
        <v>0</v>
      </c>
      <c r="AR504" s="20">
        <f>Table1[[#This Row],[balls scored low]]+Table1[[#This Row],[Auton Scored Low]]</f>
        <v>0</v>
      </c>
      <c r="AS504" s="50">
        <f>IF(Table1[[#This Row],[Control Panel Spun Time]]&gt;0,1,0)</f>
        <v>0</v>
      </c>
      <c r="AT504" s="20">
        <f>IF(Table1[[#This Row],[Control Panel Color Time]]&gt;0,1,0)</f>
        <v>0</v>
      </c>
    </row>
    <row r="505" spans="1:46" s="2" customFormat="1" x14ac:dyDescent="0.25">
      <c r="A505"/>
      <c r="B505"/>
      <c r="C505"/>
      <c r="D505"/>
      <c r="E505"/>
      <c r="F505"/>
      <c r="G505"/>
      <c r="H505"/>
      <c r="I505" s="8">
        <f>+Table1[[#This Row],[Auton ball picked up in our trench]]+Table1[[#This Row],[Auton Balls Picked Up in Mid]]+Table1[[#This Row],[Auton Balls Picked Up In Their Trench]]</f>
        <v>0</v>
      </c>
      <c r="J505" s="8">
        <f>+Table1[[#This Row],[Auton Scored High]]+Table1[[#This Row],[Auton Scored Low]]</f>
        <v>0</v>
      </c>
      <c r="K50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05"/>
      <c r="M505"/>
      <c r="N505"/>
      <c r="O505"/>
      <c r="P505"/>
      <c r="Q505"/>
      <c r="R505"/>
      <c r="S505"/>
      <c r="T505"/>
      <c r="U505"/>
      <c r="V505" s="8">
        <f>Table1[[#This Row],[Balls Scored From Trench]]+Table1[[#This Row],[Balls Scored from Mid]]+Table1[[#This Row],[Balls Scored From Alliance zone]]</f>
        <v>0</v>
      </c>
      <c r="W505" s="8">
        <f>Table1[[#This Row],[balls scored high]]+Table1[[#This Row],[balls scored low]]</f>
        <v>0</v>
      </c>
      <c r="X505" s="8">
        <f>Table1[[#This Row],[Control Panel Spun Time]]+Table1[[#This Row],[Control Panel Color Time]]</f>
        <v>0</v>
      </c>
      <c r="Y505" s="8">
        <f>Table1[[#This Row],[Control Panels Spun]]+Table1[[#This Row],[Control Panel Color]]</f>
        <v>0</v>
      </c>
      <c r="Z50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05"/>
      <c r="AB505"/>
      <c r="AC505"/>
      <c r="AD505"/>
      <c r="AE505"/>
      <c r="AF505"/>
      <c r="AG505"/>
      <c r="AH505"/>
      <c r="AI505"/>
      <c r="AJ505"/>
      <c r="AK505" s="17">
        <f>(Table1[[#This Row],[Climbed]]*weighting!$B$18)+(Table1[[#This Row],[Adjustable Climber]]*weighting!$B$19)+(Table1[[#This Row],[Lift other Robot]]*weighting!$B$20)+(Table1[[#This Row],[Balanced]]*weighting!$B$21)</f>
        <v>0</v>
      </c>
      <c r="AL505" s="8">
        <f>+Table1[[#This Row],[Endgame our score]]+Table1[[#This Row],[teleop our score]]+Table1[[#This Row],[auton our score]]</f>
        <v>0</v>
      </c>
      <c r="AM505" s="20">
        <f t="shared" si="21"/>
        <v>0</v>
      </c>
      <c r="AN505" s="20">
        <f t="shared" si="22"/>
        <v>0</v>
      </c>
      <c r="AO505" s="20">
        <f t="shared" si="23"/>
        <v>0</v>
      </c>
      <c r="AP505" s="20">
        <f>Table1[[#This Row],[balls scored]]+Table1[[#This Row],[auton balls scored]]</f>
        <v>0</v>
      </c>
      <c r="AQ505" s="20">
        <f>Table1[[#This Row],[balls scored high]]+Table1[[#This Row],[Auton Scored High]]</f>
        <v>0</v>
      </c>
      <c r="AR505" s="20">
        <f>Table1[[#This Row],[balls scored low]]+Table1[[#This Row],[Auton Scored Low]]</f>
        <v>0</v>
      </c>
      <c r="AS505" s="50">
        <f>IF(Table1[[#This Row],[Control Panel Spun Time]]&gt;0,1,0)</f>
        <v>0</v>
      </c>
      <c r="AT505" s="20">
        <f>IF(Table1[[#This Row],[Control Panel Color Time]]&gt;0,1,0)</f>
        <v>0</v>
      </c>
    </row>
    <row r="506" spans="1:46" x14ac:dyDescent="0.25">
      <c r="A506"/>
      <c r="I506" s="8">
        <f>+Table1[[#This Row],[Auton ball picked up in our trench]]+Table1[[#This Row],[Auton Balls Picked Up in Mid]]+Table1[[#This Row],[Auton Balls Picked Up In Their Trench]]</f>
        <v>0</v>
      </c>
      <c r="J506" s="8">
        <f>+Table1[[#This Row],[Auton Scored High]]+Table1[[#This Row],[Auton Scored Low]]</f>
        <v>0</v>
      </c>
      <c r="K50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06" s="8">
        <f>Table1[[#This Row],[Balls Scored From Trench]]+Table1[[#This Row],[Balls Scored from Mid]]+Table1[[#This Row],[Balls Scored From Alliance zone]]</f>
        <v>0</v>
      </c>
      <c r="W506" s="8">
        <f>Table1[[#This Row],[balls scored high]]+Table1[[#This Row],[balls scored low]]</f>
        <v>0</v>
      </c>
      <c r="X506" s="8">
        <f>Table1[[#This Row],[Control Panel Spun Time]]+Table1[[#This Row],[Control Panel Color Time]]</f>
        <v>0</v>
      </c>
      <c r="Y506" s="8">
        <f>Table1[[#This Row],[Control Panels Spun]]+Table1[[#This Row],[Control Panel Color]]</f>
        <v>0</v>
      </c>
      <c r="Z50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06" s="17">
        <f>(Table1[[#This Row],[Climbed]]*weighting!$B$18)+(Table1[[#This Row],[Adjustable Climber]]*weighting!$B$19)+(Table1[[#This Row],[Lift other Robot]]*weighting!$B$20)+(Table1[[#This Row],[Balanced]]*weighting!$B$21)</f>
        <v>0</v>
      </c>
      <c r="AL506" s="8">
        <f>+Table1[[#This Row],[Endgame our score]]+Table1[[#This Row],[teleop our score]]+Table1[[#This Row],[auton our score]]</f>
        <v>0</v>
      </c>
      <c r="AM506" s="20">
        <f t="shared" si="21"/>
        <v>0</v>
      </c>
      <c r="AN506" s="20">
        <f t="shared" si="22"/>
        <v>0</v>
      </c>
      <c r="AO506" s="20">
        <f t="shared" si="23"/>
        <v>0</v>
      </c>
      <c r="AP506" s="20">
        <f>Table1[[#This Row],[balls scored]]+Table1[[#This Row],[auton balls scored]]</f>
        <v>0</v>
      </c>
      <c r="AQ506" s="20">
        <f>Table1[[#This Row],[balls scored high]]+Table1[[#This Row],[Auton Scored High]]</f>
        <v>0</v>
      </c>
      <c r="AR506" s="20">
        <f>Table1[[#This Row],[balls scored low]]+Table1[[#This Row],[Auton Scored Low]]</f>
        <v>0</v>
      </c>
      <c r="AS506" s="50">
        <f>IF(Table1[[#This Row],[Control Panel Spun Time]]&gt;0,1,0)</f>
        <v>0</v>
      </c>
      <c r="AT506" s="20">
        <f>IF(Table1[[#This Row],[Control Panel Color Time]]&gt;0,1,0)</f>
        <v>0</v>
      </c>
    </row>
    <row r="507" spans="1:46" s="2" customFormat="1" x14ac:dyDescent="0.25">
      <c r="A507"/>
      <c r="B507"/>
      <c r="C507"/>
      <c r="D507"/>
      <c r="E507"/>
      <c r="F507"/>
      <c r="G507"/>
      <c r="H507"/>
      <c r="I507" s="8">
        <f>+Table1[[#This Row],[Auton ball picked up in our trench]]+Table1[[#This Row],[Auton Balls Picked Up in Mid]]+Table1[[#This Row],[Auton Balls Picked Up In Their Trench]]</f>
        <v>0</v>
      </c>
      <c r="J507" s="8">
        <f>+Table1[[#This Row],[Auton Scored High]]+Table1[[#This Row],[Auton Scored Low]]</f>
        <v>0</v>
      </c>
      <c r="K50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07"/>
      <c r="M507"/>
      <c r="N507"/>
      <c r="O507"/>
      <c r="P507"/>
      <c r="Q507"/>
      <c r="R507"/>
      <c r="S507"/>
      <c r="T507"/>
      <c r="U507"/>
      <c r="V507" s="8">
        <f>Table1[[#This Row],[Balls Scored From Trench]]+Table1[[#This Row],[Balls Scored from Mid]]+Table1[[#This Row],[Balls Scored From Alliance zone]]</f>
        <v>0</v>
      </c>
      <c r="W507" s="8">
        <f>Table1[[#This Row],[balls scored high]]+Table1[[#This Row],[balls scored low]]</f>
        <v>0</v>
      </c>
      <c r="X507" s="8">
        <f>Table1[[#This Row],[Control Panel Spun Time]]+Table1[[#This Row],[Control Panel Color Time]]</f>
        <v>0</v>
      </c>
      <c r="Y507" s="8">
        <f>Table1[[#This Row],[Control Panels Spun]]+Table1[[#This Row],[Control Panel Color]]</f>
        <v>0</v>
      </c>
      <c r="Z50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07"/>
      <c r="AB507"/>
      <c r="AC507"/>
      <c r="AD507"/>
      <c r="AE507"/>
      <c r="AF507"/>
      <c r="AG507"/>
      <c r="AH507"/>
      <c r="AI507"/>
      <c r="AJ507"/>
      <c r="AK507" s="17">
        <f>(Table1[[#This Row],[Climbed]]*weighting!$B$18)+(Table1[[#This Row],[Adjustable Climber]]*weighting!$B$19)+(Table1[[#This Row],[Lift other Robot]]*weighting!$B$20)+(Table1[[#This Row],[Balanced]]*weighting!$B$21)</f>
        <v>0</v>
      </c>
      <c r="AL507" s="8">
        <f>+Table1[[#This Row],[Endgame our score]]+Table1[[#This Row],[teleop our score]]+Table1[[#This Row],[auton our score]]</f>
        <v>0</v>
      </c>
      <c r="AM507" s="20">
        <f t="shared" si="21"/>
        <v>0</v>
      </c>
      <c r="AN507" s="20">
        <f t="shared" si="22"/>
        <v>0</v>
      </c>
      <c r="AO507" s="20">
        <f t="shared" si="23"/>
        <v>0</v>
      </c>
      <c r="AP507" s="20">
        <f>Table1[[#This Row],[balls scored]]+Table1[[#This Row],[auton balls scored]]</f>
        <v>0</v>
      </c>
      <c r="AQ507" s="20">
        <f>Table1[[#This Row],[balls scored high]]+Table1[[#This Row],[Auton Scored High]]</f>
        <v>0</v>
      </c>
      <c r="AR507" s="20">
        <f>Table1[[#This Row],[balls scored low]]+Table1[[#This Row],[Auton Scored Low]]</f>
        <v>0</v>
      </c>
      <c r="AS507" s="50">
        <f>IF(Table1[[#This Row],[Control Panel Spun Time]]&gt;0,1,0)</f>
        <v>0</v>
      </c>
      <c r="AT507" s="20">
        <f>IF(Table1[[#This Row],[Control Panel Color Time]]&gt;0,1,0)</f>
        <v>0</v>
      </c>
    </row>
    <row r="508" spans="1:46" x14ac:dyDescent="0.25">
      <c r="A508"/>
      <c r="I508" s="8">
        <f>+Table1[[#This Row],[Auton ball picked up in our trench]]+Table1[[#This Row],[Auton Balls Picked Up in Mid]]+Table1[[#This Row],[Auton Balls Picked Up In Their Trench]]</f>
        <v>0</v>
      </c>
      <c r="J508" s="8">
        <f>+Table1[[#This Row],[Auton Scored High]]+Table1[[#This Row],[Auton Scored Low]]</f>
        <v>0</v>
      </c>
      <c r="K50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08" s="8">
        <f>Table1[[#This Row],[Balls Scored From Trench]]+Table1[[#This Row],[Balls Scored from Mid]]+Table1[[#This Row],[Balls Scored From Alliance zone]]</f>
        <v>0</v>
      </c>
      <c r="W508" s="8">
        <f>Table1[[#This Row],[balls scored high]]+Table1[[#This Row],[balls scored low]]</f>
        <v>0</v>
      </c>
      <c r="X508" s="8">
        <f>Table1[[#This Row],[Control Panel Spun Time]]+Table1[[#This Row],[Control Panel Color Time]]</f>
        <v>0</v>
      </c>
      <c r="Y508" s="8">
        <f>Table1[[#This Row],[Control Panels Spun]]+Table1[[#This Row],[Control Panel Color]]</f>
        <v>0</v>
      </c>
      <c r="Z50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08" s="17">
        <f>(Table1[[#This Row],[Climbed]]*weighting!$B$18)+(Table1[[#This Row],[Adjustable Climber]]*weighting!$B$19)+(Table1[[#This Row],[Lift other Robot]]*weighting!$B$20)+(Table1[[#This Row],[Balanced]]*weighting!$B$21)</f>
        <v>0</v>
      </c>
      <c r="AL508" s="8">
        <f>+Table1[[#This Row],[Endgame our score]]+Table1[[#This Row],[teleop our score]]+Table1[[#This Row],[auton our score]]</f>
        <v>0</v>
      </c>
      <c r="AM508" s="20">
        <f t="shared" si="21"/>
        <v>0</v>
      </c>
      <c r="AN508" s="20">
        <f t="shared" si="22"/>
        <v>0</v>
      </c>
      <c r="AO508" s="20">
        <f t="shared" si="23"/>
        <v>0</v>
      </c>
      <c r="AP508" s="20">
        <f>Table1[[#This Row],[balls scored]]+Table1[[#This Row],[auton balls scored]]</f>
        <v>0</v>
      </c>
      <c r="AQ508" s="20">
        <f>Table1[[#This Row],[balls scored high]]+Table1[[#This Row],[Auton Scored High]]</f>
        <v>0</v>
      </c>
      <c r="AR508" s="20">
        <f>Table1[[#This Row],[balls scored low]]+Table1[[#This Row],[Auton Scored Low]]</f>
        <v>0</v>
      </c>
      <c r="AS508" s="50">
        <f>IF(Table1[[#This Row],[Control Panel Spun Time]]&gt;0,1,0)</f>
        <v>0</v>
      </c>
      <c r="AT508" s="20">
        <f>IF(Table1[[#This Row],[Control Panel Color Time]]&gt;0,1,0)</f>
        <v>0</v>
      </c>
    </row>
    <row r="509" spans="1:46" s="2" customFormat="1" x14ac:dyDescent="0.25">
      <c r="A509"/>
      <c r="B509"/>
      <c r="C509"/>
      <c r="D509"/>
      <c r="E509"/>
      <c r="F509"/>
      <c r="G509"/>
      <c r="H509"/>
      <c r="I509" s="8">
        <f>+Table1[[#This Row],[Auton ball picked up in our trench]]+Table1[[#This Row],[Auton Balls Picked Up in Mid]]+Table1[[#This Row],[Auton Balls Picked Up In Their Trench]]</f>
        <v>0</v>
      </c>
      <c r="J509" s="8">
        <f>+Table1[[#This Row],[Auton Scored High]]+Table1[[#This Row],[Auton Scored Low]]</f>
        <v>0</v>
      </c>
      <c r="K50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09"/>
      <c r="M509"/>
      <c r="N509"/>
      <c r="O509"/>
      <c r="P509"/>
      <c r="Q509"/>
      <c r="R509"/>
      <c r="S509"/>
      <c r="T509"/>
      <c r="U509"/>
      <c r="V509" s="8">
        <f>Table1[[#This Row],[Balls Scored From Trench]]+Table1[[#This Row],[Balls Scored from Mid]]+Table1[[#This Row],[Balls Scored From Alliance zone]]</f>
        <v>0</v>
      </c>
      <c r="W509" s="8">
        <f>Table1[[#This Row],[balls scored high]]+Table1[[#This Row],[balls scored low]]</f>
        <v>0</v>
      </c>
      <c r="X509" s="8">
        <f>Table1[[#This Row],[Control Panel Spun Time]]+Table1[[#This Row],[Control Panel Color Time]]</f>
        <v>0</v>
      </c>
      <c r="Y509" s="8">
        <f>Table1[[#This Row],[Control Panels Spun]]+Table1[[#This Row],[Control Panel Color]]</f>
        <v>0</v>
      </c>
      <c r="Z50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09"/>
      <c r="AB509"/>
      <c r="AC509"/>
      <c r="AD509"/>
      <c r="AE509"/>
      <c r="AF509"/>
      <c r="AG509"/>
      <c r="AH509"/>
      <c r="AI509"/>
      <c r="AJ509"/>
      <c r="AK509" s="17">
        <f>(Table1[[#This Row],[Climbed]]*weighting!$B$18)+(Table1[[#This Row],[Adjustable Climber]]*weighting!$B$19)+(Table1[[#This Row],[Lift other Robot]]*weighting!$B$20)+(Table1[[#This Row],[Balanced]]*weighting!$B$21)</f>
        <v>0</v>
      </c>
      <c r="AL509" s="8">
        <f>+Table1[[#This Row],[Endgame our score]]+Table1[[#This Row],[teleop our score]]+Table1[[#This Row],[auton our score]]</f>
        <v>0</v>
      </c>
      <c r="AM509" s="20">
        <f t="shared" si="21"/>
        <v>0</v>
      </c>
      <c r="AN509" s="20">
        <f t="shared" si="22"/>
        <v>0</v>
      </c>
      <c r="AO509" s="20">
        <f t="shared" si="23"/>
        <v>0</v>
      </c>
      <c r="AP509" s="20">
        <f>Table1[[#This Row],[balls scored]]+Table1[[#This Row],[auton balls scored]]</f>
        <v>0</v>
      </c>
      <c r="AQ509" s="20">
        <f>Table1[[#This Row],[balls scored high]]+Table1[[#This Row],[Auton Scored High]]</f>
        <v>0</v>
      </c>
      <c r="AR509" s="20">
        <f>Table1[[#This Row],[balls scored low]]+Table1[[#This Row],[Auton Scored Low]]</f>
        <v>0</v>
      </c>
      <c r="AS509" s="50">
        <f>IF(Table1[[#This Row],[Control Panel Spun Time]]&gt;0,1,0)</f>
        <v>0</v>
      </c>
      <c r="AT509" s="20">
        <f>IF(Table1[[#This Row],[Control Panel Color Time]]&gt;0,1,0)</f>
        <v>0</v>
      </c>
    </row>
    <row r="510" spans="1:46" x14ac:dyDescent="0.25">
      <c r="A510"/>
      <c r="I510" s="8">
        <f>+Table1[[#This Row],[Auton ball picked up in our trench]]+Table1[[#This Row],[Auton Balls Picked Up in Mid]]+Table1[[#This Row],[Auton Balls Picked Up In Their Trench]]</f>
        <v>0</v>
      </c>
      <c r="J510" s="8">
        <f>+Table1[[#This Row],[Auton Scored High]]+Table1[[#This Row],[Auton Scored Low]]</f>
        <v>0</v>
      </c>
      <c r="K51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10" s="8">
        <f>Table1[[#This Row],[Balls Scored From Trench]]+Table1[[#This Row],[Balls Scored from Mid]]+Table1[[#This Row],[Balls Scored From Alliance zone]]</f>
        <v>0</v>
      </c>
      <c r="W510" s="8">
        <f>Table1[[#This Row],[balls scored high]]+Table1[[#This Row],[balls scored low]]</f>
        <v>0</v>
      </c>
      <c r="X510" s="8">
        <f>Table1[[#This Row],[Control Panel Spun Time]]+Table1[[#This Row],[Control Panel Color Time]]</f>
        <v>0</v>
      </c>
      <c r="Y510" s="8">
        <f>Table1[[#This Row],[Control Panels Spun]]+Table1[[#This Row],[Control Panel Color]]</f>
        <v>0</v>
      </c>
      <c r="Z51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10" s="17">
        <f>(Table1[[#This Row],[Climbed]]*weighting!$B$18)+(Table1[[#This Row],[Adjustable Climber]]*weighting!$B$19)+(Table1[[#This Row],[Lift other Robot]]*weighting!$B$20)+(Table1[[#This Row],[Balanced]]*weighting!$B$21)</f>
        <v>0</v>
      </c>
      <c r="AL510" s="8">
        <f>+Table1[[#This Row],[Endgame our score]]+Table1[[#This Row],[teleop our score]]+Table1[[#This Row],[auton our score]]</f>
        <v>0</v>
      </c>
      <c r="AM510" s="20">
        <f t="shared" si="21"/>
        <v>0</v>
      </c>
      <c r="AN510" s="20">
        <f t="shared" si="22"/>
        <v>0</v>
      </c>
      <c r="AO510" s="20">
        <f t="shared" si="23"/>
        <v>0</v>
      </c>
      <c r="AP510" s="20">
        <f>Table1[[#This Row],[balls scored]]+Table1[[#This Row],[auton balls scored]]</f>
        <v>0</v>
      </c>
      <c r="AQ510" s="20">
        <f>Table1[[#This Row],[balls scored high]]+Table1[[#This Row],[Auton Scored High]]</f>
        <v>0</v>
      </c>
      <c r="AR510" s="20">
        <f>Table1[[#This Row],[balls scored low]]+Table1[[#This Row],[Auton Scored Low]]</f>
        <v>0</v>
      </c>
      <c r="AS510" s="50">
        <f>IF(Table1[[#This Row],[Control Panel Spun Time]]&gt;0,1,0)</f>
        <v>0</v>
      </c>
      <c r="AT510" s="20">
        <f>IF(Table1[[#This Row],[Control Panel Color Time]]&gt;0,1,0)</f>
        <v>0</v>
      </c>
    </row>
    <row r="511" spans="1:46" s="2" customFormat="1" x14ac:dyDescent="0.25">
      <c r="A511"/>
      <c r="B511"/>
      <c r="C511"/>
      <c r="D511"/>
      <c r="E511"/>
      <c r="F511"/>
      <c r="G511"/>
      <c r="H511"/>
      <c r="I511" s="8">
        <f>+Table1[[#This Row],[Auton ball picked up in our trench]]+Table1[[#This Row],[Auton Balls Picked Up in Mid]]+Table1[[#This Row],[Auton Balls Picked Up In Their Trench]]</f>
        <v>0</v>
      </c>
      <c r="J511" s="8">
        <f>+Table1[[#This Row],[Auton Scored High]]+Table1[[#This Row],[Auton Scored Low]]</f>
        <v>0</v>
      </c>
      <c r="K51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11"/>
      <c r="M511"/>
      <c r="N511"/>
      <c r="O511"/>
      <c r="P511"/>
      <c r="Q511"/>
      <c r="R511"/>
      <c r="S511"/>
      <c r="T511"/>
      <c r="U511"/>
      <c r="V511" s="8">
        <f>Table1[[#This Row],[Balls Scored From Trench]]+Table1[[#This Row],[Balls Scored from Mid]]+Table1[[#This Row],[Balls Scored From Alliance zone]]</f>
        <v>0</v>
      </c>
      <c r="W511" s="8">
        <f>Table1[[#This Row],[balls scored high]]+Table1[[#This Row],[balls scored low]]</f>
        <v>0</v>
      </c>
      <c r="X511" s="8">
        <f>Table1[[#This Row],[Control Panel Spun Time]]+Table1[[#This Row],[Control Panel Color Time]]</f>
        <v>0</v>
      </c>
      <c r="Y511" s="8">
        <f>Table1[[#This Row],[Control Panels Spun]]+Table1[[#This Row],[Control Panel Color]]</f>
        <v>0</v>
      </c>
      <c r="Z51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11"/>
      <c r="AB511"/>
      <c r="AC511"/>
      <c r="AD511"/>
      <c r="AE511"/>
      <c r="AF511"/>
      <c r="AG511"/>
      <c r="AH511"/>
      <c r="AI511"/>
      <c r="AJ511"/>
      <c r="AK511" s="17">
        <f>(Table1[[#This Row],[Climbed]]*weighting!$B$18)+(Table1[[#This Row],[Adjustable Climber]]*weighting!$B$19)+(Table1[[#This Row],[Lift other Robot]]*weighting!$B$20)+(Table1[[#This Row],[Balanced]]*weighting!$B$21)</f>
        <v>0</v>
      </c>
      <c r="AL511" s="8">
        <f>+Table1[[#This Row],[Endgame our score]]+Table1[[#This Row],[teleop our score]]+Table1[[#This Row],[auton our score]]</f>
        <v>0</v>
      </c>
      <c r="AM511" s="20">
        <f t="shared" si="21"/>
        <v>0</v>
      </c>
      <c r="AN511" s="20">
        <f t="shared" si="22"/>
        <v>0</v>
      </c>
      <c r="AO511" s="20">
        <f t="shared" si="23"/>
        <v>0</v>
      </c>
      <c r="AP511" s="20">
        <f>Table1[[#This Row],[balls scored]]+Table1[[#This Row],[auton balls scored]]</f>
        <v>0</v>
      </c>
      <c r="AQ511" s="20">
        <f>Table1[[#This Row],[balls scored high]]+Table1[[#This Row],[Auton Scored High]]</f>
        <v>0</v>
      </c>
      <c r="AR511" s="20">
        <f>Table1[[#This Row],[balls scored low]]+Table1[[#This Row],[Auton Scored Low]]</f>
        <v>0</v>
      </c>
      <c r="AS511" s="50">
        <f>IF(Table1[[#This Row],[Control Panel Spun Time]]&gt;0,1,0)</f>
        <v>0</v>
      </c>
      <c r="AT511" s="20">
        <f>IF(Table1[[#This Row],[Control Panel Color Time]]&gt;0,1,0)</f>
        <v>0</v>
      </c>
    </row>
    <row r="512" spans="1:46" x14ac:dyDescent="0.25">
      <c r="A512"/>
      <c r="I512" s="8">
        <f>+Table1[[#This Row],[Auton ball picked up in our trench]]+Table1[[#This Row],[Auton Balls Picked Up in Mid]]+Table1[[#This Row],[Auton Balls Picked Up In Their Trench]]</f>
        <v>0</v>
      </c>
      <c r="J512" s="8">
        <f>+Table1[[#This Row],[Auton Scored High]]+Table1[[#This Row],[Auton Scored Low]]</f>
        <v>0</v>
      </c>
      <c r="K51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12" s="8">
        <f>Table1[[#This Row],[Balls Scored From Trench]]+Table1[[#This Row],[Balls Scored from Mid]]+Table1[[#This Row],[Balls Scored From Alliance zone]]</f>
        <v>0</v>
      </c>
      <c r="W512" s="8">
        <f>Table1[[#This Row],[balls scored high]]+Table1[[#This Row],[balls scored low]]</f>
        <v>0</v>
      </c>
      <c r="X512" s="8">
        <f>Table1[[#This Row],[Control Panel Spun Time]]+Table1[[#This Row],[Control Panel Color Time]]</f>
        <v>0</v>
      </c>
      <c r="Y512" s="8">
        <f>Table1[[#This Row],[Control Panels Spun]]+Table1[[#This Row],[Control Panel Color]]</f>
        <v>0</v>
      </c>
      <c r="Z51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12" s="17">
        <f>(Table1[[#This Row],[Climbed]]*weighting!$B$18)+(Table1[[#This Row],[Adjustable Climber]]*weighting!$B$19)+(Table1[[#This Row],[Lift other Robot]]*weighting!$B$20)+(Table1[[#This Row],[Balanced]]*weighting!$B$21)</f>
        <v>0</v>
      </c>
      <c r="AL512" s="8">
        <f>+Table1[[#This Row],[Endgame our score]]+Table1[[#This Row],[teleop our score]]+Table1[[#This Row],[auton our score]]</f>
        <v>0</v>
      </c>
      <c r="AM512" s="20">
        <f t="shared" si="21"/>
        <v>0</v>
      </c>
      <c r="AN512" s="20">
        <f t="shared" si="22"/>
        <v>0</v>
      </c>
      <c r="AO512" s="20">
        <f t="shared" si="23"/>
        <v>0</v>
      </c>
      <c r="AP512" s="20">
        <f>Table1[[#This Row],[balls scored]]+Table1[[#This Row],[auton balls scored]]</f>
        <v>0</v>
      </c>
      <c r="AQ512" s="20">
        <f>Table1[[#This Row],[balls scored high]]+Table1[[#This Row],[Auton Scored High]]</f>
        <v>0</v>
      </c>
      <c r="AR512" s="20">
        <f>Table1[[#This Row],[balls scored low]]+Table1[[#This Row],[Auton Scored Low]]</f>
        <v>0</v>
      </c>
      <c r="AS512" s="50">
        <f>IF(Table1[[#This Row],[Control Panel Spun Time]]&gt;0,1,0)</f>
        <v>0</v>
      </c>
      <c r="AT512" s="20">
        <f>IF(Table1[[#This Row],[Control Panel Color Time]]&gt;0,1,0)</f>
        <v>0</v>
      </c>
    </row>
    <row r="513" spans="1:46" s="2" customFormat="1" x14ac:dyDescent="0.25">
      <c r="A513"/>
      <c r="B513"/>
      <c r="C513"/>
      <c r="D513"/>
      <c r="E513"/>
      <c r="F513"/>
      <c r="G513"/>
      <c r="H513"/>
      <c r="I513" s="8">
        <f>+Table1[[#This Row],[Auton ball picked up in our trench]]+Table1[[#This Row],[Auton Balls Picked Up in Mid]]+Table1[[#This Row],[Auton Balls Picked Up In Their Trench]]</f>
        <v>0</v>
      </c>
      <c r="J513" s="8">
        <f>+Table1[[#This Row],[Auton Scored High]]+Table1[[#This Row],[Auton Scored Low]]</f>
        <v>0</v>
      </c>
      <c r="K51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13"/>
      <c r="M513"/>
      <c r="N513"/>
      <c r="O513"/>
      <c r="P513"/>
      <c r="Q513"/>
      <c r="R513"/>
      <c r="S513"/>
      <c r="T513"/>
      <c r="U513"/>
      <c r="V513" s="8">
        <f>Table1[[#This Row],[Balls Scored From Trench]]+Table1[[#This Row],[Balls Scored from Mid]]+Table1[[#This Row],[Balls Scored From Alliance zone]]</f>
        <v>0</v>
      </c>
      <c r="W513" s="8">
        <f>Table1[[#This Row],[balls scored high]]+Table1[[#This Row],[balls scored low]]</f>
        <v>0</v>
      </c>
      <c r="X513" s="8">
        <f>Table1[[#This Row],[Control Panel Spun Time]]+Table1[[#This Row],[Control Panel Color Time]]</f>
        <v>0</v>
      </c>
      <c r="Y513" s="8">
        <f>Table1[[#This Row],[Control Panels Spun]]+Table1[[#This Row],[Control Panel Color]]</f>
        <v>0</v>
      </c>
      <c r="Z51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13"/>
      <c r="AB513"/>
      <c r="AC513"/>
      <c r="AD513"/>
      <c r="AE513"/>
      <c r="AF513"/>
      <c r="AG513"/>
      <c r="AH513"/>
      <c r="AI513"/>
      <c r="AJ513"/>
      <c r="AK513" s="17">
        <f>(Table1[[#This Row],[Climbed]]*weighting!$B$18)+(Table1[[#This Row],[Adjustable Climber]]*weighting!$B$19)+(Table1[[#This Row],[Lift other Robot]]*weighting!$B$20)+(Table1[[#This Row],[Balanced]]*weighting!$B$21)</f>
        <v>0</v>
      </c>
      <c r="AL513" s="8">
        <f>+Table1[[#This Row],[Endgame our score]]+Table1[[#This Row],[teleop our score]]+Table1[[#This Row],[auton our score]]</f>
        <v>0</v>
      </c>
      <c r="AM513" s="20">
        <f t="shared" si="21"/>
        <v>0</v>
      </c>
      <c r="AN513" s="20">
        <f t="shared" si="22"/>
        <v>0</v>
      </c>
      <c r="AO513" s="20">
        <f t="shared" si="23"/>
        <v>0</v>
      </c>
      <c r="AP513" s="20">
        <f>Table1[[#This Row],[balls scored]]+Table1[[#This Row],[auton balls scored]]</f>
        <v>0</v>
      </c>
      <c r="AQ513" s="20">
        <f>Table1[[#This Row],[balls scored high]]+Table1[[#This Row],[Auton Scored High]]</f>
        <v>0</v>
      </c>
      <c r="AR513" s="20">
        <f>Table1[[#This Row],[balls scored low]]+Table1[[#This Row],[Auton Scored Low]]</f>
        <v>0</v>
      </c>
      <c r="AS513" s="50">
        <f>IF(Table1[[#This Row],[Control Panel Spun Time]]&gt;0,1,0)</f>
        <v>0</v>
      </c>
      <c r="AT513" s="20">
        <f>IF(Table1[[#This Row],[Control Panel Color Time]]&gt;0,1,0)</f>
        <v>0</v>
      </c>
    </row>
    <row r="514" spans="1:46" x14ac:dyDescent="0.25">
      <c r="A514"/>
      <c r="I514" s="8">
        <f>+Table1[[#This Row],[Auton ball picked up in our trench]]+Table1[[#This Row],[Auton Balls Picked Up in Mid]]+Table1[[#This Row],[Auton Balls Picked Up In Their Trench]]</f>
        <v>0</v>
      </c>
      <c r="J514" s="8">
        <f>+Table1[[#This Row],[Auton Scored High]]+Table1[[#This Row],[Auton Scored Low]]</f>
        <v>0</v>
      </c>
      <c r="K51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14" s="8">
        <f>Table1[[#This Row],[Balls Scored From Trench]]+Table1[[#This Row],[Balls Scored from Mid]]+Table1[[#This Row],[Balls Scored From Alliance zone]]</f>
        <v>0</v>
      </c>
      <c r="W514" s="8">
        <f>Table1[[#This Row],[balls scored high]]+Table1[[#This Row],[balls scored low]]</f>
        <v>0</v>
      </c>
      <c r="X514" s="8">
        <f>Table1[[#This Row],[Control Panel Spun Time]]+Table1[[#This Row],[Control Panel Color Time]]</f>
        <v>0</v>
      </c>
      <c r="Y514" s="8">
        <f>Table1[[#This Row],[Control Panels Spun]]+Table1[[#This Row],[Control Panel Color]]</f>
        <v>0</v>
      </c>
      <c r="Z51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14" s="17">
        <f>(Table1[[#This Row],[Climbed]]*weighting!$B$18)+(Table1[[#This Row],[Adjustable Climber]]*weighting!$B$19)+(Table1[[#This Row],[Lift other Robot]]*weighting!$B$20)+(Table1[[#This Row],[Balanced]]*weighting!$B$21)</f>
        <v>0</v>
      </c>
      <c r="AL514" s="8">
        <f>+Table1[[#This Row],[Endgame our score]]+Table1[[#This Row],[teleop our score]]+Table1[[#This Row],[auton our score]]</f>
        <v>0</v>
      </c>
      <c r="AM514" s="20">
        <f t="shared" ref="AM514:AM577" si="24">IF(B514=1,1,0)</f>
        <v>0</v>
      </c>
      <c r="AN514" s="20">
        <f t="shared" ref="AN514:AN577" si="25">IF(B514=2,1,0)</f>
        <v>0</v>
      </c>
      <c r="AO514" s="20">
        <f t="shared" ref="AO514:AO577" si="26">IF(B514=3,1,0)</f>
        <v>0</v>
      </c>
      <c r="AP514" s="20">
        <f>Table1[[#This Row],[balls scored]]+Table1[[#This Row],[auton balls scored]]</f>
        <v>0</v>
      </c>
      <c r="AQ514" s="20">
        <f>Table1[[#This Row],[balls scored high]]+Table1[[#This Row],[Auton Scored High]]</f>
        <v>0</v>
      </c>
      <c r="AR514" s="20">
        <f>Table1[[#This Row],[balls scored low]]+Table1[[#This Row],[Auton Scored Low]]</f>
        <v>0</v>
      </c>
      <c r="AS514" s="50">
        <f>IF(Table1[[#This Row],[Control Panel Spun Time]]&gt;0,1,0)</f>
        <v>0</v>
      </c>
      <c r="AT514" s="20">
        <f>IF(Table1[[#This Row],[Control Panel Color Time]]&gt;0,1,0)</f>
        <v>0</v>
      </c>
    </row>
    <row r="515" spans="1:46" s="2" customFormat="1" x14ac:dyDescent="0.25">
      <c r="A515"/>
      <c r="B515"/>
      <c r="C515"/>
      <c r="D515"/>
      <c r="E515"/>
      <c r="F515"/>
      <c r="G515"/>
      <c r="H515"/>
      <c r="I515" s="8">
        <f>+Table1[[#This Row],[Auton ball picked up in our trench]]+Table1[[#This Row],[Auton Balls Picked Up in Mid]]+Table1[[#This Row],[Auton Balls Picked Up In Their Trench]]</f>
        <v>0</v>
      </c>
      <c r="J515" s="8">
        <f>+Table1[[#This Row],[Auton Scored High]]+Table1[[#This Row],[Auton Scored Low]]</f>
        <v>0</v>
      </c>
      <c r="K51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15"/>
      <c r="M515"/>
      <c r="N515"/>
      <c r="O515"/>
      <c r="P515"/>
      <c r="Q515"/>
      <c r="R515"/>
      <c r="S515"/>
      <c r="T515"/>
      <c r="U515"/>
      <c r="V515" s="8">
        <f>Table1[[#This Row],[Balls Scored From Trench]]+Table1[[#This Row],[Balls Scored from Mid]]+Table1[[#This Row],[Balls Scored From Alliance zone]]</f>
        <v>0</v>
      </c>
      <c r="W515" s="8">
        <f>Table1[[#This Row],[balls scored high]]+Table1[[#This Row],[balls scored low]]</f>
        <v>0</v>
      </c>
      <c r="X515" s="8">
        <f>Table1[[#This Row],[Control Panel Spun Time]]+Table1[[#This Row],[Control Panel Color Time]]</f>
        <v>0</v>
      </c>
      <c r="Y515" s="8">
        <f>Table1[[#This Row],[Control Panels Spun]]+Table1[[#This Row],[Control Panel Color]]</f>
        <v>0</v>
      </c>
      <c r="Z51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15"/>
      <c r="AB515"/>
      <c r="AC515"/>
      <c r="AD515"/>
      <c r="AE515"/>
      <c r="AF515"/>
      <c r="AG515"/>
      <c r="AH515"/>
      <c r="AI515"/>
      <c r="AJ515"/>
      <c r="AK515" s="17">
        <f>(Table1[[#This Row],[Climbed]]*weighting!$B$18)+(Table1[[#This Row],[Adjustable Climber]]*weighting!$B$19)+(Table1[[#This Row],[Lift other Robot]]*weighting!$B$20)+(Table1[[#This Row],[Balanced]]*weighting!$B$21)</f>
        <v>0</v>
      </c>
      <c r="AL515" s="8">
        <f>+Table1[[#This Row],[Endgame our score]]+Table1[[#This Row],[teleop our score]]+Table1[[#This Row],[auton our score]]</f>
        <v>0</v>
      </c>
      <c r="AM515" s="20">
        <f t="shared" si="24"/>
        <v>0</v>
      </c>
      <c r="AN515" s="20">
        <f t="shared" si="25"/>
        <v>0</v>
      </c>
      <c r="AO515" s="20">
        <f t="shared" si="26"/>
        <v>0</v>
      </c>
      <c r="AP515" s="20">
        <f>Table1[[#This Row],[balls scored]]+Table1[[#This Row],[auton balls scored]]</f>
        <v>0</v>
      </c>
      <c r="AQ515" s="20">
        <f>Table1[[#This Row],[balls scored high]]+Table1[[#This Row],[Auton Scored High]]</f>
        <v>0</v>
      </c>
      <c r="AR515" s="20">
        <f>Table1[[#This Row],[balls scored low]]+Table1[[#This Row],[Auton Scored Low]]</f>
        <v>0</v>
      </c>
      <c r="AS515" s="50">
        <f>IF(Table1[[#This Row],[Control Panel Spun Time]]&gt;0,1,0)</f>
        <v>0</v>
      </c>
      <c r="AT515" s="20">
        <f>IF(Table1[[#This Row],[Control Panel Color Time]]&gt;0,1,0)</f>
        <v>0</v>
      </c>
    </row>
    <row r="516" spans="1:46" x14ac:dyDescent="0.25">
      <c r="A516"/>
      <c r="I516" s="8">
        <f>+Table1[[#This Row],[Auton ball picked up in our trench]]+Table1[[#This Row],[Auton Balls Picked Up in Mid]]+Table1[[#This Row],[Auton Balls Picked Up In Their Trench]]</f>
        <v>0</v>
      </c>
      <c r="J516" s="8">
        <f>+Table1[[#This Row],[Auton Scored High]]+Table1[[#This Row],[Auton Scored Low]]</f>
        <v>0</v>
      </c>
      <c r="K51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16" s="8">
        <f>Table1[[#This Row],[Balls Scored From Trench]]+Table1[[#This Row],[Balls Scored from Mid]]+Table1[[#This Row],[Balls Scored From Alliance zone]]</f>
        <v>0</v>
      </c>
      <c r="W516" s="8">
        <f>Table1[[#This Row],[balls scored high]]+Table1[[#This Row],[balls scored low]]</f>
        <v>0</v>
      </c>
      <c r="X516" s="8">
        <f>Table1[[#This Row],[Control Panel Spun Time]]+Table1[[#This Row],[Control Panel Color Time]]</f>
        <v>0</v>
      </c>
      <c r="Y516" s="8">
        <f>Table1[[#This Row],[Control Panels Spun]]+Table1[[#This Row],[Control Panel Color]]</f>
        <v>0</v>
      </c>
      <c r="Z51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16" s="17">
        <f>(Table1[[#This Row],[Climbed]]*weighting!$B$18)+(Table1[[#This Row],[Adjustable Climber]]*weighting!$B$19)+(Table1[[#This Row],[Lift other Robot]]*weighting!$B$20)+(Table1[[#This Row],[Balanced]]*weighting!$B$21)</f>
        <v>0</v>
      </c>
      <c r="AL516" s="8">
        <f>+Table1[[#This Row],[Endgame our score]]+Table1[[#This Row],[teleop our score]]+Table1[[#This Row],[auton our score]]</f>
        <v>0</v>
      </c>
      <c r="AM516" s="20">
        <f t="shared" si="24"/>
        <v>0</v>
      </c>
      <c r="AN516" s="20">
        <f t="shared" si="25"/>
        <v>0</v>
      </c>
      <c r="AO516" s="20">
        <f t="shared" si="26"/>
        <v>0</v>
      </c>
      <c r="AP516" s="20">
        <f>Table1[[#This Row],[balls scored]]+Table1[[#This Row],[auton balls scored]]</f>
        <v>0</v>
      </c>
      <c r="AQ516" s="20">
        <f>Table1[[#This Row],[balls scored high]]+Table1[[#This Row],[Auton Scored High]]</f>
        <v>0</v>
      </c>
      <c r="AR516" s="20">
        <f>Table1[[#This Row],[balls scored low]]+Table1[[#This Row],[Auton Scored Low]]</f>
        <v>0</v>
      </c>
      <c r="AS516" s="50">
        <f>IF(Table1[[#This Row],[Control Panel Spun Time]]&gt;0,1,0)</f>
        <v>0</v>
      </c>
      <c r="AT516" s="20">
        <f>IF(Table1[[#This Row],[Control Panel Color Time]]&gt;0,1,0)</f>
        <v>0</v>
      </c>
    </row>
    <row r="517" spans="1:46" s="2" customFormat="1" x14ac:dyDescent="0.25">
      <c r="A517"/>
      <c r="B517"/>
      <c r="C517"/>
      <c r="D517"/>
      <c r="E517"/>
      <c r="F517"/>
      <c r="G517"/>
      <c r="H517"/>
      <c r="I517" s="8">
        <f>+Table1[[#This Row],[Auton ball picked up in our trench]]+Table1[[#This Row],[Auton Balls Picked Up in Mid]]+Table1[[#This Row],[Auton Balls Picked Up In Their Trench]]</f>
        <v>0</v>
      </c>
      <c r="J517" s="8">
        <f>+Table1[[#This Row],[Auton Scored High]]+Table1[[#This Row],[Auton Scored Low]]</f>
        <v>0</v>
      </c>
      <c r="K51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17"/>
      <c r="M517"/>
      <c r="N517"/>
      <c r="O517"/>
      <c r="P517"/>
      <c r="Q517"/>
      <c r="R517"/>
      <c r="S517"/>
      <c r="T517"/>
      <c r="U517"/>
      <c r="V517" s="8">
        <f>Table1[[#This Row],[Balls Scored From Trench]]+Table1[[#This Row],[Balls Scored from Mid]]+Table1[[#This Row],[Balls Scored From Alliance zone]]</f>
        <v>0</v>
      </c>
      <c r="W517" s="8">
        <f>Table1[[#This Row],[balls scored high]]+Table1[[#This Row],[balls scored low]]</f>
        <v>0</v>
      </c>
      <c r="X517" s="8">
        <f>Table1[[#This Row],[Control Panel Spun Time]]+Table1[[#This Row],[Control Panel Color Time]]</f>
        <v>0</v>
      </c>
      <c r="Y517" s="8">
        <f>Table1[[#This Row],[Control Panels Spun]]+Table1[[#This Row],[Control Panel Color]]</f>
        <v>0</v>
      </c>
      <c r="Z51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17"/>
      <c r="AB517"/>
      <c r="AC517"/>
      <c r="AD517"/>
      <c r="AE517"/>
      <c r="AF517"/>
      <c r="AG517"/>
      <c r="AH517"/>
      <c r="AI517"/>
      <c r="AJ517"/>
      <c r="AK517" s="17">
        <f>(Table1[[#This Row],[Climbed]]*weighting!$B$18)+(Table1[[#This Row],[Adjustable Climber]]*weighting!$B$19)+(Table1[[#This Row],[Lift other Robot]]*weighting!$B$20)+(Table1[[#This Row],[Balanced]]*weighting!$B$21)</f>
        <v>0</v>
      </c>
      <c r="AL517" s="8">
        <f>+Table1[[#This Row],[Endgame our score]]+Table1[[#This Row],[teleop our score]]+Table1[[#This Row],[auton our score]]</f>
        <v>0</v>
      </c>
      <c r="AM517" s="20">
        <f t="shared" si="24"/>
        <v>0</v>
      </c>
      <c r="AN517" s="20">
        <f t="shared" si="25"/>
        <v>0</v>
      </c>
      <c r="AO517" s="20">
        <f t="shared" si="26"/>
        <v>0</v>
      </c>
      <c r="AP517" s="20">
        <f>Table1[[#This Row],[balls scored]]+Table1[[#This Row],[auton balls scored]]</f>
        <v>0</v>
      </c>
      <c r="AQ517" s="20">
        <f>Table1[[#This Row],[balls scored high]]+Table1[[#This Row],[Auton Scored High]]</f>
        <v>0</v>
      </c>
      <c r="AR517" s="20">
        <f>Table1[[#This Row],[balls scored low]]+Table1[[#This Row],[Auton Scored Low]]</f>
        <v>0</v>
      </c>
      <c r="AS517" s="50">
        <f>IF(Table1[[#This Row],[Control Panel Spun Time]]&gt;0,1,0)</f>
        <v>0</v>
      </c>
      <c r="AT517" s="20">
        <f>IF(Table1[[#This Row],[Control Panel Color Time]]&gt;0,1,0)</f>
        <v>0</v>
      </c>
    </row>
    <row r="518" spans="1:46" x14ac:dyDescent="0.25">
      <c r="A518"/>
      <c r="I518" s="8">
        <f>+Table1[[#This Row],[Auton ball picked up in our trench]]+Table1[[#This Row],[Auton Balls Picked Up in Mid]]+Table1[[#This Row],[Auton Balls Picked Up In Their Trench]]</f>
        <v>0</v>
      </c>
      <c r="J518" s="8">
        <f>+Table1[[#This Row],[Auton Scored High]]+Table1[[#This Row],[Auton Scored Low]]</f>
        <v>0</v>
      </c>
      <c r="K51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18" s="8">
        <f>Table1[[#This Row],[Balls Scored From Trench]]+Table1[[#This Row],[Balls Scored from Mid]]+Table1[[#This Row],[Balls Scored From Alliance zone]]</f>
        <v>0</v>
      </c>
      <c r="W518" s="8">
        <f>Table1[[#This Row],[balls scored high]]+Table1[[#This Row],[balls scored low]]</f>
        <v>0</v>
      </c>
      <c r="X518" s="8">
        <f>Table1[[#This Row],[Control Panel Spun Time]]+Table1[[#This Row],[Control Panel Color Time]]</f>
        <v>0</v>
      </c>
      <c r="Y518" s="8">
        <f>Table1[[#This Row],[Control Panels Spun]]+Table1[[#This Row],[Control Panel Color]]</f>
        <v>0</v>
      </c>
      <c r="Z51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18" s="17">
        <f>(Table1[[#This Row],[Climbed]]*weighting!$B$18)+(Table1[[#This Row],[Adjustable Climber]]*weighting!$B$19)+(Table1[[#This Row],[Lift other Robot]]*weighting!$B$20)+(Table1[[#This Row],[Balanced]]*weighting!$B$21)</f>
        <v>0</v>
      </c>
      <c r="AL518" s="8">
        <f>+Table1[[#This Row],[Endgame our score]]+Table1[[#This Row],[teleop our score]]+Table1[[#This Row],[auton our score]]</f>
        <v>0</v>
      </c>
      <c r="AM518" s="20">
        <f t="shared" si="24"/>
        <v>0</v>
      </c>
      <c r="AN518" s="20">
        <f t="shared" si="25"/>
        <v>0</v>
      </c>
      <c r="AO518" s="20">
        <f t="shared" si="26"/>
        <v>0</v>
      </c>
      <c r="AP518" s="20">
        <f>Table1[[#This Row],[balls scored]]+Table1[[#This Row],[auton balls scored]]</f>
        <v>0</v>
      </c>
      <c r="AQ518" s="20">
        <f>Table1[[#This Row],[balls scored high]]+Table1[[#This Row],[Auton Scored High]]</f>
        <v>0</v>
      </c>
      <c r="AR518" s="20">
        <f>Table1[[#This Row],[balls scored low]]+Table1[[#This Row],[Auton Scored Low]]</f>
        <v>0</v>
      </c>
      <c r="AS518" s="50">
        <f>IF(Table1[[#This Row],[Control Panel Spun Time]]&gt;0,1,0)</f>
        <v>0</v>
      </c>
      <c r="AT518" s="20">
        <f>IF(Table1[[#This Row],[Control Panel Color Time]]&gt;0,1,0)</f>
        <v>0</v>
      </c>
    </row>
    <row r="519" spans="1:46" s="2" customFormat="1" x14ac:dyDescent="0.25">
      <c r="A519"/>
      <c r="B519"/>
      <c r="C519"/>
      <c r="D519"/>
      <c r="E519"/>
      <c r="F519"/>
      <c r="G519"/>
      <c r="H519"/>
      <c r="I519" s="8">
        <f>+Table1[[#This Row],[Auton ball picked up in our trench]]+Table1[[#This Row],[Auton Balls Picked Up in Mid]]+Table1[[#This Row],[Auton Balls Picked Up In Their Trench]]</f>
        <v>0</v>
      </c>
      <c r="J519" s="8">
        <f>+Table1[[#This Row],[Auton Scored High]]+Table1[[#This Row],[Auton Scored Low]]</f>
        <v>0</v>
      </c>
      <c r="K51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19"/>
      <c r="M519"/>
      <c r="N519"/>
      <c r="O519"/>
      <c r="P519"/>
      <c r="Q519"/>
      <c r="R519"/>
      <c r="S519"/>
      <c r="T519"/>
      <c r="U519"/>
      <c r="V519" s="8">
        <f>Table1[[#This Row],[Balls Scored From Trench]]+Table1[[#This Row],[Balls Scored from Mid]]+Table1[[#This Row],[Balls Scored From Alliance zone]]</f>
        <v>0</v>
      </c>
      <c r="W519" s="8">
        <f>Table1[[#This Row],[balls scored high]]+Table1[[#This Row],[balls scored low]]</f>
        <v>0</v>
      </c>
      <c r="X519" s="8">
        <f>Table1[[#This Row],[Control Panel Spun Time]]+Table1[[#This Row],[Control Panel Color Time]]</f>
        <v>0</v>
      </c>
      <c r="Y519" s="8">
        <f>Table1[[#This Row],[Control Panels Spun]]+Table1[[#This Row],[Control Panel Color]]</f>
        <v>0</v>
      </c>
      <c r="Z51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19"/>
      <c r="AB519"/>
      <c r="AC519"/>
      <c r="AD519"/>
      <c r="AE519"/>
      <c r="AF519"/>
      <c r="AG519"/>
      <c r="AH519"/>
      <c r="AI519"/>
      <c r="AJ519"/>
      <c r="AK519" s="17">
        <f>(Table1[[#This Row],[Climbed]]*weighting!$B$18)+(Table1[[#This Row],[Adjustable Climber]]*weighting!$B$19)+(Table1[[#This Row],[Lift other Robot]]*weighting!$B$20)+(Table1[[#This Row],[Balanced]]*weighting!$B$21)</f>
        <v>0</v>
      </c>
      <c r="AL519" s="8">
        <f>+Table1[[#This Row],[Endgame our score]]+Table1[[#This Row],[teleop our score]]+Table1[[#This Row],[auton our score]]</f>
        <v>0</v>
      </c>
      <c r="AM519" s="20">
        <f t="shared" si="24"/>
        <v>0</v>
      </c>
      <c r="AN519" s="20">
        <f t="shared" si="25"/>
        <v>0</v>
      </c>
      <c r="AO519" s="20">
        <f t="shared" si="26"/>
        <v>0</v>
      </c>
      <c r="AP519" s="20">
        <f>Table1[[#This Row],[balls scored]]+Table1[[#This Row],[auton balls scored]]</f>
        <v>0</v>
      </c>
      <c r="AQ519" s="20">
        <f>Table1[[#This Row],[balls scored high]]+Table1[[#This Row],[Auton Scored High]]</f>
        <v>0</v>
      </c>
      <c r="AR519" s="20">
        <f>Table1[[#This Row],[balls scored low]]+Table1[[#This Row],[Auton Scored Low]]</f>
        <v>0</v>
      </c>
      <c r="AS519" s="50">
        <f>IF(Table1[[#This Row],[Control Panel Spun Time]]&gt;0,1,0)</f>
        <v>0</v>
      </c>
      <c r="AT519" s="20">
        <f>IF(Table1[[#This Row],[Control Panel Color Time]]&gt;0,1,0)</f>
        <v>0</v>
      </c>
    </row>
    <row r="520" spans="1:46" x14ac:dyDescent="0.25">
      <c r="A520"/>
      <c r="I520" s="8">
        <f>+Table1[[#This Row],[Auton ball picked up in our trench]]+Table1[[#This Row],[Auton Balls Picked Up in Mid]]+Table1[[#This Row],[Auton Balls Picked Up In Their Trench]]</f>
        <v>0</v>
      </c>
      <c r="J520" s="8">
        <f>+Table1[[#This Row],[Auton Scored High]]+Table1[[#This Row],[Auton Scored Low]]</f>
        <v>0</v>
      </c>
      <c r="K52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20" s="8">
        <f>Table1[[#This Row],[Balls Scored From Trench]]+Table1[[#This Row],[Balls Scored from Mid]]+Table1[[#This Row],[Balls Scored From Alliance zone]]</f>
        <v>0</v>
      </c>
      <c r="W520" s="8">
        <f>Table1[[#This Row],[balls scored high]]+Table1[[#This Row],[balls scored low]]</f>
        <v>0</v>
      </c>
      <c r="X520" s="8">
        <f>Table1[[#This Row],[Control Panel Spun Time]]+Table1[[#This Row],[Control Panel Color Time]]</f>
        <v>0</v>
      </c>
      <c r="Y520" s="8">
        <f>Table1[[#This Row],[Control Panels Spun]]+Table1[[#This Row],[Control Panel Color]]</f>
        <v>0</v>
      </c>
      <c r="Z52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20" s="17">
        <f>(Table1[[#This Row],[Climbed]]*weighting!$B$18)+(Table1[[#This Row],[Adjustable Climber]]*weighting!$B$19)+(Table1[[#This Row],[Lift other Robot]]*weighting!$B$20)+(Table1[[#This Row],[Balanced]]*weighting!$B$21)</f>
        <v>0</v>
      </c>
      <c r="AL520" s="8">
        <f>+Table1[[#This Row],[Endgame our score]]+Table1[[#This Row],[teleop our score]]+Table1[[#This Row],[auton our score]]</f>
        <v>0</v>
      </c>
      <c r="AM520" s="20">
        <f t="shared" si="24"/>
        <v>0</v>
      </c>
      <c r="AN520" s="20">
        <f t="shared" si="25"/>
        <v>0</v>
      </c>
      <c r="AO520" s="20">
        <f t="shared" si="26"/>
        <v>0</v>
      </c>
      <c r="AP520" s="20">
        <f>Table1[[#This Row],[balls scored]]+Table1[[#This Row],[auton balls scored]]</f>
        <v>0</v>
      </c>
      <c r="AQ520" s="20">
        <f>Table1[[#This Row],[balls scored high]]+Table1[[#This Row],[Auton Scored High]]</f>
        <v>0</v>
      </c>
      <c r="AR520" s="20">
        <f>Table1[[#This Row],[balls scored low]]+Table1[[#This Row],[Auton Scored Low]]</f>
        <v>0</v>
      </c>
      <c r="AS520" s="50">
        <f>IF(Table1[[#This Row],[Control Panel Spun Time]]&gt;0,1,0)</f>
        <v>0</v>
      </c>
      <c r="AT520" s="20">
        <f>IF(Table1[[#This Row],[Control Panel Color Time]]&gt;0,1,0)</f>
        <v>0</v>
      </c>
    </row>
    <row r="521" spans="1:46" s="2" customFormat="1" x14ac:dyDescent="0.25">
      <c r="A521"/>
      <c r="B521"/>
      <c r="C521"/>
      <c r="D521"/>
      <c r="E521"/>
      <c r="F521"/>
      <c r="G521"/>
      <c r="H521"/>
      <c r="I521" s="8">
        <f>+Table1[[#This Row],[Auton ball picked up in our trench]]+Table1[[#This Row],[Auton Balls Picked Up in Mid]]+Table1[[#This Row],[Auton Balls Picked Up In Their Trench]]</f>
        <v>0</v>
      </c>
      <c r="J521" s="8">
        <f>+Table1[[#This Row],[Auton Scored High]]+Table1[[#This Row],[Auton Scored Low]]</f>
        <v>0</v>
      </c>
      <c r="K52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21"/>
      <c r="M521"/>
      <c r="N521"/>
      <c r="O521"/>
      <c r="P521"/>
      <c r="Q521"/>
      <c r="R521"/>
      <c r="S521"/>
      <c r="T521"/>
      <c r="U521"/>
      <c r="V521" s="8">
        <f>Table1[[#This Row],[Balls Scored From Trench]]+Table1[[#This Row],[Balls Scored from Mid]]+Table1[[#This Row],[Balls Scored From Alliance zone]]</f>
        <v>0</v>
      </c>
      <c r="W521" s="8">
        <f>Table1[[#This Row],[balls scored high]]+Table1[[#This Row],[balls scored low]]</f>
        <v>0</v>
      </c>
      <c r="X521" s="8">
        <f>Table1[[#This Row],[Control Panel Spun Time]]+Table1[[#This Row],[Control Panel Color Time]]</f>
        <v>0</v>
      </c>
      <c r="Y521" s="8">
        <f>Table1[[#This Row],[Control Panels Spun]]+Table1[[#This Row],[Control Panel Color]]</f>
        <v>0</v>
      </c>
      <c r="Z52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21"/>
      <c r="AB521"/>
      <c r="AC521"/>
      <c r="AD521"/>
      <c r="AE521"/>
      <c r="AF521"/>
      <c r="AG521"/>
      <c r="AH521"/>
      <c r="AI521"/>
      <c r="AJ521"/>
      <c r="AK521" s="17">
        <f>(Table1[[#This Row],[Climbed]]*weighting!$B$18)+(Table1[[#This Row],[Adjustable Climber]]*weighting!$B$19)+(Table1[[#This Row],[Lift other Robot]]*weighting!$B$20)+(Table1[[#This Row],[Balanced]]*weighting!$B$21)</f>
        <v>0</v>
      </c>
      <c r="AL521" s="8">
        <f>+Table1[[#This Row],[Endgame our score]]+Table1[[#This Row],[teleop our score]]+Table1[[#This Row],[auton our score]]</f>
        <v>0</v>
      </c>
      <c r="AM521" s="20">
        <f t="shared" si="24"/>
        <v>0</v>
      </c>
      <c r="AN521" s="20">
        <f t="shared" si="25"/>
        <v>0</v>
      </c>
      <c r="AO521" s="20">
        <f t="shared" si="26"/>
        <v>0</v>
      </c>
      <c r="AP521" s="20">
        <f>Table1[[#This Row],[balls scored]]+Table1[[#This Row],[auton balls scored]]</f>
        <v>0</v>
      </c>
      <c r="AQ521" s="20">
        <f>Table1[[#This Row],[balls scored high]]+Table1[[#This Row],[Auton Scored High]]</f>
        <v>0</v>
      </c>
      <c r="AR521" s="20">
        <f>Table1[[#This Row],[balls scored low]]+Table1[[#This Row],[Auton Scored Low]]</f>
        <v>0</v>
      </c>
      <c r="AS521" s="50">
        <f>IF(Table1[[#This Row],[Control Panel Spun Time]]&gt;0,1,0)</f>
        <v>0</v>
      </c>
      <c r="AT521" s="20">
        <f>IF(Table1[[#This Row],[Control Panel Color Time]]&gt;0,1,0)</f>
        <v>0</v>
      </c>
    </row>
    <row r="522" spans="1:46" x14ac:dyDescent="0.25">
      <c r="A522"/>
      <c r="I522" s="8">
        <f>+Table1[[#This Row],[Auton ball picked up in our trench]]+Table1[[#This Row],[Auton Balls Picked Up in Mid]]+Table1[[#This Row],[Auton Balls Picked Up In Their Trench]]</f>
        <v>0</v>
      </c>
      <c r="J522" s="8">
        <f>+Table1[[#This Row],[Auton Scored High]]+Table1[[#This Row],[Auton Scored Low]]</f>
        <v>0</v>
      </c>
      <c r="K52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22" s="8">
        <f>Table1[[#This Row],[Balls Scored From Trench]]+Table1[[#This Row],[Balls Scored from Mid]]+Table1[[#This Row],[Balls Scored From Alliance zone]]</f>
        <v>0</v>
      </c>
      <c r="W522" s="8">
        <f>Table1[[#This Row],[balls scored high]]+Table1[[#This Row],[balls scored low]]</f>
        <v>0</v>
      </c>
      <c r="X522" s="8">
        <f>Table1[[#This Row],[Control Panel Spun Time]]+Table1[[#This Row],[Control Panel Color Time]]</f>
        <v>0</v>
      </c>
      <c r="Y522" s="8">
        <f>Table1[[#This Row],[Control Panels Spun]]+Table1[[#This Row],[Control Panel Color]]</f>
        <v>0</v>
      </c>
      <c r="Z52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22" s="17">
        <f>(Table1[[#This Row],[Climbed]]*weighting!$B$18)+(Table1[[#This Row],[Adjustable Climber]]*weighting!$B$19)+(Table1[[#This Row],[Lift other Robot]]*weighting!$B$20)+(Table1[[#This Row],[Balanced]]*weighting!$B$21)</f>
        <v>0</v>
      </c>
      <c r="AL522" s="8">
        <f>+Table1[[#This Row],[Endgame our score]]+Table1[[#This Row],[teleop our score]]+Table1[[#This Row],[auton our score]]</f>
        <v>0</v>
      </c>
      <c r="AM522" s="20">
        <f t="shared" si="24"/>
        <v>0</v>
      </c>
      <c r="AN522" s="20">
        <f t="shared" si="25"/>
        <v>0</v>
      </c>
      <c r="AO522" s="20">
        <f t="shared" si="26"/>
        <v>0</v>
      </c>
      <c r="AP522" s="20">
        <f>Table1[[#This Row],[balls scored]]+Table1[[#This Row],[auton balls scored]]</f>
        <v>0</v>
      </c>
      <c r="AQ522" s="20">
        <f>Table1[[#This Row],[balls scored high]]+Table1[[#This Row],[Auton Scored High]]</f>
        <v>0</v>
      </c>
      <c r="AR522" s="20">
        <f>Table1[[#This Row],[balls scored low]]+Table1[[#This Row],[Auton Scored Low]]</f>
        <v>0</v>
      </c>
      <c r="AS522" s="50">
        <f>IF(Table1[[#This Row],[Control Panel Spun Time]]&gt;0,1,0)</f>
        <v>0</v>
      </c>
      <c r="AT522" s="20">
        <f>IF(Table1[[#This Row],[Control Panel Color Time]]&gt;0,1,0)</f>
        <v>0</v>
      </c>
    </row>
    <row r="523" spans="1:46" s="2" customFormat="1" x14ac:dyDescent="0.25">
      <c r="A523"/>
      <c r="B523"/>
      <c r="C523"/>
      <c r="D523"/>
      <c r="E523"/>
      <c r="F523"/>
      <c r="G523"/>
      <c r="H523"/>
      <c r="I523" s="8">
        <f>+Table1[[#This Row],[Auton ball picked up in our trench]]+Table1[[#This Row],[Auton Balls Picked Up in Mid]]+Table1[[#This Row],[Auton Balls Picked Up In Their Trench]]</f>
        <v>0</v>
      </c>
      <c r="J523" s="8">
        <f>+Table1[[#This Row],[Auton Scored High]]+Table1[[#This Row],[Auton Scored Low]]</f>
        <v>0</v>
      </c>
      <c r="K52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23"/>
      <c r="M523"/>
      <c r="N523"/>
      <c r="O523"/>
      <c r="P523"/>
      <c r="Q523"/>
      <c r="R523"/>
      <c r="S523"/>
      <c r="T523"/>
      <c r="U523"/>
      <c r="V523" s="8">
        <f>Table1[[#This Row],[Balls Scored From Trench]]+Table1[[#This Row],[Balls Scored from Mid]]+Table1[[#This Row],[Balls Scored From Alliance zone]]</f>
        <v>0</v>
      </c>
      <c r="W523" s="8">
        <f>Table1[[#This Row],[balls scored high]]+Table1[[#This Row],[balls scored low]]</f>
        <v>0</v>
      </c>
      <c r="X523" s="8">
        <f>Table1[[#This Row],[Control Panel Spun Time]]+Table1[[#This Row],[Control Panel Color Time]]</f>
        <v>0</v>
      </c>
      <c r="Y523" s="8">
        <f>Table1[[#This Row],[Control Panels Spun]]+Table1[[#This Row],[Control Panel Color]]</f>
        <v>0</v>
      </c>
      <c r="Z52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23"/>
      <c r="AB523"/>
      <c r="AC523"/>
      <c r="AD523"/>
      <c r="AE523"/>
      <c r="AF523"/>
      <c r="AG523"/>
      <c r="AH523"/>
      <c r="AI523"/>
      <c r="AJ523"/>
      <c r="AK523" s="17">
        <f>(Table1[[#This Row],[Climbed]]*weighting!$B$18)+(Table1[[#This Row],[Adjustable Climber]]*weighting!$B$19)+(Table1[[#This Row],[Lift other Robot]]*weighting!$B$20)+(Table1[[#This Row],[Balanced]]*weighting!$B$21)</f>
        <v>0</v>
      </c>
      <c r="AL523" s="8">
        <f>+Table1[[#This Row],[Endgame our score]]+Table1[[#This Row],[teleop our score]]+Table1[[#This Row],[auton our score]]</f>
        <v>0</v>
      </c>
      <c r="AM523" s="20">
        <f t="shared" si="24"/>
        <v>0</v>
      </c>
      <c r="AN523" s="20">
        <f t="shared" si="25"/>
        <v>0</v>
      </c>
      <c r="AO523" s="20">
        <f t="shared" si="26"/>
        <v>0</v>
      </c>
      <c r="AP523" s="20">
        <f>Table1[[#This Row],[balls scored]]+Table1[[#This Row],[auton balls scored]]</f>
        <v>0</v>
      </c>
      <c r="AQ523" s="20">
        <f>Table1[[#This Row],[balls scored high]]+Table1[[#This Row],[Auton Scored High]]</f>
        <v>0</v>
      </c>
      <c r="AR523" s="20">
        <f>Table1[[#This Row],[balls scored low]]+Table1[[#This Row],[Auton Scored Low]]</f>
        <v>0</v>
      </c>
      <c r="AS523" s="50">
        <f>IF(Table1[[#This Row],[Control Panel Spun Time]]&gt;0,1,0)</f>
        <v>0</v>
      </c>
      <c r="AT523" s="20">
        <f>IF(Table1[[#This Row],[Control Panel Color Time]]&gt;0,1,0)</f>
        <v>0</v>
      </c>
    </row>
    <row r="524" spans="1:46" x14ac:dyDescent="0.25">
      <c r="A524"/>
      <c r="I524" s="8">
        <f>+Table1[[#This Row],[Auton ball picked up in our trench]]+Table1[[#This Row],[Auton Balls Picked Up in Mid]]+Table1[[#This Row],[Auton Balls Picked Up In Their Trench]]</f>
        <v>0</v>
      </c>
      <c r="J524" s="8">
        <f>+Table1[[#This Row],[Auton Scored High]]+Table1[[#This Row],[Auton Scored Low]]</f>
        <v>0</v>
      </c>
      <c r="K52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24" s="8">
        <f>Table1[[#This Row],[Balls Scored From Trench]]+Table1[[#This Row],[Balls Scored from Mid]]+Table1[[#This Row],[Balls Scored From Alliance zone]]</f>
        <v>0</v>
      </c>
      <c r="W524" s="8">
        <f>Table1[[#This Row],[balls scored high]]+Table1[[#This Row],[balls scored low]]</f>
        <v>0</v>
      </c>
      <c r="X524" s="8">
        <f>Table1[[#This Row],[Control Panel Spun Time]]+Table1[[#This Row],[Control Panel Color Time]]</f>
        <v>0</v>
      </c>
      <c r="Y524" s="8">
        <f>Table1[[#This Row],[Control Panels Spun]]+Table1[[#This Row],[Control Panel Color]]</f>
        <v>0</v>
      </c>
      <c r="Z52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24" s="17">
        <f>(Table1[[#This Row],[Climbed]]*weighting!$B$18)+(Table1[[#This Row],[Adjustable Climber]]*weighting!$B$19)+(Table1[[#This Row],[Lift other Robot]]*weighting!$B$20)+(Table1[[#This Row],[Balanced]]*weighting!$B$21)</f>
        <v>0</v>
      </c>
      <c r="AL524" s="8">
        <f>+Table1[[#This Row],[Endgame our score]]+Table1[[#This Row],[teleop our score]]+Table1[[#This Row],[auton our score]]</f>
        <v>0</v>
      </c>
      <c r="AM524" s="20">
        <f t="shared" si="24"/>
        <v>0</v>
      </c>
      <c r="AN524" s="20">
        <f t="shared" si="25"/>
        <v>0</v>
      </c>
      <c r="AO524" s="20">
        <f t="shared" si="26"/>
        <v>0</v>
      </c>
      <c r="AP524" s="20">
        <f>Table1[[#This Row],[balls scored]]+Table1[[#This Row],[auton balls scored]]</f>
        <v>0</v>
      </c>
      <c r="AQ524" s="20">
        <f>Table1[[#This Row],[balls scored high]]+Table1[[#This Row],[Auton Scored High]]</f>
        <v>0</v>
      </c>
      <c r="AR524" s="20">
        <f>Table1[[#This Row],[balls scored low]]+Table1[[#This Row],[Auton Scored Low]]</f>
        <v>0</v>
      </c>
      <c r="AS524" s="50">
        <f>IF(Table1[[#This Row],[Control Panel Spun Time]]&gt;0,1,0)</f>
        <v>0</v>
      </c>
      <c r="AT524" s="20">
        <f>IF(Table1[[#This Row],[Control Panel Color Time]]&gt;0,1,0)</f>
        <v>0</v>
      </c>
    </row>
    <row r="525" spans="1:46" s="2" customFormat="1" x14ac:dyDescent="0.25">
      <c r="A525"/>
      <c r="B525"/>
      <c r="C525"/>
      <c r="D525"/>
      <c r="E525"/>
      <c r="F525"/>
      <c r="G525"/>
      <c r="H525"/>
      <c r="I525" s="8">
        <f>+Table1[[#This Row],[Auton ball picked up in our trench]]+Table1[[#This Row],[Auton Balls Picked Up in Mid]]+Table1[[#This Row],[Auton Balls Picked Up In Their Trench]]</f>
        <v>0</v>
      </c>
      <c r="J525" s="8">
        <f>+Table1[[#This Row],[Auton Scored High]]+Table1[[#This Row],[Auton Scored Low]]</f>
        <v>0</v>
      </c>
      <c r="K52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25"/>
      <c r="M525"/>
      <c r="N525"/>
      <c r="O525"/>
      <c r="P525"/>
      <c r="Q525"/>
      <c r="R525"/>
      <c r="S525"/>
      <c r="T525"/>
      <c r="U525"/>
      <c r="V525" s="8">
        <f>Table1[[#This Row],[Balls Scored From Trench]]+Table1[[#This Row],[Balls Scored from Mid]]+Table1[[#This Row],[Balls Scored From Alliance zone]]</f>
        <v>0</v>
      </c>
      <c r="W525" s="8">
        <f>Table1[[#This Row],[balls scored high]]+Table1[[#This Row],[balls scored low]]</f>
        <v>0</v>
      </c>
      <c r="X525" s="8">
        <f>Table1[[#This Row],[Control Panel Spun Time]]+Table1[[#This Row],[Control Panel Color Time]]</f>
        <v>0</v>
      </c>
      <c r="Y525" s="8">
        <f>Table1[[#This Row],[Control Panels Spun]]+Table1[[#This Row],[Control Panel Color]]</f>
        <v>0</v>
      </c>
      <c r="Z52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25"/>
      <c r="AB525"/>
      <c r="AC525"/>
      <c r="AD525"/>
      <c r="AE525"/>
      <c r="AF525"/>
      <c r="AG525"/>
      <c r="AH525"/>
      <c r="AI525"/>
      <c r="AJ525"/>
      <c r="AK525" s="17">
        <f>(Table1[[#This Row],[Climbed]]*weighting!$B$18)+(Table1[[#This Row],[Adjustable Climber]]*weighting!$B$19)+(Table1[[#This Row],[Lift other Robot]]*weighting!$B$20)+(Table1[[#This Row],[Balanced]]*weighting!$B$21)</f>
        <v>0</v>
      </c>
      <c r="AL525" s="8">
        <f>+Table1[[#This Row],[Endgame our score]]+Table1[[#This Row],[teleop our score]]+Table1[[#This Row],[auton our score]]</f>
        <v>0</v>
      </c>
      <c r="AM525" s="20">
        <f t="shared" si="24"/>
        <v>0</v>
      </c>
      <c r="AN525" s="20">
        <f t="shared" si="25"/>
        <v>0</v>
      </c>
      <c r="AO525" s="20">
        <f t="shared" si="26"/>
        <v>0</v>
      </c>
      <c r="AP525" s="20">
        <f>Table1[[#This Row],[balls scored]]+Table1[[#This Row],[auton balls scored]]</f>
        <v>0</v>
      </c>
      <c r="AQ525" s="20">
        <f>Table1[[#This Row],[balls scored high]]+Table1[[#This Row],[Auton Scored High]]</f>
        <v>0</v>
      </c>
      <c r="AR525" s="20">
        <f>Table1[[#This Row],[balls scored low]]+Table1[[#This Row],[Auton Scored Low]]</f>
        <v>0</v>
      </c>
      <c r="AS525" s="50">
        <f>IF(Table1[[#This Row],[Control Panel Spun Time]]&gt;0,1,0)</f>
        <v>0</v>
      </c>
      <c r="AT525" s="20">
        <f>IF(Table1[[#This Row],[Control Panel Color Time]]&gt;0,1,0)</f>
        <v>0</v>
      </c>
    </row>
    <row r="526" spans="1:46" x14ac:dyDescent="0.25">
      <c r="A526"/>
      <c r="I526" s="8">
        <f>+Table1[[#This Row],[Auton ball picked up in our trench]]+Table1[[#This Row],[Auton Balls Picked Up in Mid]]+Table1[[#This Row],[Auton Balls Picked Up In Their Trench]]</f>
        <v>0</v>
      </c>
      <c r="J526" s="8">
        <f>+Table1[[#This Row],[Auton Scored High]]+Table1[[#This Row],[Auton Scored Low]]</f>
        <v>0</v>
      </c>
      <c r="K52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26" s="8">
        <f>Table1[[#This Row],[Balls Scored From Trench]]+Table1[[#This Row],[Balls Scored from Mid]]+Table1[[#This Row],[Balls Scored From Alliance zone]]</f>
        <v>0</v>
      </c>
      <c r="W526" s="8">
        <f>Table1[[#This Row],[balls scored high]]+Table1[[#This Row],[balls scored low]]</f>
        <v>0</v>
      </c>
      <c r="X526" s="8">
        <f>Table1[[#This Row],[Control Panel Spun Time]]+Table1[[#This Row],[Control Panel Color Time]]</f>
        <v>0</v>
      </c>
      <c r="Y526" s="8">
        <f>Table1[[#This Row],[Control Panels Spun]]+Table1[[#This Row],[Control Panel Color]]</f>
        <v>0</v>
      </c>
      <c r="Z52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26" s="17">
        <f>(Table1[[#This Row],[Climbed]]*weighting!$B$18)+(Table1[[#This Row],[Adjustable Climber]]*weighting!$B$19)+(Table1[[#This Row],[Lift other Robot]]*weighting!$B$20)+(Table1[[#This Row],[Balanced]]*weighting!$B$21)</f>
        <v>0</v>
      </c>
      <c r="AL526" s="8">
        <f>+Table1[[#This Row],[Endgame our score]]+Table1[[#This Row],[teleop our score]]+Table1[[#This Row],[auton our score]]</f>
        <v>0</v>
      </c>
      <c r="AM526" s="20">
        <f t="shared" si="24"/>
        <v>0</v>
      </c>
      <c r="AN526" s="20">
        <f t="shared" si="25"/>
        <v>0</v>
      </c>
      <c r="AO526" s="20">
        <f t="shared" si="26"/>
        <v>0</v>
      </c>
      <c r="AP526" s="20">
        <f>Table1[[#This Row],[balls scored]]+Table1[[#This Row],[auton balls scored]]</f>
        <v>0</v>
      </c>
      <c r="AQ526" s="20">
        <f>Table1[[#This Row],[balls scored high]]+Table1[[#This Row],[Auton Scored High]]</f>
        <v>0</v>
      </c>
      <c r="AR526" s="20">
        <f>Table1[[#This Row],[balls scored low]]+Table1[[#This Row],[Auton Scored Low]]</f>
        <v>0</v>
      </c>
      <c r="AS526" s="50">
        <f>IF(Table1[[#This Row],[Control Panel Spun Time]]&gt;0,1,0)</f>
        <v>0</v>
      </c>
      <c r="AT526" s="20">
        <f>IF(Table1[[#This Row],[Control Panel Color Time]]&gt;0,1,0)</f>
        <v>0</v>
      </c>
    </row>
    <row r="527" spans="1:46" s="2" customFormat="1" x14ac:dyDescent="0.25">
      <c r="A527"/>
      <c r="B527"/>
      <c r="C527"/>
      <c r="D527"/>
      <c r="E527"/>
      <c r="F527"/>
      <c r="G527"/>
      <c r="H527"/>
      <c r="I527" s="8">
        <f>+Table1[[#This Row],[Auton ball picked up in our trench]]+Table1[[#This Row],[Auton Balls Picked Up in Mid]]+Table1[[#This Row],[Auton Balls Picked Up In Their Trench]]</f>
        <v>0</v>
      </c>
      <c r="J527" s="8">
        <f>+Table1[[#This Row],[Auton Scored High]]+Table1[[#This Row],[Auton Scored Low]]</f>
        <v>0</v>
      </c>
      <c r="K52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27"/>
      <c r="M527"/>
      <c r="N527"/>
      <c r="O527"/>
      <c r="P527"/>
      <c r="Q527"/>
      <c r="R527"/>
      <c r="S527"/>
      <c r="T527"/>
      <c r="U527"/>
      <c r="V527" s="8">
        <f>Table1[[#This Row],[Balls Scored From Trench]]+Table1[[#This Row],[Balls Scored from Mid]]+Table1[[#This Row],[Balls Scored From Alliance zone]]</f>
        <v>0</v>
      </c>
      <c r="W527" s="8">
        <f>Table1[[#This Row],[balls scored high]]+Table1[[#This Row],[balls scored low]]</f>
        <v>0</v>
      </c>
      <c r="X527" s="8">
        <f>Table1[[#This Row],[Control Panel Spun Time]]+Table1[[#This Row],[Control Panel Color Time]]</f>
        <v>0</v>
      </c>
      <c r="Y527" s="8">
        <f>Table1[[#This Row],[Control Panels Spun]]+Table1[[#This Row],[Control Panel Color]]</f>
        <v>0</v>
      </c>
      <c r="Z52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27"/>
      <c r="AB527"/>
      <c r="AC527"/>
      <c r="AD527"/>
      <c r="AE527"/>
      <c r="AF527"/>
      <c r="AG527"/>
      <c r="AH527"/>
      <c r="AI527"/>
      <c r="AJ527"/>
      <c r="AK527" s="17">
        <f>(Table1[[#This Row],[Climbed]]*weighting!$B$18)+(Table1[[#This Row],[Adjustable Climber]]*weighting!$B$19)+(Table1[[#This Row],[Lift other Robot]]*weighting!$B$20)+(Table1[[#This Row],[Balanced]]*weighting!$B$21)</f>
        <v>0</v>
      </c>
      <c r="AL527" s="8">
        <f>+Table1[[#This Row],[Endgame our score]]+Table1[[#This Row],[teleop our score]]+Table1[[#This Row],[auton our score]]</f>
        <v>0</v>
      </c>
      <c r="AM527" s="20">
        <f t="shared" si="24"/>
        <v>0</v>
      </c>
      <c r="AN527" s="20">
        <f t="shared" si="25"/>
        <v>0</v>
      </c>
      <c r="AO527" s="20">
        <f t="shared" si="26"/>
        <v>0</v>
      </c>
      <c r="AP527" s="20">
        <f>Table1[[#This Row],[balls scored]]+Table1[[#This Row],[auton balls scored]]</f>
        <v>0</v>
      </c>
      <c r="AQ527" s="20">
        <f>Table1[[#This Row],[balls scored high]]+Table1[[#This Row],[Auton Scored High]]</f>
        <v>0</v>
      </c>
      <c r="AR527" s="20">
        <f>Table1[[#This Row],[balls scored low]]+Table1[[#This Row],[Auton Scored Low]]</f>
        <v>0</v>
      </c>
      <c r="AS527" s="50">
        <f>IF(Table1[[#This Row],[Control Panel Spun Time]]&gt;0,1,0)</f>
        <v>0</v>
      </c>
      <c r="AT527" s="20">
        <f>IF(Table1[[#This Row],[Control Panel Color Time]]&gt;0,1,0)</f>
        <v>0</v>
      </c>
    </row>
    <row r="528" spans="1:46" x14ac:dyDescent="0.25">
      <c r="A528"/>
      <c r="I528" s="8">
        <f>+Table1[[#This Row],[Auton ball picked up in our trench]]+Table1[[#This Row],[Auton Balls Picked Up in Mid]]+Table1[[#This Row],[Auton Balls Picked Up In Their Trench]]</f>
        <v>0</v>
      </c>
      <c r="J528" s="8">
        <f>+Table1[[#This Row],[Auton Scored High]]+Table1[[#This Row],[Auton Scored Low]]</f>
        <v>0</v>
      </c>
      <c r="K52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28" s="8">
        <f>Table1[[#This Row],[Balls Scored From Trench]]+Table1[[#This Row],[Balls Scored from Mid]]+Table1[[#This Row],[Balls Scored From Alliance zone]]</f>
        <v>0</v>
      </c>
      <c r="W528" s="8">
        <f>Table1[[#This Row],[balls scored high]]+Table1[[#This Row],[balls scored low]]</f>
        <v>0</v>
      </c>
      <c r="X528" s="8">
        <f>Table1[[#This Row],[Control Panel Spun Time]]+Table1[[#This Row],[Control Panel Color Time]]</f>
        <v>0</v>
      </c>
      <c r="Y528" s="8">
        <f>Table1[[#This Row],[Control Panels Spun]]+Table1[[#This Row],[Control Panel Color]]</f>
        <v>0</v>
      </c>
      <c r="Z52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28" s="17">
        <f>(Table1[[#This Row],[Climbed]]*weighting!$B$18)+(Table1[[#This Row],[Adjustable Climber]]*weighting!$B$19)+(Table1[[#This Row],[Lift other Robot]]*weighting!$B$20)+(Table1[[#This Row],[Balanced]]*weighting!$B$21)</f>
        <v>0</v>
      </c>
      <c r="AL528" s="8">
        <f>+Table1[[#This Row],[Endgame our score]]+Table1[[#This Row],[teleop our score]]+Table1[[#This Row],[auton our score]]</f>
        <v>0</v>
      </c>
      <c r="AM528" s="20">
        <f t="shared" si="24"/>
        <v>0</v>
      </c>
      <c r="AN528" s="20">
        <f t="shared" si="25"/>
        <v>0</v>
      </c>
      <c r="AO528" s="20">
        <f t="shared" si="26"/>
        <v>0</v>
      </c>
      <c r="AP528" s="20">
        <f>Table1[[#This Row],[balls scored]]+Table1[[#This Row],[auton balls scored]]</f>
        <v>0</v>
      </c>
      <c r="AQ528" s="20">
        <f>Table1[[#This Row],[balls scored high]]+Table1[[#This Row],[Auton Scored High]]</f>
        <v>0</v>
      </c>
      <c r="AR528" s="20">
        <f>Table1[[#This Row],[balls scored low]]+Table1[[#This Row],[Auton Scored Low]]</f>
        <v>0</v>
      </c>
      <c r="AS528" s="50">
        <f>IF(Table1[[#This Row],[Control Panel Spun Time]]&gt;0,1,0)</f>
        <v>0</v>
      </c>
      <c r="AT528" s="20">
        <f>IF(Table1[[#This Row],[Control Panel Color Time]]&gt;0,1,0)</f>
        <v>0</v>
      </c>
    </row>
    <row r="529" spans="1:46" s="2" customFormat="1" x14ac:dyDescent="0.25">
      <c r="A529"/>
      <c r="B529"/>
      <c r="C529"/>
      <c r="D529"/>
      <c r="E529"/>
      <c r="F529"/>
      <c r="G529"/>
      <c r="H529"/>
      <c r="I529" s="8">
        <f>+Table1[[#This Row],[Auton ball picked up in our trench]]+Table1[[#This Row],[Auton Balls Picked Up in Mid]]+Table1[[#This Row],[Auton Balls Picked Up In Their Trench]]</f>
        <v>0</v>
      </c>
      <c r="J529" s="8">
        <f>+Table1[[#This Row],[Auton Scored High]]+Table1[[#This Row],[Auton Scored Low]]</f>
        <v>0</v>
      </c>
      <c r="K52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29"/>
      <c r="M529"/>
      <c r="N529"/>
      <c r="O529"/>
      <c r="P529"/>
      <c r="Q529"/>
      <c r="R529"/>
      <c r="S529"/>
      <c r="T529"/>
      <c r="U529"/>
      <c r="V529" s="8">
        <f>Table1[[#This Row],[Balls Scored From Trench]]+Table1[[#This Row],[Balls Scored from Mid]]+Table1[[#This Row],[Balls Scored From Alliance zone]]</f>
        <v>0</v>
      </c>
      <c r="W529" s="8">
        <f>Table1[[#This Row],[balls scored high]]+Table1[[#This Row],[balls scored low]]</f>
        <v>0</v>
      </c>
      <c r="X529" s="8">
        <f>Table1[[#This Row],[Control Panel Spun Time]]+Table1[[#This Row],[Control Panel Color Time]]</f>
        <v>0</v>
      </c>
      <c r="Y529" s="8">
        <f>Table1[[#This Row],[Control Panels Spun]]+Table1[[#This Row],[Control Panel Color]]</f>
        <v>0</v>
      </c>
      <c r="Z52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29"/>
      <c r="AB529"/>
      <c r="AC529"/>
      <c r="AD529"/>
      <c r="AE529"/>
      <c r="AF529"/>
      <c r="AG529"/>
      <c r="AH529"/>
      <c r="AI529"/>
      <c r="AJ529"/>
      <c r="AK529" s="17">
        <f>(Table1[[#This Row],[Climbed]]*weighting!$B$18)+(Table1[[#This Row],[Adjustable Climber]]*weighting!$B$19)+(Table1[[#This Row],[Lift other Robot]]*weighting!$B$20)+(Table1[[#This Row],[Balanced]]*weighting!$B$21)</f>
        <v>0</v>
      </c>
      <c r="AL529" s="8">
        <f>+Table1[[#This Row],[Endgame our score]]+Table1[[#This Row],[teleop our score]]+Table1[[#This Row],[auton our score]]</f>
        <v>0</v>
      </c>
      <c r="AM529" s="20">
        <f t="shared" si="24"/>
        <v>0</v>
      </c>
      <c r="AN529" s="20">
        <f t="shared" si="25"/>
        <v>0</v>
      </c>
      <c r="AO529" s="20">
        <f t="shared" si="26"/>
        <v>0</v>
      </c>
      <c r="AP529" s="20">
        <f>Table1[[#This Row],[balls scored]]+Table1[[#This Row],[auton balls scored]]</f>
        <v>0</v>
      </c>
      <c r="AQ529" s="20">
        <f>Table1[[#This Row],[balls scored high]]+Table1[[#This Row],[Auton Scored High]]</f>
        <v>0</v>
      </c>
      <c r="AR529" s="20">
        <f>Table1[[#This Row],[balls scored low]]+Table1[[#This Row],[Auton Scored Low]]</f>
        <v>0</v>
      </c>
      <c r="AS529" s="50">
        <f>IF(Table1[[#This Row],[Control Panel Spun Time]]&gt;0,1,0)</f>
        <v>0</v>
      </c>
      <c r="AT529" s="20">
        <f>IF(Table1[[#This Row],[Control Panel Color Time]]&gt;0,1,0)</f>
        <v>0</v>
      </c>
    </row>
    <row r="530" spans="1:46" x14ac:dyDescent="0.25">
      <c r="A530"/>
      <c r="I530" s="8">
        <f>+Table1[[#This Row],[Auton ball picked up in our trench]]+Table1[[#This Row],[Auton Balls Picked Up in Mid]]+Table1[[#This Row],[Auton Balls Picked Up In Their Trench]]</f>
        <v>0</v>
      </c>
      <c r="J530" s="8">
        <f>+Table1[[#This Row],[Auton Scored High]]+Table1[[#This Row],[Auton Scored Low]]</f>
        <v>0</v>
      </c>
      <c r="K53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30" s="8">
        <f>Table1[[#This Row],[Balls Scored From Trench]]+Table1[[#This Row],[Balls Scored from Mid]]+Table1[[#This Row],[Balls Scored From Alliance zone]]</f>
        <v>0</v>
      </c>
      <c r="W530" s="8">
        <f>Table1[[#This Row],[balls scored high]]+Table1[[#This Row],[balls scored low]]</f>
        <v>0</v>
      </c>
      <c r="X530" s="8">
        <f>Table1[[#This Row],[Control Panel Spun Time]]+Table1[[#This Row],[Control Panel Color Time]]</f>
        <v>0</v>
      </c>
      <c r="Y530" s="8">
        <f>Table1[[#This Row],[Control Panels Spun]]+Table1[[#This Row],[Control Panel Color]]</f>
        <v>0</v>
      </c>
      <c r="Z53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30" s="17">
        <f>(Table1[[#This Row],[Climbed]]*weighting!$B$18)+(Table1[[#This Row],[Adjustable Climber]]*weighting!$B$19)+(Table1[[#This Row],[Lift other Robot]]*weighting!$B$20)+(Table1[[#This Row],[Balanced]]*weighting!$B$21)</f>
        <v>0</v>
      </c>
      <c r="AL530" s="8">
        <f>+Table1[[#This Row],[Endgame our score]]+Table1[[#This Row],[teleop our score]]+Table1[[#This Row],[auton our score]]</f>
        <v>0</v>
      </c>
      <c r="AM530" s="20">
        <f t="shared" si="24"/>
        <v>0</v>
      </c>
      <c r="AN530" s="20">
        <f t="shared" si="25"/>
        <v>0</v>
      </c>
      <c r="AO530" s="20">
        <f t="shared" si="26"/>
        <v>0</v>
      </c>
      <c r="AP530" s="20">
        <f>Table1[[#This Row],[balls scored]]+Table1[[#This Row],[auton balls scored]]</f>
        <v>0</v>
      </c>
      <c r="AQ530" s="20">
        <f>Table1[[#This Row],[balls scored high]]+Table1[[#This Row],[Auton Scored High]]</f>
        <v>0</v>
      </c>
      <c r="AR530" s="20">
        <f>Table1[[#This Row],[balls scored low]]+Table1[[#This Row],[Auton Scored Low]]</f>
        <v>0</v>
      </c>
      <c r="AS530" s="50">
        <f>IF(Table1[[#This Row],[Control Panel Spun Time]]&gt;0,1,0)</f>
        <v>0</v>
      </c>
      <c r="AT530" s="20">
        <f>IF(Table1[[#This Row],[Control Panel Color Time]]&gt;0,1,0)</f>
        <v>0</v>
      </c>
    </row>
    <row r="531" spans="1:46" s="2" customFormat="1" x14ac:dyDescent="0.25">
      <c r="A531"/>
      <c r="B531"/>
      <c r="C531"/>
      <c r="D531"/>
      <c r="E531"/>
      <c r="F531"/>
      <c r="G531"/>
      <c r="H531"/>
      <c r="I531" s="8">
        <f>+Table1[[#This Row],[Auton ball picked up in our trench]]+Table1[[#This Row],[Auton Balls Picked Up in Mid]]+Table1[[#This Row],[Auton Balls Picked Up In Their Trench]]</f>
        <v>0</v>
      </c>
      <c r="J531" s="8">
        <f>+Table1[[#This Row],[Auton Scored High]]+Table1[[#This Row],[Auton Scored Low]]</f>
        <v>0</v>
      </c>
      <c r="K53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31"/>
      <c r="M531"/>
      <c r="N531"/>
      <c r="O531"/>
      <c r="P531"/>
      <c r="Q531"/>
      <c r="R531"/>
      <c r="S531"/>
      <c r="T531"/>
      <c r="U531"/>
      <c r="V531" s="8">
        <f>Table1[[#This Row],[Balls Scored From Trench]]+Table1[[#This Row],[Balls Scored from Mid]]+Table1[[#This Row],[Balls Scored From Alliance zone]]</f>
        <v>0</v>
      </c>
      <c r="W531" s="8">
        <f>Table1[[#This Row],[balls scored high]]+Table1[[#This Row],[balls scored low]]</f>
        <v>0</v>
      </c>
      <c r="X531" s="8">
        <f>Table1[[#This Row],[Control Panel Spun Time]]+Table1[[#This Row],[Control Panel Color Time]]</f>
        <v>0</v>
      </c>
      <c r="Y531" s="8">
        <f>Table1[[#This Row],[Control Panels Spun]]+Table1[[#This Row],[Control Panel Color]]</f>
        <v>0</v>
      </c>
      <c r="Z53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31"/>
      <c r="AB531"/>
      <c r="AC531"/>
      <c r="AD531"/>
      <c r="AE531"/>
      <c r="AF531"/>
      <c r="AG531"/>
      <c r="AH531"/>
      <c r="AI531"/>
      <c r="AJ531"/>
      <c r="AK531" s="17">
        <f>(Table1[[#This Row],[Climbed]]*weighting!$B$18)+(Table1[[#This Row],[Adjustable Climber]]*weighting!$B$19)+(Table1[[#This Row],[Lift other Robot]]*weighting!$B$20)+(Table1[[#This Row],[Balanced]]*weighting!$B$21)</f>
        <v>0</v>
      </c>
      <c r="AL531" s="8">
        <f>+Table1[[#This Row],[Endgame our score]]+Table1[[#This Row],[teleop our score]]+Table1[[#This Row],[auton our score]]</f>
        <v>0</v>
      </c>
      <c r="AM531" s="20">
        <f t="shared" si="24"/>
        <v>0</v>
      </c>
      <c r="AN531" s="20">
        <f t="shared" si="25"/>
        <v>0</v>
      </c>
      <c r="AO531" s="20">
        <f t="shared" si="26"/>
        <v>0</v>
      </c>
      <c r="AP531" s="20">
        <f>Table1[[#This Row],[balls scored]]+Table1[[#This Row],[auton balls scored]]</f>
        <v>0</v>
      </c>
      <c r="AQ531" s="20">
        <f>Table1[[#This Row],[balls scored high]]+Table1[[#This Row],[Auton Scored High]]</f>
        <v>0</v>
      </c>
      <c r="AR531" s="20">
        <f>Table1[[#This Row],[balls scored low]]+Table1[[#This Row],[Auton Scored Low]]</f>
        <v>0</v>
      </c>
      <c r="AS531" s="50">
        <f>IF(Table1[[#This Row],[Control Panel Spun Time]]&gt;0,1,0)</f>
        <v>0</v>
      </c>
      <c r="AT531" s="20">
        <f>IF(Table1[[#This Row],[Control Panel Color Time]]&gt;0,1,0)</f>
        <v>0</v>
      </c>
    </row>
    <row r="532" spans="1:46" x14ac:dyDescent="0.25">
      <c r="A532"/>
      <c r="I532" s="8">
        <f>+Table1[[#This Row],[Auton ball picked up in our trench]]+Table1[[#This Row],[Auton Balls Picked Up in Mid]]+Table1[[#This Row],[Auton Balls Picked Up In Their Trench]]</f>
        <v>0</v>
      </c>
      <c r="J532" s="8">
        <f>+Table1[[#This Row],[Auton Scored High]]+Table1[[#This Row],[Auton Scored Low]]</f>
        <v>0</v>
      </c>
      <c r="K53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32" s="8">
        <f>Table1[[#This Row],[Balls Scored From Trench]]+Table1[[#This Row],[Balls Scored from Mid]]+Table1[[#This Row],[Balls Scored From Alliance zone]]</f>
        <v>0</v>
      </c>
      <c r="W532" s="8">
        <f>Table1[[#This Row],[balls scored high]]+Table1[[#This Row],[balls scored low]]</f>
        <v>0</v>
      </c>
      <c r="X532" s="8">
        <f>Table1[[#This Row],[Control Panel Spun Time]]+Table1[[#This Row],[Control Panel Color Time]]</f>
        <v>0</v>
      </c>
      <c r="Y532" s="8">
        <f>Table1[[#This Row],[Control Panels Spun]]+Table1[[#This Row],[Control Panel Color]]</f>
        <v>0</v>
      </c>
      <c r="Z53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32" s="17">
        <f>(Table1[[#This Row],[Climbed]]*weighting!$B$18)+(Table1[[#This Row],[Adjustable Climber]]*weighting!$B$19)+(Table1[[#This Row],[Lift other Robot]]*weighting!$B$20)+(Table1[[#This Row],[Balanced]]*weighting!$B$21)</f>
        <v>0</v>
      </c>
      <c r="AL532" s="8">
        <f>+Table1[[#This Row],[Endgame our score]]+Table1[[#This Row],[teleop our score]]+Table1[[#This Row],[auton our score]]</f>
        <v>0</v>
      </c>
      <c r="AM532" s="20">
        <f t="shared" si="24"/>
        <v>0</v>
      </c>
      <c r="AN532" s="20">
        <f t="shared" si="25"/>
        <v>0</v>
      </c>
      <c r="AO532" s="20">
        <f t="shared" si="26"/>
        <v>0</v>
      </c>
      <c r="AP532" s="20">
        <f>Table1[[#This Row],[balls scored]]+Table1[[#This Row],[auton balls scored]]</f>
        <v>0</v>
      </c>
      <c r="AQ532" s="20">
        <f>Table1[[#This Row],[balls scored high]]+Table1[[#This Row],[Auton Scored High]]</f>
        <v>0</v>
      </c>
      <c r="AR532" s="20">
        <f>Table1[[#This Row],[balls scored low]]+Table1[[#This Row],[Auton Scored Low]]</f>
        <v>0</v>
      </c>
      <c r="AS532" s="50">
        <f>IF(Table1[[#This Row],[Control Panel Spun Time]]&gt;0,1,0)</f>
        <v>0</v>
      </c>
      <c r="AT532" s="20">
        <f>IF(Table1[[#This Row],[Control Panel Color Time]]&gt;0,1,0)</f>
        <v>0</v>
      </c>
    </row>
    <row r="533" spans="1:46" s="2" customFormat="1" x14ac:dyDescent="0.25">
      <c r="A533"/>
      <c r="B533"/>
      <c r="C533"/>
      <c r="D533"/>
      <c r="E533"/>
      <c r="F533"/>
      <c r="G533"/>
      <c r="H533"/>
      <c r="I533" s="8">
        <f>+Table1[[#This Row],[Auton ball picked up in our trench]]+Table1[[#This Row],[Auton Balls Picked Up in Mid]]+Table1[[#This Row],[Auton Balls Picked Up In Their Trench]]</f>
        <v>0</v>
      </c>
      <c r="J533" s="8">
        <f>+Table1[[#This Row],[Auton Scored High]]+Table1[[#This Row],[Auton Scored Low]]</f>
        <v>0</v>
      </c>
      <c r="K53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33"/>
      <c r="M533"/>
      <c r="N533"/>
      <c r="O533"/>
      <c r="P533"/>
      <c r="Q533"/>
      <c r="R533"/>
      <c r="S533"/>
      <c r="T533"/>
      <c r="U533"/>
      <c r="V533" s="8">
        <f>Table1[[#This Row],[Balls Scored From Trench]]+Table1[[#This Row],[Balls Scored from Mid]]+Table1[[#This Row],[Balls Scored From Alliance zone]]</f>
        <v>0</v>
      </c>
      <c r="W533" s="8">
        <f>Table1[[#This Row],[balls scored high]]+Table1[[#This Row],[balls scored low]]</f>
        <v>0</v>
      </c>
      <c r="X533" s="8">
        <f>Table1[[#This Row],[Control Panel Spun Time]]+Table1[[#This Row],[Control Panel Color Time]]</f>
        <v>0</v>
      </c>
      <c r="Y533" s="8">
        <f>Table1[[#This Row],[Control Panels Spun]]+Table1[[#This Row],[Control Panel Color]]</f>
        <v>0</v>
      </c>
      <c r="Z53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33"/>
      <c r="AB533"/>
      <c r="AC533"/>
      <c r="AD533"/>
      <c r="AE533"/>
      <c r="AF533"/>
      <c r="AG533"/>
      <c r="AH533"/>
      <c r="AI533"/>
      <c r="AJ533"/>
      <c r="AK533" s="17">
        <f>(Table1[[#This Row],[Climbed]]*weighting!$B$18)+(Table1[[#This Row],[Adjustable Climber]]*weighting!$B$19)+(Table1[[#This Row],[Lift other Robot]]*weighting!$B$20)+(Table1[[#This Row],[Balanced]]*weighting!$B$21)</f>
        <v>0</v>
      </c>
      <c r="AL533" s="8">
        <f>+Table1[[#This Row],[Endgame our score]]+Table1[[#This Row],[teleop our score]]+Table1[[#This Row],[auton our score]]</f>
        <v>0</v>
      </c>
      <c r="AM533" s="20">
        <f t="shared" si="24"/>
        <v>0</v>
      </c>
      <c r="AN533" s="20">
        <f t="shared" si="25"/>
        <v>0</v>
      </c>
      <c r="AO533" s="20">
        <f t="shared" si="26"/>
        <v>0</v>
      </c>
      <c r="AP533" s="20">
        <f>Table1[[#This Row],[balls scored]]+Table1[[#This Row],[auton balls scored]]</f>
        <v>0</v>
      </c>
      <c r="AQ533" s="20">
        <f>Table1[[#This Row],[balls scored high]]+Table1[[#This Row],[Auton Scored High]]</f>
        <v>0</v>
      </c>
      <c r="AR533" s="20">
        <f>Table1[[#This Row],[balls scored low]]+Table1[[#This Row],[Auton Scored Low]]</f>
        <v>0</v>
      </c>
      <c r="AS533" s="50">
        <f>IF(Table1[[#This Row],[Control Panel Spun Time]]&gt;0,1,0)</f>
        <v>0</v>
      </c>
      <c r="AT533" s="20">
        <f>IF(Table1[[#This Row],[Control Panel Color Time]]&gt;0,1,0)</f>
        <v>0</v>
      </c>
    </row>
    <row r="534" spans="1:46" x14ac:dyDescent="0.25">
      <c r="A534"/>
      <c r="I534" s="8">
        <f>+Table1[[#This Row],[Auton ball picked up in our trench]]+Table1[[#This Row],[Auton Balls Picked Up in Mid]]+Table1[[#This Row],[Auton Balls Picked Up In Their Trench]]</f>
        <v>0</v>
      </c>
      <c r="J534" s="8">
        <f>+Table1[[#This Row],[Auton Scored High]]+Table1[[#This Row],[Auton Scored Low]]</f>
        <v>0</v>
      </c>
      <c r="K53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34" s="8">
        <f>Table1[[#This Row],[Balls Scored From Trench]]+Table1[[#This Row],[Balls Scored from Mid]]+Table1[[#This Row],[Balls Scored From Alliance zone]]</f>
        <v>0</v>
      </c>
      <c r="W534" s="8">
        <f>Table1[[#This Row],[balls scored high]]+Table1[[#This Row],[balls scored low]]</f>
        <v>0</v>
      </c>
      <c r="X534" s="8">
        <f>Table1[[#This Row],[Control Panel Spun Time]]+Table1[[#This Row],[Control Panel Color Time]]</f>
        <v>0</v>
      </c>
      <c r="Y534" s="8">
        <f>Table1[[#This Row],[Control Panels Spun]]+Table1[[#This Row],[Control Panel Color]]</f>
        <v>0</v>
      </c>
      <c r="Z53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34" s="17">
        <f>(Table1[[#This Row],[Climbed]]*weighting!$B$18)+(Table1[[#This Row],[Adjustable Climber]]*weighting!$B$19)+(Table1[[#This Row],[Lift other Robot]]*weighting!$B$20)+(Table1[[#This Row],[Balanced]]*weighting!$B$21)</f>
        <v>0</v>
      </c>
      <c r="AL534" s="8">
        <f>+Table1[[#This Row],[Endgame our score]]+Table1[[#This Row],[teleop our score]]+Table1[[#This Row],[auton our score]]</f>
        <v>0</v>
      </c>
      <c r="AM534" s="20">
        <f t="shared" si="24"/>
        <v>0</v>
      </c>
      <c r="AN534" s="20">
        <f t="shared" si="25"/>
        <v>0</v>
      </c>
      <c r="AO534" s="20">
        <f t="shared" si="26"/>
        <v>0</v>
      </c>
      <c r="AP534" s="20">
        <f>Table1[[#This Row],[balls scored]]+Table1[[#This Row],[auton balls scored]]</f>
        <v>0</v>
      </c>
      <c r="AQ534" s="20">
        <f>Table1[[#This Row],[balls scored high]]+Table1[[#This Row],[Auton Scored High]]</f>
        <v>0</v>
      </c>
      <c r="AR534" s="20">
        <f>Table1[[#This Row],[balls scored low]]+Table1[[#This Row],[Auton Scored Low]]</f>
        <v>0</v>
      </c>
      <c r="AS534" s="50">
        <f>IF(Table1[[#This Row],[Control Panel Spun Time]]&gt;0,1,0)</f>
        <v>0</v>
      </c>
      <c r="AT534" s="20">
        <f>IF(Table1[[#This Row],[Control Panel Color Time]]&gt;0,1,0)</f>
        <v>0</v>
      </c>
    </row>
    <row r="535" spans="1:46" s="2" customFormat="1" x14ac:dyDescent="0.25">
      <c r="A535"/>
      <c r="B535"/>
      <c r="C535"/>
      <c r="D535"/>
      <c r="E535"/>
      <c r="F535"/>
      <c r="G535"/>
      <c r="H535"/>
      <c r="I535" s="8">
        <f>+Table1[[#This Row],[Auton ball picked up in our trench]]+Table1[[#This Row],[Auton Balls Picked Up in Mid]]+Table1[[#This Row],[Auton Balls Picked Up In Their Trench]]</f>
        <v>0</v>
      </c>
      <c r="J535" s="8">
        <f>+Table1[[#This Row],[Auton Scored High]]+Table1[[#This Row],[Auton Scored Low]]</f>
        <v>0</v>
      </c>
      <c r="K53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35"/>
      <c r="M535"/>
      <c r="N535"/>
      <c r="O535"/>
      <c r="P535"/>
      <c r="Q535"/>
      <c r="R535"/>
      <c r="S535"/>
      <c r="T535"/>
      <c r="U535"/>
      <c r="V535" s="8">
        <f>Table1[[#This Row],[Balls Scored From Trench]]+Table1[[#This Row],[Balls Scored from Mid]]+Table1[[#This Row],[Balls Scored From Alliance zone]]</f>
        <v>0</v>
      </c>
      <c r="W535" s="8">
        <f>Table1[[#This Row],[balls scored high]]+Table1[[#This Row],[balls scored low]]</f>
        <v>0</v>
      </c>
      <c r="X535" s="8">
        <f>Table1[[#This Row],[Control Panel Spun Time]]+Table1[[#This Row],[Control Panel Color Time]]</f>
        <v>0</v>
      </c>
      <c r="Y535" s="8">
        <f>Table1[[#This Row],[Control Panels Spun]]+Table1[[#This Row],[Control Panel Color]]</f>
        <v>0</v>
      </c>
      <c r="Z53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35"/>
      <c r="AB535"/>
      <c r="AC535"/>
      <c r="AD535"/>
      <c r="AE535"/>
      <c r="AF535"/>
      <c r="AG535"/>
      <c r="AH535"/>
      <c r="AI535"/>
      <c r="AJ535"/>
      <c r="AK535" s="17">
        <f>(Table1[[#This Row],[Climbed]]*weighting!$B$18)+(Table1[[#This Row],[Adjustable Climber]]*weighting!$B$19)+(Table1[[#This Row],[Lift other Robot]]*weighting!$B$20)+(Table1[[#This Row],[Balanced]]*weighting!$B$21)</f>
        <v>0</v>
      </c>
      <c r="AL535" s="8">
        <f>+Table1[[#This Row],[Endgame our score]]+Table1[[#This Row],[teleop our score]]+Table1[[#This Row],[auton our score]]</f>
        <v>0</v>
      </c>
      <c r="AM535" s="20">
        <f t="shared" si="24"/>
        <v>0</v>
      </c>
      <c r="AN535" s="20">
        <f t="shared" si="25"/>
        <v>0</v>
      </c>
      <c r="AO535" s="20">
        <f t="shared" si="26"/>
        <v>0</v>
      </c>
      <c r="AP535" s="20">
        <f>Table1[[#This Row],[balls scored]]+Table1[[#This Row],[auton balls scored]]</f>
        <v>0</v>
      </c>
      <c r="AQ535" s="20">
        <f>Table1[[#This Row],[balls scored high]]+Table1[[#This Row],[Auton Scored High]]</f>
        <v>0</v>
      </c>
      <c r="AR535" s="20">
        <f>Table1[[#This Row],[balls scored low]]+Table1[[#This Row],[Auton Scored Low]]</f>
        <v>0</v>
      </c>
      <c r="AS535" s="50">
        <f>IF(Table1[[#This Row],[Control Panel Spun Time]]&gt;0,1,0)</f>
        <v>0</v>
      </c>
      <c r="AT535" s="20">
        <f>IF(Table1[[#This Row],[Control Panel Color Time]]&gt;0,1,0)</f>
        <v>0</v>
      </c>
    </row>
    <row r="536" spans="1:46" x14ac:dyDescent="0.25">
      <c r="A536"/>
      <c r="I536" s="8">
        <f>+Table1[[#This Row],[Auton ball picked up in our trench]]+Table1[[#This Row],[Auton Balls Picked Up in Mid]]+Table1[[#This Row],[Auton Balls Picked Up In Their Trench]]</f>
        <v>0</v>
      </c>
      <c r="J536" s="8">
        <f>+Table1[[#This Row],[Auton Scored High]]+Table1[[#This Row],[Auton Scored Low]]</f>
        <v>0</v>
      </c>
      <c r="K53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36" s="8">
        <f>Table1[[#This Row],[Balls Scored From Trench]]+Table1[[#This Row],[Balls Scored from Mid]]+Table1[[#This Row],[Balls Scored From Alliance zone]]</f>
        <v>0</v>
      </c>
      <c r="W536" s="8">
        <f>Table1[[#This Row],[balls scored high]]+Table1[[#This Row],[balls scored low]]</f>
        <v>0</v>
      </c>
      <c r="X536" s="8">
        <f>Table1[[#This Row],[Control Panel Spun Time]]+Table1[[#This Row],[Control Panel Color Time]]</f>
        <v>0</v>
      </c>
      <c r="Y536" s="8">
        <f>Table1[[#This Row],[Control Panels Spun]]+Table1[[#This Row],[Control Panel Color]]</f>
        <v>0</v>
      </c>
      <c r="Z53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36" s="17">
        <f>(Table1[[#This Row],[Climbed]]*weighting!$B$18)+(Table1[[#This Row],[Adjustable Climber]]*weighting!$B$19)+(Table1[[#This Row],[Lift other Robot]]*weighting!$B$20)+(Table1[[#This Row],[Balanced]]*weighting!$B$21)</f>
        <v>0</v>
      </c>
      <c r="AL536" s="8">
        <f>+Table1[[#This Row],[Endgame our score]]+Table1[[#This Row],[teleop our score]]+Table1[[#This Row],[auton our score]]</f>
        <v>0</v>
      </c>
      <c r="AM536" s="20">
        <f t="shared" si="24"/>
        <v>0</v>
      </c>
      <c r="AN536" s="20">
        <f t="shared" si="25"/>
        <v>0</v>
      </c>
      <c r="AO536" s="20">
        <f t="shared" si="26"/>
        <v>0</v>
      </c>
      <c r="AP536" s="20">
        <f>Table1[[#This Row],[balls scored]]+Table1[[#This Row],[auton balls scored]]</f>
        <v>0</v>
      </c>
      <c r="AQ536" s="20">
        <f>Table1[[#This Row],[balls scored high]]+Table1[[#This Row],[Auton Scored High]]</f>
        <v>0</v>
      </c>
      <c r="AR536" s="20">
        <f>Table1[[#This Row],[balls scored low]]+Table1[[#This Row],[Auton Scored Low]]</f>
        <v>0</v>
      </c>
      <c r="AS536" s="50">
        <f>IF(Table1[[#This Row],[Control Panel Spun Time]]&gt;0,1,0)</f>
        <v>0</v>
      </c>
      <c r="AT536" s="20">
        <f>IF(Table1[[#This Row],[Control Panel Color Time]]&gt;0,1,0)</f>
        <v>0</v>
      </c>
    </row>
    <row r="537" spans="1:46" s="2" customFormat="1" x14ac:dyDescent="0.25">
      <c r="A537"/>
      <c r="B537"/>
      <c r="C537"/>
      <c r="D537"/>
      <c r="E537"/>
      <c r="F537"/>
      <c r="G537"/>
      <c r="H537"/>
      <c r="I537" s="8">
        <f>+Table1[[#This Row],[Auton ball picked up in our trench]]+Table1[[#This Row],[Auton Balls Picked Up in Mid]]+Table1[[#This Row],[Auton Balls Picked Up In Their Trench]]</f>
        <v>0</v>
      </c>
      <c r="J537" s="8">
        <f>+Table1[[#This Row],[Auton Scored High]]+Table1[[#This Row],[Auton Scored Low]]</f>
        <v>0</v>
      </c>
      <c r="K53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37"/>
      <c r="M537"/>
      <c r="N537"/>
      <c r="O537"/>
      <c r="P537"/>
      <c r="Q537"/>
      <c r="R537"/>
      <c r="S537"/>
      <c r="T537"/>
      <c r="U537"/>
      <c r="V537" s="8">
        <f>Table1[[#This Row],[Balls Scored From Trench]]+Table1[[#This Row],[Balls Scored from Mid]]+Table1[[#This Row],[Balls Scored From Alliance zone]]</f>
        <v>0</v>
      </c>
      <c r="W537" s="8">
        <f>Table1[[#This Row],[balls scored high]]+Table1[[#This Row],[balls scored low]]</f>
        <v>0</v>
      </c>
      <c r="X537" s="8">
        <f>Table1[[#This Row],[Control Panel Spun Time]]+Table1[[#This Row],[Control Panel Color Time]]</f>
        <v>0</v>
      </c>
      <c r="Y537" s="8">
        <f>Table1[[#This Row],[Control Panels Spun]]+Table1[[#This Row],[Control Panel Color]]</f>
        <v>0</v>
      </c>
      <c r="Z53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37"/>
      <c r="AB537"/>
      <c r="AC537"/>
      <c r="AD537"/>
      <c r="AE537"/>
      <c r="AF537"/>
      <c r="AG537"/>
      <c r="AH537"/>
      <c r="AI537"/>
      <c r="AJ537"/>
      <c r="AK537" s="17">
        <f>(Table1[[#This Row],[Climbed]]*weighting!$B$18)+(Table1[[#This Row],[Adjustable Climber]]*weighting!$B$19)+(Table1[[#This Row],[Lift other Robot]]*weighting!$B$20)+(Table1[[#This Row],[Balanced]]*weighting!$B$21)</f>
        <v>0</v>
      </c>
      <c r="AL537" s="8">
        <f>+Table1[[#This Row],[Endgame our score]]+Table1[[#This Row],[teleop our score]]+Table1[[#This Row],[auton our score]]</f>
        <v>0</v>
      </c>
      <c r="AM537" s="20">
        <f t="shared" si="24"/>
        <v>0</v>
      </c>
      <c r="AN537" s="20">
        <f t="shared" si="25"/>
        <v>0</v>
      </c>
      <c r="AO537" s="20">
        <f t="shared" si="26"/>
        <v>0</v>
      </c>
      <c r="AP537" s="20">
        <f>Table1[[#This Row],[balls scored]]+Table1[[#This Row],[auton balls scored]]</f>
        <v>0</v>
      </c>
      <c r="AQ537" s="20">
        <f>Table1[[#This Row],[balls scored high]]+Table1[[#This Row],[Auton Scored High]]</f>
        <v>0</v>
      </c>
      <c r="AR537" s="20">
        <f>Table1[[#This Row],[balls scored low]]+Table1[[#This Row],[Auton Scored Low]]</f>
        <v>0</v>
      </c>
      <c r="AS537" s="50">
        <f>IF(Table1[[#This Row],[Control Panel Spun Time]]&gt;0,1,0)</f>
        <v>0</v>
      </c>
      <c r="AT537" s="20">
        <f>IF(Table1[[#This Row],[Control Panel Color Time]]&gt;0,1,0)</f>
        <v>0</v>
      </c>
    </row>
    <row r="538" spans="1:46" x14ac:dyDescent="0.25">
      <c r="A538"/>
      <c r="I538" s="8">
        <f>+Table1[[#This Row],[Auton ball picked up in our trench]]+Table1[[#This Row],[Auton Balls Picked Up in Mid]]+Table1[[#This Row],[Auton Balls Picked Up In Their Trench]]</f>
        <v>0</v>
      </c>
      <c r="J538" s="8">
        <f>+Table1[[#This Row],[Auton Scored High]]+Table1[[#This Row],[Auton Scored Low]]</f>
        <v>0</v>
      </c>
      <c r="K53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38" s="8">
        <f>Table1[[#This Row],[Balls Scored From Trench]]+Table1[[#This Row],[Balls Scored from Mid]]+Table1[[#This Row],[Balls Scored From Alliance zone]]</f>
        <v>0</v>
      </c>
      <c r="W538" s="8">
        <f>Table1[[#This Row],[balls scored high]]+Table1[[#This Row],[balls scored low]]</f>
        <v>0</v>
      </c>
      <c r="X538" s="8">
        <f>Table1[[#This Row],[Control Panel Spun Time]]+Table1[[#This Row],[Control Panel Color Time]]</f>
        <v>0</v>
      </c>
      <c r="Y538" s="8">
        <f>Table1[[#This Row],[Control Panels Spun]]+Table1[[#This Row],[Control Panel Color]]</f>
        <v>0</v>
      </c>
      <c r="Z53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38" s="17">
        <f>(Table1[[#This Row],[Climbed]]*weighting!$B$18)+(Table1[[#This Row],[Adjustable Climber]]*weighting!$B$19)+(Table1[[#This Row],[Lift other Robot]]*weighting!$B$20)+(Table1[[#This Row],[Balanced]]*weighting!$B$21)</f>
        <v>0</v>
      </c>
      <c r="AL538" s="8">
        <f>+Table1[[#This Row],[Endgame our score]]+Table1[[#This Row],[teleop our score]]+Table1[[#This Row],[auton our score]]</f>
        <v>0</v>
      </c>
      <c r="AM538" s="20">
        <f t="shared" si="24"/>
        <v>0</v>
      </c>
      <c r="AN538" s="20">
        <f t="shared" si="25"/>
        <v>0</v>
      </c>
      <c r="AO538" s="20">
        <f t="shared" si="26"/>
        <v>0</v>
      </c>
      <c r="AP538" s="20">
        <f>Table1[[#This Row],[balls scored]]+Table1[[#This Row],[auton balls scored]]</f>
        <v>0</v>
      </c>
      <c r="AQ538" s="20">
        <f>Table1[[#This Row],[balls scored high]]+Table1[[#This Row],[Auton Scored High]]</f>
        <v>0</v>
      </c>
      <c r="AR538" s="20">
        <f>Table1[[#This Row],[balls scored low]]+Table1[[#This Row],[Auton Scored Low]]</f>
        <v>0</v>
      </c>
      <c r="AS538" s="50">
        <f>IF(Table1[[#This Row],[Control Panel Spun Time]]&gt;0,1,0)</f>
        <v>0</v>
      </c>
      <c r="AT538" s="20">
        <f>IF(Table1[[#This Row],[Control Panel Color Time]]&gt;0,1,0)</f>
        <v>0</v>
      </c>
    </row>
    <row r="539" spans="1:46" s="2" customFormat="1" x14ac:dyDescent="0.25">
      <c r="A539"/>
      <c r="B539"/>
      <c r="C539"/>
      <c r="D539"/>
      <c r="E539"/>
      <c r="F539"/>
      <c r="G539"/>
      <c r="H539"/>
      <c r="I539" s="8">
        <f>+Table1[[#This Row],[Auton ball picked up in our trench]]+Table1[[#This Row],[Auton Balls Picked Up in Mid]]+Table1[[#This Row],[Auton Balls Picked Up In Their Trench]]</f>
        <v>0</v>
      </c>
      <c r="J539" s="8">
        <f>+Table1[[#This Row],[Auton Scored High]]+Table1[[#This Row],[Auton Scored Low]]</f>
        <v>0</v>
      </c>
      <c r="K53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39"/>
      <c r="M539"/>
      <c r="N539"/>
      <c r="O539"/>
      <c r="P539"/>
      <c r="Q539"/>
      <c r="R539"/>
      <c r="S539"/>
      <c r="T539"/>
      <c r="U539"/>
      <c r="V539" s="8">
        <f>Table1[[#This Row],[Balls Scored From Trench]]+Table1[[#This Row],[Balls Scored from Mid]]+Table1[[#This Row],[Balls Scored From Alliance zone]]</f>
        <v>0</v>
      </c>
      <c r="W539" s="8">
        <f>Table1[[#This Row],[balls scored high]]+Table1[[#This Row],[balls scored low]]</f>
        <v>0</v>
      </c>
      <c r="X539" s="8">
        <f>Table1[[#This Row],[Control Panel Spun Time]]+Table1[[#This Row],[Control Panel Color Time]]</f>
        <v>0</v>
      </c>
      <c r="Y539" s="8">
        <f>Table1[[#This Row],[Control Panels Spun]]+Table1[[#This Row],[Control Panel Color]]</f>
        <v>0</v>
      </c>
      <c r="Z53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39"/>
      <c r="AB539"/>
      <c r="AC539"/>
      <c r="AD539"/>
      <c r="AE539"/>
      <c r="AF539"/>
      <c r="AG539"/>
      <c r="AH539"/>
      <c r="AI539"/>
      <c r="AJ539"/>
      <c r="AK539" s="17">
        <f>(Table1[[#This Row],[Climbed]]*weighting!$B$18)+(Table1[[#This Row],[Adjustable Climber]]*weighting!$B$19)+(Table1[[#This Row],[Lift other Robot]]*weighting!$B$20)+(Table1[[#This Row],[Balanced]]*weighting!$B$21)</f>
        <v>0</v>
      </c>
      <c r="AL539" s="8">
        <f>+Table1[[#This Row],[Endgame our score]]+Table1[[#This Row],[teleop our score]]+Table1[[#This Row],[auton our score]]</f>
        <v>0</v>
      </c>
      <c r="AM539" s="20">
        <f t="shared" si="24"/>
        <v>0</v>
      </c>
      <c r="AN539" s="20">
        <f t="shared" si="25"/>
        <v>0</v>
      </c>
      <c r="AO539" s="20">
        <f t="shared" si="26"/>
        <v>0</v>
      </c>
      <c r="AP539" s="20">
        <f>Table1[[#This Row],[balls scored]]+Table1[[#This Row],[auton balls scored]]</f>
        <v>0</v>
      </c>
      <c r="AQ539" s="20">
        <f>Table1[[#This Row],[balls scored high]]+Table1[[#This Row],[Auton Scored High]]</f>
        <v>0</v>
      </c>
      <c r="AR539" s="20">
        <f>Table1[[#This Row],[balls scored low]]+Table1[[#This Row],[Auton Scored Low]]</f>
        <v>0</v>
      </c>
      <c r="AS539" s="50">
        <f>IF(Table1[[#This Row],[Control Panel Spun Time]]&gt;0,1,0)</f>
        <v>0</v>
      </c>
      <c r="AT539" s="20">
        <f>IF(Table1[[#This Row],[Control Panel Color Time]]&gt;0,1,0)</f>
        <v>0</v>
      </c>
    </row>
    <row r="540" spans="1:46" x14ac:dyDescent="0.25">
      <c r="A540"/>
      <c r="I540" s="8">
        <f>+Table1[[#This Row],[Auton ball picked up in our trench]]+Table1[[#This Row],[Auton Balls Picked Up in Mid]]+Table1[[#This Row],[Auton Balls Picked Up In Their Trench]]</f>
        <v>0</v>
      </c>
      <c r="J540" s="8">
        <f>+Table1[[#This Row],[Auton Scored High]]+Table1[[#This Row],[Auton Scored Low]]</f>
        <v>0</v>
      </c>
      <c r="K54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40" s="8">
        <f>Table1[[#This Row],[Balls Scored From Trench]]+Table1[[#This Row],[Balls Scored from Mid]]+Table1[[#This Row],[Balls Scored From Alliance zone]]</f>
        <v>0</v>
      </c>
      <c r="W540" s="8">
        <f>Table1[[#This Row],[balls scored high]]+Table1[[#This Row],[balls scored low]]</f>
        <v>0</v>
      </c>
      <c r="X540" s="8">
        <f>Table1[[#This Row],[Control Panel Spun Time]]+Table1[[#This Row],[Control Panel Color Time]]</f>
        <v>0</v>
      </c>
      <c r="Y540" s="8">
        <f>Table1[[#This Row],[Control Panels Spun]]+Table1[[#This Row],[Control Panel Color]]</f>
        <v>0</v>
      </c>
      <c r="Z54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40" s="17">
        <f>(Table1[[#This Row],[Climbed]]*weighting!$B$18)+(Table1[[#This Row],[Adjustable Climber]]*weighting!$B$19)+(Table1[[#This Row],[Lift other Robot]]*weighting!$B$20)+(Table1[[#This Row],[Balanced]]*weighting!$B$21)</f>
        <v>0</v>
      </c>
      <c r="AL540" s="8">
        <f>+Table1[[#This Row],[Endgame our score]]+Table1[[#This Row],[teleop our score]]+Table1[[#This Row],[auton our score]]</f>
        <v>0</v>
      </c>
      <c r="AM540" s="20">
        <f t="shared" si="24"/>
        <v>0</v>
      </c>
      <c r="AN540" s="20">
        <f t="shared" si="25"/>
        <v>0</v>
      </c>
      <c r="AO540" s="20">
        <f t="shared" si="26"/>
        <v>0</v>
      </c>
      <c r="AP540" s="20">
        <f>Table1[[#This Row],[balls scored]]+Table1[[#This Row],[auton balls scored]]</f>
        <v>0</v>
      </c>
      <c r="AQ540" s="20">
        <f>Table1[[#This Row],[balls scored high]]+Table1[[#This Row],[Auton Scored High]]</f>
        <v>0</v>
      </c>
      <c r="AR540" s="20">
        <f>Table1[[#This Row],[balls scored low]]+Table1[[#This Row],[Auton Scored Low]]</f>
        <v>0</v>
      </c>
      <c r="AS540" s="50">
        <f>IF(Table1[[#This Row],[Control Panel Spun Time]]&gt;0,1,0)</f>
        <v>0</v>
      </c>
      <c r="AT540" s="20">
        <f>IF(Table1[[#This Row],[Control Panel Color Time]]&gt;0,1,0)</f>
        <v>0</v>
      </c>
    </row>
    <row r="541" spans="1:46" s="2" customFormat="1" x14ac:dyDescent="0.25">
      <c r="A541"/>
      <c r="B541"/>
      <c r="C541"/>
      <c r="D541"/>
      <c r="E541"/>
      <c r="F541"/>
      <c r="G541"/>
      <c r="H541"/>
      <c r="I541" s="8">
        <f>+Table1[[#This Row],[Auton ball picked up in our trench]]+Table1[[#This Row],[Auton Balls Picked Up in Mid]]+Table1[[#This Row],[Auton Balls Picked Up In Their Trench]]</f>
        <v>0</v>
      </c>
      <c r="J541" s="8">
        <f>+Table1[[#This Row],[Auton Scored High]]+Table1[[#This Row],[Auton Scored Low]]</f>
        <v>0</v>
      </c>
      <c r="K54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41"/>
      <c r="M541"/>
      <c r="N541"/>
      <c r="O541"/>
      <c r="P541"/>
      <c r="Q541"/>
      <c r="R541"/>
      <c r="S541"/>
      <c r="T541"/>
      <c r="U541"/>
      <c r="V541" s="8">
        <f>Table1[[#This Row],[Balls Scored From Trench]]+Table1[[#This Row],[Balls Scored from Mid]]+Table1[[#This Row],[Balls Scored From Alliance zone]]</f>
        <v>0</v>
      </c>
      <c r="W541" s="8">
        <f>Table1[[#This Row],[balls scored high]]+Table1[[#This Row],[balls scored low]]</f>
        <v>0</v>
      </c>
      <c r="X541" s="8">
        <f>Table1[[#This Row],[Control Panel Spun Time]]+Table1[[#This Row],[Control Panel Color Time]]</f>
        <v>0</v>
      </c>
      <c r="Y541" s="8">
        <f>Table1[[#This Row],[Control Panels Spun]]+Table1[[#This Row],[Control Panel Color]]</f>
        <v>0</v>
      </c>
      <c r="Z54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41"/>
      <c r="AB541"/>
      <c r="AC541"/>
      <c r="AD541"/>
      <c r="AE541"/>
      <c r="AF541"/>
      <c r="AG541"/>
      <c r="AH541"/>
      <c r="AI541"/>
      <c r="AJ541"/>
      <c r="AK541" s="17">
        <f>(Table1[[#This Row],[Climbed]]*weighting!$B$18)+(Table1[[#This Row],[Adjustable Climber]]*weighting!$B$19)+(Table1[[#This Row],[Lift other Robot]]*weighting!$B$20)+(Table1[[#This Row],[Balanced]]*weighting!$B$21)</f>
        <v>0</v>
      </c>
      <c r="AL541" s="8">
        <f>+Table1[[#This Row],[Endgame our score]]+Table1[[#This Row],[teleop our score]]+Table1[[#This Row],[auton our score]]</f>
        <v>0</v>
      </c>
      <c r="AM541" s="20">
        <f t="shared" si="24"/>
        <v>0</v>
      </c>
      <c r="AN541" s="20">
        <f t="shared" si="25"/>
        <v>0</v>
      </c>
      <c r="AO541" s="20">
        <f t="shared" si="26"/>
        <v>0</v>
      </c>
      <c r="AP541" s="20">
        <f>Table1[[#This Row],[balls scored]]+Table1[[#This Row],[auton balls scored]]</f>
        <v>0</v>
      </c>
      <c r="AQ541" s="20">
        <f>Table1[[#This Row],[balls scored high]]+Table1[[#This Row],[Auton Scored High]]</f>
        <v>0</v>
      </c>
      <c r="AR541" s="20">
        <f>Table1[[#This Row],[balls scored low]]+Table1[[#This Row],[Auton Scored Low]]</f>
        <v>0</v>
      </c>
      <c r="AS541" s="50">
        <f>IF(Table1[[#This Row],[Control Panel Spun Time]]&gt;0,1,0)</f>
        <v>0</v>
      </c>
      <c r="AT541" s="20">
        <f>IF(Table1[[#This Row],[Control Panel Color Time]]&gt;0,1,0)</f>
        <v>0</v>
      </c>
    </row>
    <row r="542" spans="1:46" x14ac:dyDescent="0.25">
      <c r="A542"/>
      <c r="I542" s="8">
        <f>+Table1[[#This Row],[Auton ball picked up in our trench]]+Table1[[#This Row],[Auton Balls Picked Up in Mid]]+Table1[[#This Row],[Auton Balls Picked Up In Their Trench]]</f>
        <v>0</v>
      </c>
      <c r="J542" s="8">
        <f>+Table1[[#This Row],[Auton Scored High]]+Table1[[#This Row],[Auton Scored Low]]</f>
        <v>0</v>
      </c>
      <c r="K54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42" s="8">
        <f>Table1[[#This Row],[Balls Scored From Trench]]+Table1[[#This Row],[Balls Scored from Mid]]+Table1[[#This Row],[Balls Scored From Alliance zone]]</f>
        <v>0</v>
      </c>
      <c r="W542" s="8">
        <f>Table1[[#This Row],[balls scored high]]+Table1[[#This Row],[balls scored low]]</f>
        <v>0</v>
      </c>
      <c r="X542" s="8">
        <f>Table1[[#This Row],[Control Panel Spun Time]]+Table1[[#This Row],[Control Panel Color Time]]</f>
        <v>0</v>
      </c>
      <c r="Y542" s="8">
        <f>Table1[[#This Row],[Control Panels Spun]]+Table1[[#This Row],[Control Panel Color]]</f>
        <v>0</v>
      </c>
      <c r="Z54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42" s="17">
        <f>(Table1[[#This Row],[Climbed]]*weighting!$B$18)+(Table1[[#This Row],[Adjustable Climber]]*weighting!$B$19)+(Table1[[#This Row],[Lift other Robot]]*weighting!$B$20)+(Table1[[#This Row],[Balanced]]*weighting!$B$21)</f>
        <v>0</v>
      </c>
      <c r="AL542" s="8">
        <f>+Table1[[#This Row],[Endgame our score]]+Table1[[#This Row],[teleop our score]]+Table1[[#This Row],[auton our score]]</f>
        <v>0</v>
      </c>
      <c r="AM542" s="20">
        <f t="shared" si="24"/>
        <v>0</v>
      </c>
      <c r="AN542" s="20">
        <f t="shared" si="25"/>
        <v>0</v>
      </c>
      <c r="AO542" s="20">
        <f t="shared" si="26"/>
        <v>0</v>
      </c>
      <c r="AP542" s="20">
        <f>Table1[[#This Row],[balls scored]]+Table1[[#This Row],[auton balls scored]]</f>
        <v>0</v>
      </c>
      <c r="AQ542" s="20">
        <f>Table1[[#This Row],[balls scored high]]+Table1[[#This Row],[Auton Scored High]]</f>
        <v>0</v>
      </c>
      <c r="AR542" s="20">
        <f>Table1[[#This Row],[balls scored low]]+Table1[[#This Row],[Auton Scored Low]]</f>
        <v>0</v>
      </c>
      <c r="AS542" s="50">
        <f>IF(Table1[[#This Row],[Control Panel Spun Time]]&gt;0,1,0)</f>
        <v>0</v>
      </c>
      <c r="AT542" s="20">
        <f>IF(Table1[[#This Row],[Control Panel Color Time]]&gt;0,1,0)</f>
        <v>0</v>
      </c>
    </row>
    <row r="543" spans="1:46" s="2" customFormat="1" x14ac:dyDescent="0.25">
      <c r="A543"/>
      <c r="B543"/>
      <c r="C543"/>
      <c r="D543"/>
      <c r="E543"/>
      <c r="F543"/>
      <c r="G543"/>
      <c r="H543"/>
      <c r="I543" s="8">
        <f>+Table1[[#This Row],[Auton ball picked up in our trench]]+Table1[[#This Row],[Auton Balls Picked Up in Mid]]+Table1[[#This Row],[Auton Balls Picked Up In Their Trench]]</f>
        <v>0</v>
      </c>
      <c r="J543" s="8">
        <f>+Table1[[#This Row],[Auton Scored High]]+Table1[[#This Row],[Auton Scored Low]]</f>
        <v>0</v>
      </c>
      <c r="K54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43"/>
      <c r="M543"/>
      <c r="N543"/>
      <c r="O543"/>
      <c r="P543"/>
      <c r="Q543"/>
      <c r="R543"/>
      <c r="S543"/>
      <c r="T543"/>
      <c r="U543"/>
      <c r="V543" s="8">
        <f>Table1[[#This Row],[Balls Scored From Trench]]+Table1[[#This Row],[Balls Scored from Mid]]+Table1[[#This Row],[Balls Scored From Alliance zone]]</f>
        <v>0</v>
      </c>
      <c r="W543" s="8">
        <f>Table1[[#This Row],[balls scored high]]+Table1[[#This Row],[balls scored low]]</f>
        <v>0</v>
      </c>
      <c r="X543" s="8">
        <f>Table1[[#This Row],[Control Panel Spun Time]]+Table1[[#This Row],[Control Panel Color Time]]</f>
        <v>0</v>
      </c>
      <c r="Y543" s="8">
        <f>Table1[[#This Row],[Control Panels Spun]]+Table1[[#This Row],[Control Panel Color]]</f>
        <v>0</v>
      </c>
      <c r="Z54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43"/>
      <c r="AB543"/>
      <c r="AC543"/>
      <c r="AD543"/>
      <c r="AE543"/>
      <c r="AF543"/>
      <c r="AG543"/>
      <c r="AH543"/>
      <c r="AI543"/>
      <c r="AJ543"/>
      <c r="AK543" s="17">
        <f>(Table1[[#This Row],[Climbed]]*weighting!$B$18)+(Table1[[#This Row],[Adjustable Climber]]*weighting!$B$19)+(Table1[[#This Row],[Lift other Robot]]*weighting!$B$20)+(Table1[[#This Row],[Balanced]]*weighting!$B$21)</f>
        <v>0</v>
      </c>
      <c r="AL543" s="8">
        <f>+Table1[[#This Row],[Endgame our score]]+Table1[[#This Row],[teleop our score]]+Table1[[#This Row],[auton our score]]</f>
        <v>0</v>
      </c>
      <c r="AM543" s="20">
        <f t="shared" si="24"/>
        <v>0</v>
      </c>
      <c r="AN543" s="20">
        <f t="shared" si="25"/>
        <v>0</v>
      </c>
      <c r="AO543" s="20">
        <f t="shared" si="26"/>
        <v>0</v>
      </c>
      <c r="AP543" s="20">
        <f>Table1[[#This Row],[balls scored]]+Table1[[#This Row],[auton balls scored]]</f>
        <v>0</v>
      </c>
      <c r="AQ543" s="20">
        <f>Table1[[#This Row],[balls scored high]]+Table1[[#This Row],[Auton Scored High]]</f>
        <v>0</v>
      </c>
      <c r="AR543" s="20">
        <f>Table1[[#This Row],[balls scored low]]+Table1[[#This Row],[Auton Scored Low]]</f>
        <v>0</v>
      </c>
      <c r="AS543" s="50">
        <f>IF(Table1[[#This Row],[Control Panel Spun Time]]&gt;0,1,0)</f>
        <v>0</v>
      </c>
      <c r="AT543" s="20">
        <f>IF(Table1[[#This Row],[Control Panel Color Time]]&gt;0,1,0)</f>
        <v>0</v>
      </c>
    </row>
    <row r="544" spans="1:46" x14ac:dyDescent="0.25">
      <c r="A544"/>
      <c r="I544" s="8">
        <f>+Table1[[#This Row],[Auton ball picked up in our trench]]+Table1[[#This Row],[Auton Balls Picked Up in Mid]]+Table1[[#This Row],[Auton Balls Picked Up In Their Trench]]</f>
        <v>0</v>
      </c>
      <c r="J544" s="8">
        <f>+Table1[[#This Row],[Auton Scored High]]+Table1[[#This Row],[Auton Scored Low]]</f>
        <v>0</v>
      </c>
      <c r="K54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44" s="8">
        <f>Table1[[#This Row],[Balls Scored From Trench]]+Table1[[#This Row],[Balls Scored from Mid]]+Table1[[#This Row],[Balls Scored From Alliance zone]]</f>
        <v>0</v>
      </c>
      <c r="W544" s="8">
        <f>Table1[[#This Row],[balls scored high]]+Table1[[#This Row],[balls scored low]]</f>
        <v>0</v>
      </c>
      <c r="X544" s="8">
        <f>Table1[[#This Row],[Control Panel Spun Time]]+Table1[[#This Row],[Control Panel Color Time]]</f>
        <v>0</v>
      </c>
      <c r="Y544" s="8">
        <f>Table1[[#This Row],[Control Panels Spun]]+Table1[[#This Row],[Control Panel Color]]</f>
        <v>0</v>
      </c>
      <c r="Z54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44" s="17">
        <f>(Table1[[#This Row],[Climbed]]*weighting!$B$18)+(Table1[[#This Row],[Adjustable Climber]]*weighting!$B$19)+(Table1[[#This Row],[Lift other Robot]]*weighting!$B$20)+(Table1[[#This Row],[Balanced]]*weighting!$B$21)</f>
        <v>0</v>
      </c>
      <c r="AL544" s="8">
        <f>+Table1[[#This Row],[Endgame our score]]+Table1[[#This Row],[teleop our score]]+Table1[[#This Row],[auton our score]]</f>
        <v>0</v>
      </c>
      <c r="AM544" s="20">
        <f t="shared" si="24"/>
        <v>0</v>
      </c>
      <c r="AN544" s="20">
        <f t="shared" si="25"/>
        <v>0</v>
      </c>
      <c r="AO544" s="20">
        <f t="shared" si="26"/>
        <v>0</v>
      </c>
      <c r="AP544" s="20">
        <f>Table1[[#This Row],[balls scored]]+Table1[[#This Row],[auton balls scored]]</f>
        <v>0</v>
      </c>
      <c r="AQ544" s="20">
        <f>Table1[[#This Row],[balls scored high]]+Table1[[#This Row],[Auton Scored High]]</f>
        <v>0</v>
      </c>
      <c r="AR544" s="20">
        <f>Table1[[#This Row],[balls scored low]]+Table1[[#This Row],[Auton Scored Low]]</f>
        <v>0</v>
      </c>
      <c r="AS544" s="50">
        <f>IF(Table1[[#This Row],[Control Panel Spun Time]]&gt;0,1,0)</f>
        <v>0</v>
      </c>
      <c r="AT544" s="20">
        <f>IF(Table1[[#This Row],[Control Panel Color Time]]&gt;0,1,0)</f>
        <v>0</v>
      </c>
    </row>
    <row r="545" spans="1:46" s="2" customFormat="1" x14ac:dyDescent="0.25">
      <c r="A545"/>
      <c r="B545"/>
      <c r="C545"/>
      <c r="D545"/>
      <c r="E545"/>
      <c r="F545"/>
      <c r="G545"/>
      <c r="H545"/>
      <c r="I545" s="8">
        <f>+Table1[[#This Row],[Auton ball picked up in our trench]]+Table1[[#This Row],[Auton Balls Picked Up in Mid]]+Table1[[#This Row],[Auton Balls Picked Up In Their Trench]]</f>
        <v>0</v>
      </c>
      <c r="J545" s="8">
        <f>+Table1[[#This Row],[Auton Scored High]]+Table1[[#This Row],[Auton Scored Low]]</f>
        <v>0</v>
      </c>
      <c r="K54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45"/>
      <c r="M545"/>
      <c r="N545"/>
      <c r="O545"/>
      <c r="P545"/>
      <c r="Q545"/>
      <c r="R545"/>
      <c r="S545"/>
      <c r="T545"/>
      <c r="U545"/>
      <c r="V545" s="8">
        <f>Table1[[#This Row],[Balls Scored From Trench]]+Table1[[#This Row],[Balls Scored from Mid]]+Table1[[#This Row],[Balls Scored From Alliance zone]]</f>
        <v>0</v>
      </c>
      <c r="W545" s="8">
        <f>Table1[[#This Row],[balls scored high]]+Table1[[#This Row],[balls scored low]]</f>
        <v>0</v>
      </c>
      <c r="X545" s="8">
        <f>Table1[[#This Row],[Control Panel Spun Time]]+Table1[[#This Row],[Control Panel Color Time]]</f>
        <v>0</v>
      </c>
      <c r="Y545" s="8">
        <f>Table1[[#This Row],[Control Panels Spun]]+Table1[[#This Row],[Control Panel Color]]</f>
        <v>0</v>
      </c>
      <c r="Z54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45"/>
      <c r="AB545"/>
      <c r="AC545"/>
      <c r="AD545"/>
      <c r="AE545"/>
      <c r="AF545"/>
      <c r="AG545"/>
      <c r="AH545"/>
      <c r="AI545"/>
      <c r="AJ545"/>
      <c r="AK545" s="17">
        <f>(Table1[[#This Row],[Climbed]]*weighting!$B$18)+(Table1[[#This Row],[Adjustable Climber]]*weighting!$B$19)+(Table1[[#This Row],[Lift other Robot]]*weighting!$B$20)+(Table1[[#This Row],[Balanced]]*weighting!$B$21)</f>
        <v>0</v>
      </c>
      <c r="AL545" s="8">
        <f>+Table1[[#This Row],[Endgame our score]]+Table1[[#This Row],[teleop our score]]+Table1[[#This Row],[auton our score]]</f>
        <v>0</v>
      </c>
      <c r="AM545" s="20">
        <f t="shared" si="24"/>
        <v>0</v>
      </c>
      <c r="AN545" s="20">
        <f t="shared" si="25"/>
        <v>0</v>
      </c>
      <c r="AO545" s="20">
        <f t="shared" si="26"/>
        <v>0</v>
      </c>
      <c r="AP545" s="20">
        <f>Table1[[#This Row],[balls scored]]+Table1[[#This Row],[auton balls scored]]</f>
        <v>0</v>
      </c>
      <c r="AQ545" s="20">
        <f>Table1[[#This Row],[balls scored high]]+Table1[[#This Row],[Auton Scored High]]</f>
        <v>0</v>
      </c>
      <c r="AR545" s="20">
        <f>Table1[[#This Row],[balls scored low]]+Table1[[#This Row],[Auton Scored Low]]</f>
        <v>0</v>
      </c>
      <c r="AS545" s="50">
        <f>IF(Table1[[#This Row],[Control Panel Spun Time]]&gt;0,1,0)</f>
        <v>0</v>
      </c>
      <c r="AT545" s="20">
        <f>IF(Table1[[#This Row],[Control Panel Color Time]]&gt;0,1,0)</f>
        <v>0</v>
      </c>
    </row>
    <row r="546" spans="1:46" x14ac:dyDescent="0.25">
      <c r="A546"/>
      <c r="I546" s="8">
        <f>+Table1[[#This Row],[Auton ball picked up in our trench]]+Table1[[#This Row],[Auton Balls Picked Up in Mid]]+Table1[[#This Row],[Auton Balls Picked Up In Their Trench]]</f>
        <v>0</v>
      </c>
      <c r="J546" s="8">
        <f>+Table1[[#This Row],[Auton Scored High]]+Table1[[#This Row],[Auton Scored Low]]</f>
        <v>0</v>
      </c>
      <c r="K54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46" s="8">
        <f>Table1[[#This Row],[Balls Scored From Trench]]+Table1[[#This Row],[Balls Scored from Mid]]+Table1[[#This Row],[Balls Scored From Alliance zone]]</f>
        <v>0</v>
      </c>
      <c r="W546" s="8">
        <f>Table1[[#This Row],[balls scored high]]+Table1[[#This Row],[balls scored low]]</f>
        <v>0</v>
      </c>
      <c r="X546" s="8">
        <f>Table1[[#This Row],[Control Panel Spun Time]]+Table1[[#This Row],[Control Panel Color Time]]</f>
        <v>0</v>
      </c>
      <c r="Y546" s="8">
        <f>Table1[[#This Row],[Control Panels Spun]]+Table1[[#This Row],[Control Panel Color]]</f>
        <v>0</v>
      </c>
      <c r="Z54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46" s="17">
        <f>(Table1[[#This Row],[Climbed]]*weighting!$B$18)+(Table1[[#This Row],[Adjustable Climber]]*weighting!$B$19)+(Table1[[#This Row],[Lift other Robot]]*weighting!$B$20)+(Table1[[#This Row],[Balanced]]*weighting!$B$21)</f>
        <v>0</v>
      </c>
      <c r="AL546" s="8">
        <f>+Table1[[#This Row],[Endgame our score]]+Table1[[#This Row],[teleop our score]]+Table1[[#This Row],[auton our score]]</f>
        <v>0</v>
      </c>
      <c r="AM546" s="20">
        <f t="shared" si="24"/>
        <v>0</v>
      </c>
      <c r="AN546" s="20">
        <f t="shared" si="25"/>
        <v>0</v>
      </c>
      <c r="AO546" s="20">
        <f t="shared" si="26"/>
        <v>0</v>
      </c>
      <c r="AP546" s="20">
        <f>Table1[[#This Row],[balls scored]]+Table1[[#This Row],[auton balls scored]]</f>
        <v>0</v>
      </c>
      <c r="AQ546" s="20">
        <f>Table1[[#This Row],[balls scored high]]+Table1[[#This Row],[Auton Scored High]]</f>
        <v>0</v>
      </c>
      <c r="AR546" s="20">
        <f>Table1[[#This Row],[balls scored low]]+Table1[[#This Row],[Auton Scored Low]]</f>
        <v>0</v>
      </c>
      <c r="AS546" s="50">
        <f>IF(Table1[[#This Row],[Control Panel Spun Time]]&gt;0,1,0)</f>
        <v>0</v>
      </c>
      <c r="AT546" s="20">
        <f>IF(Table1[[#This Row],[Control Panel Color Time]]&gt;0,1,0)</f>
        <v>0</v>
      </c>
    </row>
    <row r="547" spans="1:46" s="2" customFormat="1" x14ac:dyDescent="0.25">
      <c r="A547"/>
      <c r="B547"/>
      <c r="C547"/>
      <c r="D547"/>
      <c r="E547"/>
      <c r="F547"/>
      <c r="G547"/>
      <c r="H547"/>
      <c r="I547" s="8">
        <f>+Table1[[#This Row],[Auton ball picked up in our trench]]+Table1[[#This Row],[Auton Balls Picked Up in Mid]]+Table1[[#This Row],[Auton Balls Picked Up In Their Trench]]</f>
        <v>0</v>
      </c>
      <c r="J547" s="8">
        <f>+Table1[[#This Row],[Auton Scored High]]+Table1[[#This Row],[Auton Scored Low]]</f>
        <v>0</v>
      </c>
      <c r="K54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47"/>
      <c r="M547"/>
      <c r="N547"/>
      <c r="O547"/>
      <c r="P547"/>
      <c r="Q547"/>
      <c r="R547"/>
      <c r="S547"/>
      <c r="T547"/>
      <c r="U547"/>
      <c r="V547" s="8">
        <f>Table1[[#This Row],[Balls Scored From Trench]]+Table1[[#This Row],[Balls Scored from Mid]]+Table1[[#This Row],[Balls Scored From Alliance zone]]</f>
        <v>0</v>
      </c>
      <c r="W547" s="8">
        <f>Table1[[#This Row],[balls scored high]]+Table1[[#This Row],[balls scored low]]</f>
        <v>0</v>
      </c>
      <c r="X547" s="8">
        <f>Table1[[#This Row],[Control Panel Spun Time]]+Table1[[#This Row],[Control Panel Color Time]]</f>
        <v>0</v>
      </c>
      <c r="Y547" s="8">
        <f>Table1[[#This Row],[Control Panels Spun]]+Table1[[#This Row],[Control Panel Color]]</f>
        <v>0</v>
      </c>
      <c r="Z54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47"/>
      <c r="AB547"/>
      <c r="AC547"/>
      <c r="AD547"/>
      <c r="AE547"/>
      <c r="AF547"/>
      <c r="AG547"/>
      <c r="AH547"/>
      <c r="AI547"/>
      <c r="AJ547"/>
      <c r="AK547" s="17">
        <f>(Table1[[#This Row],[Climbed]]*weighting!$B$18)+(Table1[[#This Row],[Adjustable Climber]]*weighting!$B$19)+(Table1[[#This Row],[Lift other Robot]]*weighting!$B$20)+(Table1[[#This Row],[Balanced]]*weighting!$B$21)</f>
        <v>0</v>
      </c>
      <c r="AL547" s="8">
        <f>+Table1[[#This Row],[Endgame our score]]+Table1[[#This Row],[teleop our score]]+Table1[[#This Row],[auton our score]]</f>
        <v>0</v>
      </c>
      <c r="AM547" s="20">
        <f t="shared" si="24"/>
        <v>0</v>
      </c>
      <c r="AN547" s="20">
        <f t="shared" si="25"/>
        <v>0</v>
      </c>
      <c r="AO547" s="20">
        <f t="shared" si="26"/>
        <v>0</v>
      </c>
      <c r="AP547" s="20">
        <f>Table1[[#This Row],[balls scored]]+Table1[[#This Row],[auton balls scored]]</f>
        <v>0</v>
      </c>
      <c r="AQ547" s="20">
        <f>Table1[[#This Row],[balls scored high]]+Table1[[#This Row],[Auton Scored High]]</f>
        <v>0</v>
      </c>
      <c r="AR547" s="20">
        <f>Table1[[#This Row],[balls scored low]]+Table1[[#This Row],[Auton Scored Low]]</f>
        <v>0</v>
      </c>
      <c r="AS547" s="50">
        <f>IF(Table1[[#This Row],[Control Panel Spun Time]]&gt;0,1,0)</f>
        <v>0</v>
      </c>
      <c r="AT547" s="20">
        <f>IF(Table1[[#This Row],[Control Panel Color Time]]&gt;0,1,0)</f>
        <v>0</v>
      </c>
    </row>
    <row r="548" spans="1:46" x14ac:dyDescent="0.25">
      <c r="A548"/>
      <c r="I548" s="8">
        <f>+Table1[[#This Row],[Auton ball picked up in our trench]]+Table1[[#This Row],[Auton Balls Picked Up in Mid]]+Table1[[#This Row],[Auton Balls Picked Up In Their Trench]]</f>
        <v>0</v>
      </c>
      <c r="J548" s="8">
        <f>+Table1[[#This Row],[Auton Scored High]]+Table1[[#This Row],[Auton Scored Low]]</f>
        <v>0</v>
      </c>
      <c r="K54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48" s="8">
        <f>Table1[[#This Row],[Balls Scored From Trench]]+Table1[[#This Row],[Balls Scored from Mid]]+Table1[[#This Row],[Balls Scored From Alliance zone]]</f>
        <v>0</v>
      </c>
      <c r="W548" s="8">
        <f>Table1[[#This Row],[balls scored high]]+Table1[[#This Row],[balls scored low]]</f>
        <v>0</v>
      </c>
      <c r="X548" s="8">
        <f>Table1[[#This Row],[Control Panel Spun Time]]+Table1[[#This Row],[Control Panel Color Time]]</f>
        <v>0</v>
      </c>
      <c r="Y548" s="8">
        <f>Table1[[#This Row],[Control Panels Spun]]+Table1[[#This Row],[Control Panel Color]]</f>
        <v>0</v>
      </c>
      <c r="Z54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48" s="17">
        <f>(Table1[[#This Row],[Climbed]]*weighting!$B$18)+(Table1[[#This Row],[Adjustable Climber]]*weighting!$B$19)+(Table1[[#This Row],[Lift other Robot]]*weighting!$B$20)+(Table1[[#This Row],[Balanced]]*weighting!$B$21)</f>
        <v>0</v>
      </c>
      <c r="AL548" s="8">
        <f>+Table1[[#This Row],[Endgame our score]]+Table1[[#This Row],[teleop our score]]+Table1[[#This Row],[auton our score]]</f>
        <v>0</v>
      </c>
      <c r="AM548" s="20">
        <f t="shared" si="24"/>
        <v>0</v>
      </c>
      <c r="AN548" s="20">
        <f t="shared" si="25"/>
        <v>0</v>
      </c>
      <c r="AO548" s="20">
        <f t="shared" si="26"/>
        <v>0</v>
      </c>
      <c r="AP548" s="20">
        <f>Table1[[#This Row],[balls scored]]+Table1[[#This Row],[auton balls scored]]</f>
        <v>0</v>
      </c>
      <c r="AQ548" s="20">
        <f>Table1[[#This Row],[balls scored high]]+Table1[[#This Row],[Auton Scored High]]</f>
        <v>0</v>
      </c>
      <c r="AR548" s="20">
        <f>Table1[[#This Row],[balls scored low]]+Table1[[#This Row],[Auton Scored Low]]</f>
        <v>0</v>
      </c>
      <c r="AS548" s="50">
        <f>IF(Table1[[#This Row],[Control Panel Spun Time]]&gt;0,1,0)</f>
        <v>0</v>
      </c>
      <c r="AT548" s="20">
        <f>IF(Table1[[#This Row],[Control Panel Color Time]]&gt;0,1,0)</f>
        <v>0</v>
      </c>
    </row>
    <row r="549" spans="1:46" s="2" customFormat="1" x14ac:dyDescent="0.25">
      <c r="A549"/>
      <c r="B549"/>
      <c r="C549"/>
      <c r="D549"/>
      <c r="E549"/>
      <c r="F549"/>
      <c r="G549"/>
      <c r="H549"/>
      <c r="I549" s="8">
        <f>+Table1[[#This Row],[Auton ball picked up in our trench]]+Table1[[#This Row],[Auton Balls Picked Up in Mid]]+Table1[[#This Row],[Auton Balls Picked Up In Their Trench]]</f>
        <v>0</v>
      </c>
      <c r="J549" s="8">
        <f>+Table1[[#This Row],[Auton Scored High]]+Table1[[#This Row],[Auton Scored Low]]</f>
        <v>0</v>
      </c>
      <c r="K54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49"/>
      <c r="M549"/>
      <c r="N549"/>
      <c r="O549"/>
      <c r="P549"/>
      <c r="Q549"/>
      <c r="R549"/>
      <c r="S549"/>
      <c r="T549"/>
      <c r="U549"/>
      <c r="V549" s="8">
        <f>Table1[[#This Row],[Balls Scored From Trench]]+Table1[[#This Row],[Balls Scored from Mid]]+Table1[[#This Row],[Balls Scored From Alliance zone]]</f>
        <v>0</v>
      </c>
      <c r="W549" s="8">
        <f>Table1[[#This Row],[balls scored high]]+Table1[[#This Row],[balls scored low]]</f>
        <v>0</v>
      </c>
      <c r="X549" s="8">
        <f>Table1[[#This Row],[Control Panel Spun Time]]+Table1[[#This Row],[Control Panel Color Time]]</f>
        <v>0</v>
      </c>
      <c r="Y549" s="8">
        <f>Table1[[#This Row],[Control Panels Spun]]+Table1[[#This Row],[Control Panel Color]]</f>
        <v>0</v>
      </c>
      <c r="Z54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49"/>
      <c r="AB549"/>
      <c r="AC549"/>
      <c r="AD549"/>
      <c r="AE549"/>
      <c r="AF549"/>
      <c r="AG549"/>
      <c r="AH549"/>
      <c r="AI549"/>
      <c r="AJ549"/>
      <c r="AK549" s="17">
        <f>(Table1[[#This Row],[Climbed]]*weighting!$B$18)+(Table1[[#This Row],[Adjustable Climber]]*weighting!$B$19)+(Table1[[#This Row],[Lift other Robot]]*weighting!$B$20)+(Table1[[#This Row],[Balanced]]*weighting!$B$21)</f>
        <v>0</v>
      </c>
      <c r="AL549" s="8">
        <f>+Table1[[#This Row],[Endgame our score]]+Table1[[#This Row],[teleop our score]]+Table1[[#This Row],[auton our score]]</f>
        <v>0</v>
      </c>
      <c r="AM549" s="20">
        <f t="shared" si="24"/>
        <v>0</v>
      </c>
      <c r="AN549" s="20">
        <f t="shared" si="25"/>
        <v>0</v>
      </c>
      <c r="AO549" s="20">
        <f t="shared" si="26"/>
        <v>0</v>
      </c>
      <c r="AP549" s="20">
        <f>Table1[[#This Row],[balls scored]]+Table1[[#This Row],[auton balls scored]]</f>
        <v>0</v>
      </c>
      <c r="AQ549" s="20">
        <f>Table1[[#This Row],[balls scored high]]+Table1[[#This Row],[Auton Scored High]]</f>
        <v>0</v>
      </c>
      <c r="AR549" s="20">
        <f>Table1[[#This Row],[balls scored low]]+Table1[[#This Row],[Auton Scored Low]]</f>
        <v>0</v>
      </c>
      <c r="AS549" s="50">
        <f>IF(Table1[[#This Row],[Control Panel Spun Time]]&gt;0,1,0)</f>
        <v>0</v>
      </c>
      <c r="AT549" s="20">
        <f>IF(Table1[[#This Row],[Control Panel Color Time]]&gt;0,1,0)</f>
        <v>0</v>
      </c>
    </row>
    <row r="550" spans="1:46" x14ac:dyDescent="0.25">
      <c r="A550"/>
      <c r="I550" s="8">
        <f>+Table1[[#This Row],[Auton ball picked up in our trench]]+Table1[[#This Row],[Auton Balls Picked Up in Mid]]+Table1[[#This Row],[Auton Balls Picked Up In Their Trench]]</f>
        <v>0</v>
      </c>
      <c r="J550" s="8">
        <f>+Table1[[#This Row],[Auton Scored High]]+Table1[[#This Row],[Auton Scored Low]]</f>
        <v>0</v>
      </c>
      <c r="K55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50" s="8">
        <f>Table1[[#This Row],[Balls Scored From Trench]]+Table1[[#This Row],[Balls Scored from Mid]]+Table1[[#This Row],[Balls Scored From Alliance zone]]</f>
        <v>0</v>
      </c>
      <c r="W550" s="8">
        <f>Table1[[#This Row],[balls scored high]]+Table1[[#This Row],[balls scored low]]</f>
        <v>0</v>
      </c>
      <c r="X550" s="8">
        <f>Table1[[#This Row],[Control Panel Spun Time]]+Table1[[#This Row],[Control Panel Color Time]]</f>
        <v>0</v>
      </c>
      <c r="Y550" s="8">
        <f>Table1[[#This Row],[Control Panels Spun]]+Table1[[#This Row],[Control Panel Color]]</f>
        <v>0</v>
      </c>
      <c r="Z55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50" s="17">
        <f>(Table1[[#This Row],[Climbed]]*weighting!$B$18)+(Table1[[#This Row],[Adjustable Climber]]*weighting!$B$19)+(Table1[[#This Row],[Lift other Robot]]*weighting!$B$20)+(Table1[[#This Row],[Balanced]]*weighting!$B$21)</f>
        <v>0</v>
      </c>
      <c r="AL550" s="8">
        <f>+Table1[[#This Row],[Endgame our score]]+Table1[[#This Row],[teleop our score]]+Table1[[#This Row],[auton our score]]</f>
        <v>0</v>
      </c>
      <c r="AM550" s="20">
        <f t="shared" si="24"/>
        <v>0</v>
      </c>
      <c r="AN550" s="20">
        <f t="shared" si="25"/>
        <v>0</v>
      </c>
      <c r="AO550" s="20">
        <f t="shared" si="26"/>
        <v>0</v>
      </c>
      <c r="AP550" s="20">
        <f>Table1[[#This Row],[balls scored]]+Table1[[#This Row],[auton balls scored]]</f>
        <v>0</v>
      </c>
      <c r="AQ550" s="20">
        <f>Table1[[#This Row],[balls scored high]]+Table1[[#This Row],[Auton Scored High]]</f>
        <v>0</v>
      </c>
      <c r="AR550" s="20">
        <f>Table1[[#This Row],[balls scored low]]+Table1[[#This Row],[Auton Scored Low]]</f>
        <v>0</v>
      </c>
      <c r="AS550" s="50">
        <f>IF(Table1[[#This Row],[Control Panel Spun Time]]&gt;0,1,0)</f>
        <v>0</v>
      </c>
      <c r="AT550" s="20">
        <f>IF(Table1[[#This Row],[Control Panel Color Time]]&gt;0,1,0)</f>
        <v>0</v>
      </c>
    </row>
    <row r="551" spans="1:46" s="2" customFormat="1" x14ac:dyDescent="0.25">
      <c r="A551"/>
      <c r="B551"/>
      <c r="C551"/>
      <c r="D551"/>
      <c r="E551"/>
      <c r="F551"/>
      <c r="G551"/>
      <c r="H551"/>
      <c r="I551" s="8">
        <f>+Table1[[#This Row],[Auton ball picked up in our trench]]+Table1[[#This Row],[Auton Balls Picked Up in Mid]]+Table1[[#This Row],[Auton Balls Picked Up In Their Trench]]</f>
        <v>0</v>
      </c>
      <c r="J551" s="8">
        <f>+Table1[[#This Row],[Auton Scored High]]+Table1[[#This Row],[Auton Scored Low]]</f>
        <v>0</v>
      </c>
      <c r="K55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51"/>
      <c r="M551"/>
      <c r="N551"/>
      <c r="O551"/>
      <c r="P551"/>
      <c r="Q551"/>
      <c r="R551"/>
      <c r="S551"/>
      <c r="T551"/>
      <c r="U551"/>
      <c r="V551" s="8">
        <f>Table1[[#This Row],[Balls Scored From Trench]]+Table1[[#This Row],[Balls Scored from Mid]]+Table1[[#This Row],[Balls Scored From Alliance zone]]</f>
        <v>0</v>
      </c>
      <c r="W551" s="8">
        <f>Table1[[#This Row],[balls scored high]]+Table1[[#This Row],[balls scored low]]</f>
        <v>0</v>
      </c>
      <c r="X551" s="8">
        <f>Table1[[#This Row],[Control Panel Spun Time]]+Table1[[#This Row],[Control Panel Color Time]]</f>
        <v>0</v>
      </c>
      <c r="Y551" s="8">
        <f>Table1[[#This Row],[Control Panels Spun]]+Table1[[#This Row],[Control Panel Color]]</f>
        <v>0</v>
      </c>
      <c r="Z55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51"/>
      <c r="AB551"/>
      <c r="AC551"/>
      <c r="AD551"/>
      <c r="AE551"/>
      <c r="AF551"/>
      <c r="AG551"/>
      <c r="AH551"/>
      <c r="AI551"/>
      <c r="AJ551"/>
      <c r="AK551" s="17">
        <f>(Table1[[#This Row],[Climbed]]*weighting!$B$18)+(Table1[[#This Row],[Adjustable Climber]]*weighting!$B$19)+(Table1[[#This Row],[Lift other Robot]]*weighting!$B$20)+(Table1[[#This Row],[Balanced]]*weighting!$B$21)</f>
        <v>0</v>
      </c>
      <c r="AL551" s="8">
        <f>+Table1[[#This Row],[Endgame our score]]+Table1[[#This Row],[teleop our score]]+Table1[[#This Row],[auton our score]]</f>
        <v>0</v>
      </c>
      <c r="AM551" s="20">
        <f t="shared" si="24"/>
        <v>0</v>
      </c>
      <c r="AN551" s="20">
        <f t="shared" si="25"/>
        <v>0</v>
      </c>
      <c r="AO551" s="20">
        <f t="shared" si="26"/>
        <v>0</v>
      </c>
      <c r="AP551" s="20">
        <f>Table1[[#This Row],[balls scored]]+Table1[[#This Row],[auton balls scored]]</f>
        <v>0</v>
      </c>
      <c r="AQ551" s="20">
        <f>Table1[[#This Row],[balls scored high]]+Table1[[#This Row],[Auton Scored High]]</f>
        <v>0</v>
      </c>
      <c r="AR551" s="20">
        <f>Table1[[#This Row],[balls scored low]]+Table1[[#This Row],[Auton Scored Low]]</f>
        <v>0</v>
      </c>
      <c r="AS551" s="50">
        <f>IF(Table1[[#This Row],[Control Panel Spun Time]]&gt;0,1,0)</f>
        <v>0</v>
      </c>
      <c r="AT551" s="20">
        <f>IF(Table1[[#This Row],[Control Panel Color Time]]&gt;0,1,0)</f>
        <v>0</v>
      </c>
    </row>
    <row r="552" spans="1:46" x14ac:dyDescent="0.25">
      <c r="A552"/>
      <c r="I552" s="8">
        <f>+Table1[[#This Row],[Auton ball picked up in our trench]]+Table1[[#This Row],[Auton Balls Picked Up in Mid]]+Table1[[#This Row],[Auton Balls Picked Up In Their Trench]]</f>
        <v>0</v>
      </c>
      <c r="J552" s="8">
        <f>+Table1[[#This Row],[Auton Scored High]]+Table1[[#This Row],[Auton Scored Low]]</f>
        <v>0</v>
      </c>
      <c r="K55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52" s="8">
        <f>Table1[[#This Row],[Balls Scored From Trench]]+Table1[[#This Row],[Balls Scored from Mid]]+Table1[[#This Row],[Balls Scored From Alliance zone]]</f>
        <v>0</v>
      </c>
      <c r="W552" s="8">
        <f>Table1[[#This Row],[balls scored high]]+Table1[[#This Row],[balls scored low]]</f>
        <v>0</v>
      </c>
      <c r="X552" s="8">
        <f>Table1[[#This Row],[Control Panel Spun Time]]+Table1[[#This Row],[Control Panel Color Time]]</f>
        <v>0</v>
      </c>
      <c r="Y552" s="8">
        <f>Table1[[#This Row],[Control Panels Spun]]+Table1[[#This Row],[Control Panel Color]]</f>
        <v>0</v>
      </c>
      <c r="Z55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52" s="17">
        <f>(Table1[[#This Row],[Climbed]]*weighting!$B$18)+(Table1[[#This Row],[Adjustable Climber]]*weighting!$B$19)+(Table1[[#This Row],[Lift other Robot]]*weighting!$B$20)+(Table1[[#This Row],[Balanced]]*weighting!$B$21)</f>
        <v>0</v>
      </c>
      <c r="AL552" s="8">
        <f>+Table1[[#This Row],[Endgame our score]]+Table1[[#This Row],[teleop our score]]+Table1[[#This Row],[auton our score]]</f>
        <v>0</v>
      </c>
      <c r="AM552" s="20">
        <f t="shared" si="24"/>
        <v>0</v>
      </c>
      <c r="AN552" s="20">
        <f t="shared" si="25"/>
        <v>0</v>
      </c>
      <c r="AO552" s="20">
        <f t="shared" si="26"/>
        <v>0</v>
      </c>
      <c r="AP552" s="20">
        <f>Table1[[#This Row],[balls scored]]+Table1[[#This Row],[auton balls scored]]</f>
        <v>0</v>
      </c>
      <c r="AQ552" s="20">
        <f>Table1[[#This Row],[balls scored high]]+Table1[[#This Row],[Auton Scored High]]</f>
        <v>0</v>
      </c>
      <c r="AR552" s="20">
        <f>Table1[[#This Row],[balls scored low]]+Table1[[#This Row],[Auton Scored Low]]</f>
        <v>0</v>
      </c>
      <c r="AS552" s="50">
        <f>IF(Table1[[#This Row],[Control Panel Spun Time]]&gt;0,1,0)</f>
        <v>0</v>
      </c>
      <c r="AT552" s="20">
        <f>IF(Table1[[#This Row],[Control Panel Color Time]]&gt;0,1,0)</f>
        <v>0</v>
      </c>
    </row>
    <row r="553" spans="1:46" s="2" customFormat="1" x14ac:dyDescent="0.25">
      <c r="A553"/>
      <c r="B553"/>
      <c r="C553"/>
      <c r="D553"/>
      <c r="E553"/>
      <c r="F553"/>
      <c r="G553"/>
      <c r="H553"/>
      <c r="I553" s="8">
        <f>+Table1[[#This Row],[Auton ball picked up in our trench]]+Table1[[#This Row],[Auton Balls Picked Up in Mid]]+Table1[[#This Row],[Auton Balls Picked Up In Their Trench]]</f>
        <v>0</v>
      </c>
      <c r="J553" s="8">
        <f>+Table1[[#This Row],[Auton Scored High]]+Table1[[#This Row],[Auton Scored Low]]</f>
        <v>0</v>
      </c>
      <c r="K55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53"/>
      <c r="M553"/>
      <c r="N553"/>
      <c r="O553"/>
      <c r="P553"/>
      <c r="Q553"/>
      <c r="R553"/>
      <c r="S553"/>
      <c r="T553"/>
      <c r="U553"/>
      <c r="V553" s="8">
        <f>Table1[[#This Row],[Balls Scored From Trench]]+Table1[[#This Row],[Balls Scored from Mid]]+Table1[[#This Row],[Balls Scored From Alliance zone]]</f>
        <v>0</v>
      </c>
      <c r="W553" s="8">
        <f>Table1[[#This Row],[balls scored high]]+Table1[[#This Row],[balls scored low]]</f>
        <v>0</v>
      </c>
      <c r="X553" s="8">
        <f>Table1[[#This Row],[Control Panel Spun Time]]+Table1[[#This Row],[Control Panel Color Time]]</f>
        <v>0</v>
      </c>
      <c r="Y553" s="8">
        <f>Table1[[#This Row],[Control Panels Spun]]+Table1[[#This Row],[Control Panel Color]]</f>
        <v>0</v>
      </c>
      <c r="Z55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53"/>
      <c r="AB553"/>
      <c r="AC553"/>
      <c r="AD553"/>
      <c r="AE553"/>
      <c r="AF553"/>
      <c r="AG553"/>
      <c r="AH553"/>
      <c r="AI553"/>
      <c r="AJ553"/>
      <c r="AK553" s="17">
        <f>(Table1[[#This Row],[Climbed]]*weighting!$B$18)+(Table1[[#This Row],[Adjustable Climber]]*weighting!$B$19)+(Table1[[#This Row],[Lift other Robot]]*weighting!$B$20)+(Table1[[#This Row],[Balanced]]*weighting!$B$21)</f>
        <v>0</v>
      </c>
      <c r="AL553" s="8">
        <f>+Table1[[#This Row],[Endgame our score]]+Table1[[#This Row],[teleop our score]]+Table1[[#This Row],[auton our score]]</f>
        <v>0</v>
      </c>
      <c r="AM553" s="20">
        <f t="shared" si="24"/>
        <v>0</v>
      </c>
      <c r="AN553" s="20">
        <f t="shared" si="25"/>
        <v>0</v>
      </c>
      <c r="AO553" s="20">
        <f t="shared" si="26"/>
        <v>0</v>
      </c>
      <c r="AP553" s="20">
        <f>Table1[[#This Row],[balls scored]]+Table1[[#This Row],[auton balls scored]]</f>
        <v>0</v>
      </c>
      <c r="AQ553" s="20">
        <f>Table1[[#This Row],[balls scored high]]+Table1[[#This Row],[Auton Scored High]]</f>
        <v>0</v>
      </c>
      <c r="AR553" s="20">
        <f>Table1[[#This Row],[balls scored low]]+Table1[[#This Row],[Auton Scored Low]]</f>
        <v>0</v>
      </c>
      <c r="AS553" s="50">
        <f>IF(Table1[[#This Row],[Control Panel Spun Time]]&gt;0,1,0)</f>
        <v>0</v>
      </c>
      <c r="AT553" s="20">
        <f>IF(Table1[[#This Row],[Control Panel Color Time]]&gt;0,1,0)</f>
        <v>0</v>
      </c>
    </row>
    <row r="554" spans="1:46" x14ac:dyDescent="0.25">
      <c r="A554"/>
      <c r="I554" s="8">
        <f>+Table1[[#This Row],[Auton ball picked up in our trench]]+Table1[[#This Row],[Auton Balls Picked Up in Mid]]+Table1[[#This Row],[Auton Balls Picked Up In Their Trench]]</f>
        <v>0</v>
      </c>
      <c r="J554" s="8">
        <f>+Table1[[#This Row],[Auton Scored High]]+Table1[[#This Row],[Auton Scored Low]]</f>
        <v>0</v>
      </c>
      <c r="K55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54" s="8">
        <f>Table1[[#This Row],[Balls Scored From Trench]]+Table1[[#This Row],[Balls Scored from Mid]]+Table1[[#This Row],[Balls Scored From Alliance zone]]</f>
        <v>0</v>
      </c>
      <c r="W554" s="8">
        <f>Table1[[#This Row],[balls scored high]]+Table1[[#This Row],[balls scored low]]</f>
        <v>0</v>
      </c>
      <c r="X554" s="8">
        <f>Table1[[#This Row],[Control Panel Spun Time]]+Table1[[#This Row],[Control Panel Color Time]]</f>
        <v>0</v>
      </c>
      <c r="Y554" s="8">
        <f>Table1[[#This Row],[Control Panels Spun]]+Table1[[#This Row],[Control Panel Color]]</f>
        <v>0</v>
      </c>
      <c r="Z55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54" s="17">
        <f>(Table1[[#This Row],[Climbed]]*weighting!$B$18)+(Table1[[#This Row],[Adjustable Climber]]*weighting!$B$19)+(Table1[[#This Row],[Lift other Robot]]*weighting!$B$20)+(Table1[[#This Row],[Balanced]]*weighting!$B$21)</f>
        <v>0</v>
      </c>
      <c r="AL554" s="8">
        <f>+Table1[[#This Row],[Endgame our score]]+Table1[[#This Row],[teleop our score]]+Table1[[#This Row],[auton our score]]</f>
        <v>0</v>
      </c>
      <c r="AM554" s="20">
        <f t="shared" si="24"/>
        <v>0</v>
      </c>
      <c r="AN554" s="20">
        <f t="shared" si="25"/>
        <v>0</v>
      </c>
      <c r="AO554" s="20">
        <f t="shared" si="26"/>
        <v>0</v>
      </c>
      <c r="AP554" s="20">
        <f>Table1[[#This Row],[balls scored]]+Table1[[#This Row],[auton balls scored]]</f>
        <v>0</v>
      </c>
      <c r="AQ554" s="20">
        <f>Table1[[#This Row],[balls scored high]]+Table1[[#This Row],[Auton Scored High]]</f>
        <v>0</v>
      </c>
      <c r="AR554" s="20">
        <f>Table1[[#This Row],[balls scored low]]+Table1[[#This Row],[Auton Scored Low]]</f>
        <v>0</v>
      </c>
      <c r="AS554" s="50">
        <f>IF(Table1[[#This Row],[Control Panel Spun Time]]&gt;0,1,0)</f>
        <v>0</v>
      </c>
      <c r="AT554" s="20">
        <f>IF(Table1[[#This Row],[Control Panel Color Time]]&gt;0,1,0)</f>
        <v>0</v>
      </c>
    </row>
    <row r="555" spans="1:46" s="2" customFormat="1" x14ac:dyDescent="0.25">
      <c r="A555"/>
      <c r="B555"/>
      <c r="C555"/>
      <c r="D555"/>
      <c r="E555"/>
      <c r="F555"/>
      <c r="G555"/>
      <c r="H555"/>
      <c r="I555" s="8">
        <f>+Table1[[#This Row],[Auton ball picked up in our trench]]+Table1[[#This Row],[Auton Balls Picked Up in Mid]]+Table1[[#This Row],[Auton Balls Picked Up In Their Trench]]</f>
        <v>0</v>
      </c>
      <c r="J555" s="8">
        <f>+Table1[[#This Row],[Auton Scored High]]+Table1[[#This Row],[Auton Scored Low]]</f>
        <v>0</v>
      </c>
      <c r="K55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55"/>
      <c r="M555"/>
      <c r="N555"/>
      <c r="O555"/>
      <c r="P555"/>
      <c r="Q555"/>
      <c r="R555"/>
      <c r="S555"/>
      <c r="T555"/>
      <c r="U555"/>
      <c r="V555" s="8">
        <f>Table1[[#This Row],[Balls Scored From Trench]]+Table1[[#This Row],[Balls Scored from Mid]]+Table1[[#This Row],[Balls Scored From Alliance zone]]</f>
        <v>0</v>
      </c>
      <c r="W555" s="8">
        <f>Table1[[#This Row],[balls scored high]]+Table1[[#This Row],[balls scored low]]</f>
        <v>0</v>
      </c>
      <c r="X555" s="8">
        <f>Table1[[#This Row],[Control Panel Spun Time]]+Table1[[#This Row],[Control Panel Color Time]]</f>
        <v>0</v>
      </c>
      <c r="Y555" s="8">
        <f>Table1[[#This Row],[Control Panels Spun]]+Table1[[#This Row],[Control Panel Color]]</f>
        <v>0</v>
      </c>
      <c r="Z55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55"/>
      <c r="AB555"/>
      <c r="AC555"/>
      <c r="AD555"/>
      <c r="AE555"/>
      <c r="AF555"/>
      <c r="AG555"/>
      <c r="AH555"/>
      <c r="AI555"/>
      <c r="AJ555"/>
      <c r="AK555" s="17">
        <f>(Table1[[#This Row],[Climbed]]*weighting!$B$18)+(Table1[[#This Row],[Adjustable Climber]]*weighting!$B$19)+(Table1[[#This Row],[Lift other Robot]]*weighting!$B$20)+(Table1[[#This Row],[Balanced]]*weighting!$B$21)</f>
        <v>0</v>
      </c>
      <c r="AL555" s="8">
        <f>+Table1[[#This Row],[Endgame our score]]+Table1[[#This Row],[teleop our score]]+Table1[[#This Row],[auton our score]]</f>
        <v>0</v>
      </c>
      <c r="AM555" s="20">
        <f t="shared" si="24"/>
        <v>0</v>
      </c>
      <c r="AN555" s="20">
        <f t="shared" si="25"/>
        <v>0</v>
      </c>
      <c r="AO555" s="20">
        <f t="shared" si="26"/>
        <v>0</v>
      </c>
      <c r="AP555" s="20">
        <f>Table1[[#This Row],[balls scored]]+Table1[[#This Row],[auton balls scored]]</f>
        <v>0</v>
      </c>
      <c r="AQ555" s="20">
        <f>Table1[[#This Row],[balls scored high]]+Table1[[#This Row],[Auton Scored High]]</f>
        <v>0</v>
      </c>
      <c r="AR555" s="20">
        <f>Table1[[#This Row],[balls scored low]]+Table1[[#This Row],[Auton Scored Low]]</f>
        <v>0</v>
      </c>
      <c r="AS555" s="50">
        <f>IF(Table1[[#This Row],[Control Panel Spun Time]]&gt;0,1,0)</f>
        <v>0</v>
      </c>
      <c r="AT555" s="20">
        <f>IF(Table1[[#This Row],[Control Panel Color Time]]&gt;0,1,0)</f>
        <v>0</v>
      </c>
    </row>
    <row r="556" spans="1:46" x14ac:dyDescent="0.25">
      <c r="A556"/>
      <c r="I556" s="8">
        <f>+Table1[[#This Row],[Auton ball picked up in our trench]]+Table1[[#This Row],[Auton Balls Picked Up in Mid]]+Table1[[#This Row],[Auton Balls Picked Up In Their Trench]]</f>
        <v>0</v>
      </c>
      <c r="J556" s="8">
        <f>+Table1[[#This Row],[Auton Scored High]]+Table1[[#This Row],[Auton Scored Low]]</f>
        <v>0</v>
      </c>
      <c r="K55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56" s="8">
        <f>Table1[[#This Row],[Balls Scored From Trench]]+Table1[[#This Row],[Balls Scored from Mid]]+Table1[[#This Row],[Balls Scored From Alliance zone]]</f>
        <v>0</v>
      </c>
      <c r="W556" s="8">
        <f>Table1[[#This Row],[balls scored high]]+Table1[[#This Row],[balls scored low]]</f>
        <v>0</v>
      </c>
      <c r="X556" s="8">
        <f>Table1[[#This Row],[Control Panel Spun Time]]+Table1[[#This Row],[Control Panel Color Time]]</f>
        <v>0</v>
      </c>
      <c r="Y556" s="8">
        <f>Table1[[#This Row],[Control Panels Spun]]+Table1[[#This Row],[Control Panel Color]]</f>
        <v>0</v>
      </c>
      <c r="Z55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56" s="17">
        <f>(Table1[[#This Row],[Climbed]]*weighting!$B$18)+(Table1[[#This Row],[Adjustable Climber]]*weighting!$B$19)+(Table1[[#This Row],[Lift other Robot]]*weighting!$B$20)+(Table1[[#This Row],[Balanced]]*weighting!$B$21)</f>
        <v>0</v>
      </c>
      <c r="AL556" s="8">
        <f>+Table1[[#This Row],[Endgame our score]]+Table1[[#This Row],[teleop our score]]+Table1[[#This Row],[auton our score]]</f>
        <v>0</v>
      </c>
      <c r="AM556" s="20">
        <f t="shared" si="24"/>
        <v>0</v>
      </c>
      <c r="AN556" s="20">
        <f t="shared" si="25"/>
        <v>0</v>
      </c>
      <c r="AO556" s="20">
        <f t="shared" si="26"/>
        <v>0</v>
      </c>
      <c r="AP556" s="20">
        <f>Table1[[#This Row],[balls scored]]+Table1[[#This Row],[auton balls scored]]</f>
        <v>0</v>
      </c>
      <c r="AQ556" s="20">
        <f>Table1[[#This Row],[balls scored high]]+Table1[[#This Row],[Auton Scored High]]</f>
        <v>0</v>
      </c>
      <c r="AR556" s="20">
        <f>Table1[[#This Row],[balls scored low]]+Table1[[#This Row],[Auton Scored Low]]</f>
        <v>0</v>
      </c>
      <c r="AS556" s="50">
        <f>IF(Table1[[#This Row],[Control Panel Spun Time]]&gt;0,1,0)</f>
        <v>0</v>
      </c>
      <c r="AT556" s="20">
        <f>IF(Table1[[#This Row],[Control Panel Color Time]]&gt;0,1,0)</f>
        <v>0</v>
      </c>
    </row>
    <row r="557" spans="1:46" s="2" customFormat="1" x14ac:dyDescent="0.25">
      <c r="A557"/>
      <c r="B557"/>
      <c r="C557"/>
      <c r="D557"/>
      <c r="E557"/>
      <c r="F557"/>
      <c r="G557"/>
      <c r="H557"/>
      <c r="I557" s="8">
        <f>+Table1[[#This Row],[Auton ball picked up in our trench]]+Table1[[#This Row],[Auton Balls Picked Up in Mid]]+Table1[[#This Row],[Auton Balls Picked Up In Their Trench]]</f>
        <v>0</v>
      </c>
      <c r="J557" s="8">
        <f>+Table1[[#This Row],[Auton Scored High]]+Table1[[#This Row],[Auton Scored Low]]</f>
        <v>0</v>
      </c>
      <c r="K55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57"/>
      <c r="M557"/>
      <c r="N557"/>
      <c r="O557"/>
      <c r="P557"/>
      <c r="Q557"/>
      <c r="R557"/>
      <c r="S557"/>
      <c r="T557"/>
      <c r="U557"/>
      <c r="V557" s="8">
        <f>Table1[[#This Row],[Balls Scored From Trench]]+Table1[[#This Row],[Balls Scored from Mid]]+Table1[[#This Row],[Balls Scored From Alliance zone]]</f>
        <v>0</v>
      </c>
      <c r="W557" s="8">
        <f>Table1[[#This Row],[balls scored high]]+Table1[[#This Row],[balls scored low]]</f>
        <v>0</v>
      </c>
      <c r="X557" s="8">
        <f>Table1[[#This Row],[Control Panel Spun Time]]+Table1[[#This Row],[Control Panel Color Time]]</f>
        <v>0</v>
      </c>
      <c r="Y557" s="8">
        <f>Table1[[#This Row],[Control Panels Spun]]+Table1[[#This Row],[Control Panel Color]]</f>
        <v>0</v>
      </c>
      <c r="Z55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57"/>
      <c r="AB557"/>
      <c r="AC557"/>
      <c r="AD557"/>
      <c r="AE557"/>
      <c r="AF557"/>
      <c r="AG557"/>
      <c r="AH557"/>
      <c r="AI557"/>
      <c r="AJ557"/>
      <c r="AK557" s="17">
        <f>(Table1[[#This Row],[Climbed]]*weighting!$B$18)+(Table1[[#This Row],[Adjustable Climber]]*weighting!$B$19)+(Table1[[#This Row],[Lift other Robot]]*weighting!$B$20)+(Table1[[#This Row],[Balanced]]*weighting!$B$21)</f>
        <v>0</v>
      </c>
      <c r="AL557" s="8">
        <f>+Table1[[#This Row],[Endgame our score]]+Table1[[#This Row],[teleop our score]]+Table1[[#This Row],[auton our score]]</f>
        <v>0</v>
      </c>
      <c r="AM557" s="20">
        <f t="shared" si="24"/>
        <v>0</v>
      </c>
      <c r="AN557" s="20">
        <f t="shared" si="25"/>
        <v>0</v>
      </c>
      <c r="AO557" s="20">
        <f t="shared" si="26"/>
        <v>0</v>
      </c>
      <c r="AP557" s="20">
        <f>Table1[[#This Row],[balls scored]]+Table1[[#This Row],[auton balls scored]]</f>
        <v>0</v>
      </c>
      <c r="AQ557" s="20">
        <f>Table1[[#This Row],[balls scored high]]+Table1[[#This Row],[Auton Scored High]]</f>
        <v>0</v>
      </c>
      <c r="AR557" s="20">
        <f>Table1[[#This Row],[balls scored low]]+Table1[[#This Row],[Auton Scored Low]]</f>
        <v>0</v>
      </c>
      <c r="AS557" s="50">
        <f>IF(Table1[[#This Row],[Control Panel Spun Time]]&gt;0,1,0)</f>
        <v>0</v>
      </c>
      <c r="AT557" s="20">
        <f>IF(Table1[[#This Row],[Control Panel Color Time]]&gt;0,1,0)</f>
        <v>0</v>
      </c>
    </row>
    <row r="558" spans="1:46" x14ac:dyDescent="0.25">
      <c r="A558"/>
      <c r="I558" s="8">
        <f>+Table1[[#This Row],[Auton ball picked up in our trench]]+Table1[[#This Row],[Auton Balls Picked Up in Mid]]+Table1[[#This Row],[Auton Balls Picked Up In Their Trench]]</f>
        <v>0</v>
      </c>
      <c r="J558" s="8">
        <f>+Table1[[#This Row],[Auton Scored High]]+Table1[[#This Row],[Auton Scored Low]]</f>
        <v>0</v>
      </c>
      <c r="K55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58" s="8">
        <f>Table1[[#This Row],[Balls Scored From Trench]]+Table1[[#This Row],[Balls Scored from Mid]]+Table1[[#This Row],[Balls Scored From Alliance zone]]</f>
        <v>0</v>
      </c>
      <c r="W558" s="8">
        <f>Table1[[#This Row],[balls scored high]]+Table1[[#This Row],[balls scored low]]</f>
        <v>0</v>
      </c>
      <c r="X558" s="8">
        <f>Table1[[#This Row],[Control Panel Spun Time]]+Table1[[#This Row],[Control Panel Color Time]]</f>
        <v>0</v>
      </c>
      <c r="Y558" s="8">
        <f>Table1[[#This Row],[Control Panels Spun]]+Table1[[#This Row],[Control Panel Color]]</f>
        <v>0</v>
      </c>
      <c r="Z55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58" s="17">
        <f>(Table1[[#This Row],[Climbed]]*weighting!$B$18)+(Table1[[#This Row],[Adjustable Climber]]*weighting!$B$19)+(Table1[[#This Row],[Lift other Robot]]*weighting!$B$20)+(Table1[[#This Row],[Balanced]]*weighting!$B$21)</f>
        <v>0</v>
      </c>
      <c r="AL558" s="8">
        <f>+Table1[[#This Row],[Endgame our score]]+Table1[[#This Row],[teleop our score]]+Table1[[#This Row],[auton our score]]</f>
        <v>0</v>
      </c>
      <c r="AM558" s="20">
        <f t="shared" si="24"/>
        <v>0</v>
      </c>
      <c r="AN558" s="20">
        <f t="shared" si="25"/>
        <v>0</v>
      </c>
      <c r="AO558" s="20">
        <f t="shared" si="26"/>
        <v>0</v>
      </c>
      <c r="AP558" s="20">
        <f>Table1[[#This Row],[balls scored]]+Table1[[#This Row],[auton balls scored]]</f>
        <v>0</v>
      </c>
      <c r="AQ558" s="20">
        <f>Table1[[#This Row],[balls scored high]]+Table1[[#This Row],[Auton Scored High]]</f>
        <v>0</v>
      </c>
      <c r="AR558" s="20">
        <f>Table1[[#This Row],[balls scored low]]+Table1[[#This Row],[Auton Scored Low]]</f>
        <v>0</v>
      </c>
      <c r="AS558" s="50">
        <f>IF(Table1[[#This Row],[Control Panel Spun Time]]&gt;0,1,0)</f>
        <v>0</v>
      </c>
      <c r="AT558" s="20">
        <f>IF(Table1[[#This Row],[Control Panel Color Time]]&gt;0,1,0)</f>
        <v>0</v>
      </c>
    </row>
    <row r="559" spans="1:46" s="2" customFormat="1" x14ac:dyDescent="0.25">
      <c r="A559"/>
      <c r="B559"/>
      <c r="C559"/>
      <c r="D559"/>
      <c r="E559"/>
      <c r="F559"/>
      <c r="G559"/>
      <c r="H559"/>
      <c r="I559" s="8">
        <f>+Table1[[#This Row],[Auton ball picked up in our trench]]+Table1[[#This Row],[Auton Balls Picked Up in Mid]]+Table1[[#This Row],[Auton Balls Picked Up In Their Trench]]</f>
        <v>0</v>
      </c>
      <c r="J559" s="8">
        <f>+Table1[[#This Row],[Auton Scored High]]+Table1[[#This Row],[Auton Scored Low]]</f>
        <v>0</v>
      </c>
      <c r="K55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59"/>
      <c r="M559"/>
      <c r="N559"/>
      <c r="O559"/>
      <c r="P559"/>
      <c r="Q559"/>
      <c r="R559"/>
      <c r="S559"/>
      <c r="T559"/>
      <c r="U559"/>
      <c r="V559" s="8">
        <f>Table1[[#This Row],[Balls Scored From Trench]]+Table1[[#This Row],[Balls Scored from Mid]]+Table1[[#This Row],[Balls Scored From Alliance zone]]</f>
        <v>0</v>
      </c>
      <c r="W559" s="8">
        <f>Table1[[#This Row],[balls scored high]]+Table1[[#This Row],[balls scored low]]</f>
        <v>0</v>
      </c>
      <c r="X559" s="8">
        <f>Table1[[#This Row],[Control Panel Spun Time]]+Table1[[#This Row],[Control Panel Color Time]]</f>
        <v>0</v>
      </c>
      <c r="Y559" s="8">
        <f>Table1[[#This Row],[Control Panels Spun]]+Table1[[#This Row],[Control Panel Color]]</f>
        <v>0</v>
      </c>
      <c r="Z55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59"/>
      <c r="AB559"/>
      <c r="AC559"/>
      <c r="AD559"/>
      <c r="AE559"/>
      <c r="AF559"/>
      <c r="AG559"/>
      <c r="AH559"/>
      <c r="AI559"/>
      <c r="AJ559"/>
      <c r="AK559" s="17">
        <f>(Table1[[#This Row],[Climbed]]*weighting!$B$18)+(Table1[[#This Row],[Adjustable Climber]]*weighting!$B$19)+(Table1[[#This Row],[Lift other Robot]]*weighting!$B$20)+(Table1[[#This Row],[Balanced]]*weighting!$B$21)</f>
        <v>0</v>
      </c>
      <c r="AL559" s="8">
        <f>+Table1[[#This Row],[Endgame our score]]+Table1[[#This Row],[teleop our score]]+Table1[[#This Row],[auton our score]]</f>
        <v>0</v>
      </c>
      <c r="AM559" s="20">
        <f t="shared" si="24"/>
        <v>0</v>
      </c>
      <c r="AN559" s="20">
        <f t="shared" si="25"/>
        <v>0</v>
      </c>
      <c r="AO559" s="20">
        <f t="shared" si="26"/>
        <v>0</v>
      </c>
      <c r="AP559" s="20">
        <f>Table1[[#This Row],[balls scored]]+Table1[[#This Row],[auton balls scored]]</f>
        <v>0</v>
      </c>
      <c r="AQ559" s="20">
        <f>Table1[[#This Row],[balls scored high]]+Table1[[#This Row],[Auton Scored High]]</f>
        <v>0</v>
      </c>
      <c r="AR559" s="20">
        <f>Table1[[#This Row],[balls scored low]]+Table1[[#This Row],[Auton Scored Low]]</f>
        <v>0</v>
      </c>
      <c r="AS559" s="50">
        <f>IF(Table1[[#This Row],[Control Panel Spun Time]]&gt;0,1,0)</f>
        <v>0</v>
      </c>
      <c r="AT559" s="20">
        <f>IF(Table1[[#This Row],[Control Panel Color Time]]&gt;0,1,0)</f>
        <v>0</v>
      </c>
    </row>
    <row r="560" spans="1:46" x14ac:dyDescent="0.25">
      <c r="A560"/>
      <c r="I560" s="8">
        <f>+Table1[[#This Row],[Auton ball picked up in our trench]]+Table1[[#This Row],[Auton Balls Picked Up in Mid]]+Table1[[#This Row],[Auton Balls Picked Up In Their Trench]]</f>
        <v>0</v>
      </c>
      <c r="J560" s="8">
        <f>+Table1[[#This Row],[Auton Scored High]]+Table1[[#This Row],[Auton Scored Low]]</f>
        <v>0</v>
      </c>
      <c r="K56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60" s="8">
        <f>Table1[[#This Row],[Balls Scored From Trench]]+Table1[[#This Row],[Balls Scored from Mid]]+Table1[[#This Row],[Balls Scored From Alliance zone]]</f>
        <v>0</v>
      </c>
      <c r="W560" s="8">
        <f>Table1[[#This Row],[balls scored high]]+Table1[[#This Row],[balls scored low]]</f>
        <v>0</v>
      </c>
      <c r="X560" s="8">
        <f>Table1[[#This Row],[Control Panel Spun Time]]+Table1[[#This Row],[Control Panel Color Time]]</f>
        <v>0</v>
      </c>
      <c r="Y560" s="8">
        <f>Table1[[#This Row],[Control Panels Spun]]+Table1[[#This Row],[Control Panel Color]]</f>
        <v>0</v>
      </c>
      <c r="Z56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60" s="17">
        <f>(Table1[[#This Row],[Climbed]]*weighting!$B$18)+(Table1[[#This Row],[Adjustable Climber]]*weighting!$B$19)+(Table1[[#This Row],[Lift other Robot]]*weighting!$B$20)+(Table1[[#This Row],[Balanced]]*weighting!$B$21)</f>
        <v>0</v>
      </c>
      <c r="AL560" s="8">
        <f>+Table1[[#This Row],[Endgame our score]]+Table1[[#This Row],[teleop our score]]+Table1[[#This Row],[auton our score]]</f>
        <v>0</v>
      </c>
      <c r="AM560" s="20">
        <f t="shared" si="24"/>
        <v>0</v>
      </c>
      <c r="AN560" s="20">
        <f t="shared" si="25"/>
        <v>0</v>
      </c>
      <c r="AO560" s="20">
        <f t="shared" si="26"/>
        <v>0</v>
      </c>
      <c r="AP560" s="20">
        <f>Table1[[#This Row],[balls scored]]+Table1[[#This Row],[auton balls scored]]</f>
        <v>0</v>
      </c>
      <c r="AQ560" s="20">
        <f>Table1[[#This Row],[balls scored high]]+Table1[[#This Row],[Auton Scored High]]</f>
        <v>0</v>
      </c>
      <c r="AR560" s="20">
        <f>Table1[[#This Row],[balls scored low]]+Table1[[#This Row],[Auton Scored Low]]</f>
        <v>0</v>
      </c>
      <c r="AS560" s="50">
        <f>IF(Table1[[#This Row],[Control Panel Spun Time]]&gt;0,1,0)</f>
        <v>0</v>
      </c>
      <c r="AT560" s="20">
        <f>IF(Table1[[#This Row],[Control Panel Color Time]]&gt;0,1,0)</f>
        <v>0</v>
      </c>
    </row>
    <row r="561" spans="1:46" s="2" customFormat="1" x14ac:dyDescent="0.25">
      <c r="A561"/>
      <c r="B561"/>
      <c r="C561"/>
      <c r="D561"/>
      <c r="E561"/>
      <c r="F561"/>
      <c r="G561"/>
      <c r="H561"/>
      <c r="I561" s="8">
        <f>+Table1[[#This Row],[Auton ball picked up in our trench]]+Table1[[#This Row],[Auton Balls Picked Up in Mid]]+Table1[[#This Row],[Auton Balls Picked Up In Their Trench]]</f>
        <v>0</v>
      </c>
      <c r="J561" s="8">
        <f>+Table1[[#This Row],[Auton Scored High]]+Table1[[#This Row],[Auton Scored Low]]</f>
        <v>0</v>
      </c>
      <c r="K56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61"/>
      <c r="M561"/>
      <c r="N561"/>
      <c r="O561"/>
      <c r="P561"/>
      <c r="Q561"/>
      <c r="R561"/>
      <c r="S561"/>
      <c r="T561"/>
      <c r="U561"/>
      <c r="V561" s="8">
        <f>Table1[[#This Row],[Balls Scored From Trench]]+Table1[[#This Row],[Balls Scored from Mid]]+Table1[[#This Row],[Balls Scored From Alliance zone]]</f>
        <v>0</v>
      </c>
      <c r="W561" s="8">
        <f>Table1[[#This Row],[balls scored high]]+Table1[[#This Row],[balls scored low]]</f>
        <v>0</v>
      </c>
      <c r="X561" s="8">
        <f>Table1[[#This Row],[Control Panel Spun Time]]+Table1[[#This Row],[Control Panel Color Time]]</f>
        <v>0</v>
      </c>
      <c r="Y561" s="8">
        <f>Table1[[#This Row],[Control Panels Spun]]+Table1[[#This Row],[Control Panel Color]]</f>
        <v>0</v>
      </c>
      <c r="Z56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61"/>
      <c r="AB561"/>
      <c r="AC561"/>
      <c r="AD561"/>
      <c r="AE561"/>
      <c r="AF561"/>
      <c r="AG561"/>
      <c r="AH561"/>
      <c r="AI561"/>
      <c r="AJ561"/>
      <c r="AK561" s="17">
        <f>(Table1[[#This Row],[Climbed]]*weighting!$B$18)+(Table1[[#This Row],[Adjustable Climber]]*weighting!$B$19)+(Table1[[#This Row],[Lift other Robot]]*weighting!$B$20)+(Table1[[#This Row],[Balanced]]*weighting!$B$21)</f>
        <v>0</v>
      </c>
      <c r="AL561" s="8">
        <f>+Table1[[#This Row],[Endgame our score]]+Table1[[#This Row],[teleop our score]]+Table1[[#This Row],[auton our score]]</f>
        <v>0</v>
      </c>
      <c r="AM561" s="20">
        <f t="shared" si="24"/>
        <v>0</v>
      </c>
      <c r="AN561" s="20">
        <f t="shared" si="25"/>
        <v>0</v>
      </c>
      <c r="AO561" s="20">
        <f t="shared" si="26"/>
        <v>0</v>
      </c>
      <c r="AP561" s="20">
        <f>Table1[[#This Row],[balls scored]]+Table1[[#This Row],[auton balls scored]]</f>
        <v>0</v>
      </c>
      <c r="AQ561" s="20">
        <f>Table1[[#This Row],[balls scored high]]+Table1[[#This Row],[Auton Scored High]]</f>
        <v>0</v>
      </c>
      <c r="AR561" s="20">
        <f>Table1[[#This Row],[balls scored low]]+Table1[[#This Row],[Auton Scored Low]]</f>
        <v>0</v>
      </c>
      <c r="AS561" s="50">
        <f>IF(Table1[[#This Row],[Control Panel Spun Time]]&gt;0,1,0)</f>
        <v>0</v>
      </c>
      <c r="AT561" s="20">
        <f>IF(Table1[[#This Row],[Control Panel Color Time]]&gt;0,1,0)</f>
        <v>0</v>
      </c>
    </row>
    <row r="562" spans="1:46" x14ac:dyDescent="0.25">
      <c r="A562"/>
      <c r="I562" s="8">
        <f>+Table1[[#This Row],[Auton ball picked up in our trench]]+Table1[[#This Row],[Auton Balls Picked Up in Mid]]+Table1[[#This Row],[Auton Balls Picked Up In Their Trench]]</f>
        <v>0</v>
      </c>
      <c r="J562" s="8">
        <f>+Table1[[#This Row],[Auton Scored High]]+Table1[[#This Row],[Auton Scored Low]]</f>
        <v>0</v>
      </c>
      <c r="K56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62" s="8">
        <f>Table1[[#This Row],[Balls Scored From Trench]]+Table1[[#This Row],[Balls Scored from Mid]]+Table1[[#This Row],[Balls Scored From Alliance zone]]</f>
        <v>0</v>
      </c>
      <c r="W562" s="8">
        <f>Table1[[#This Row],[balls scored high]]+Table1[[#This Row],[balls scored low]]</f>
        <v>0</v>
      </c>
      <c r="X562" s="8">
        <f>Table1[[#This Row],[Control Panel Spun Time]]+Table1[[#This Row],[Control Panel Color Time]]</f>
        <v>0</v>
      </c>
      <c r="Y562" s="8">
        <f>Table1[[#This Row],[Control Panels Spun]]+Table1[[#This Row],[Control Panel Color]]</f>
        <v>0</v>
      </c>
      <c r="Z56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62" s="17">
        <f>(Table1[[#This Row],[Climbed]]*weighting!$B$18)+(Table1[[#This Row],[Adjustable Climber]]*weighting!$B$19)+(Table1[[#This Row],[Lift other Robot]]*weighting!$B$20)+(Table1[[#This Row],[Balanced]]*weighting!$B$21)</f>
        <v>0</v>
      </c>
      <c r="AL562" s="8">
        <f>+Table1[[#This Row],[Endgame our score]]+Table1[[#This Row],[teleop our score]]+Table1[[#This Row],[auton our score]]</f>
        <v>0</v>
      </c>
      <c r="AM562" s="20">
        <f t="shared" si="24"/>
        <v>0</v>
      </c>
      <c r="AN562" s="20">
        <f t="shared" si="25"/>
        <v>0</v>
      </c>
      <c r="AO562" s="20">
        <f t="shared" si="26"/>
        <v>0</v>
      </c>
      <c r="AP562" s="20">
        <f>Table1[[#This Row],[balls scored]]+Table1[[#This Row],[auton balls scored]]</f>
        <v>0</v>
      </c>
      <c r="AQ562" s="20">
        <f>Table1[[#This Row],[balls scored high]]+Table1[[#This Row],[Auton Scored High]]</f>
        <v>0</v>
      </c>
      <c r="AR562" s="20">
        <f>Table1[[#This Row],[balls scored low]]+Table1[[#This Row],[Auton Scored Low]]</f>
        <v>0</v>
      </c>
      <c r="AS562" s="50">
        <f>IF(Table1[[#This Row],[Control Panel Spun Time]]&gt;0,1,0)</f>
        <v>0</v>
      </c>
      <c r="AT562" s="20">
        <f>IF(Table1[[#This Row],[Control Panel Color Time]]&gt;0,1,0)</f>
        <v>0</v>
      </c>
    </row>
    <row r="563" spans="1:46" s="2" customFormat="1" x14ac:dyDescent="0.25">
      <c r="A563"/>
      <c r="B563"/>
      <c r="C563"/>
      <c r="D563"/>
      <c r="E563"/>
      <c r="F563"/>
      <c r="G563"/>
      <c r="H563"/>
      <c r="I563" s="8">
        <f>+Table1[[#This Row],[Auton ball picked up in our trench]]+Table1[[#This Row],[Auton Balls Picked Up in Mid]]+Table1[[#This Row],[Auton Balls Picked Up In Their Trench]]</f>
        <v>0</v>
      </c>
      <c r="J563" s="8">
        <f>+Table1[[#This Row],[Auton Scored High]]+Table1[[#This Row],[Auton Scored Low]]</f>
        <v>0</v>
      </c>
      <c r="K56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63"/>
      <c r="M563"/>
      <c r="N563"/>
      <c r="O563"/>
      <c r="P563"/>
      <c r="Q563"/>
      <c r="R563"/>
      <c r="S563"/>
      <c r="T563"/>
      <c r="U563"/>
      <c r="V563" s="8">
        <f>Table1[[#This Row],[Balls Scored From Trench]]+Table1[[#This Row],[Balls Scored from Mid]]+Table1[[#This Row],[Balls Scored From Alliance zone]]</f>
        <v>0</v>
      </c>
      <c r="W563" s="8">
        <f>Table1[[#This Row],[balls scored high]]+Table1[[#This Row],[balls scored low]]</f>
        <v>0</v>
      </c>
      <c r="X563" s="8">
        <f>Table1[[#This Row],[Control Panel Spun Time]]+Table1[[#This Row],[Control Panel Color Time]]</f>
        <v>0</v>
      </c>
      <c r="Y563" s="8">
        <f>Table1[[#This Row],[Control Panels Spun]]+Table1[[#This Row],[Control Panel Color]]</f>
        <v>0</v>
      </c>
      <c r="Z56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63"/>
      <c r="AB563"/>
      <c r="AC563"/>
      <c r="AD563"/>
      <c r="AE563"/>
      <c r="AF563"/>
      <c r="AG563"/>
      <c r="AH563"/>
      <c r="AI563"/>
      <c r="AJ563"/>
      <c r="AK563" s="17">
        <f>(Table1[[#This Row],[Climbed]]*weighting!$B$18)+(Table1[[#This Row],[Adjustable Climber]]*weighting!$B$19)+(Table1[[#This Row],[Lift other Robot]]*weighting!$B$20)+(Table1[[#This Row],[Balanced]]*weighting!$B$21)</f>
        <v>0</v>
      </c>
      <c r="AL563" s="8">
        <f>+Table1[[#This Row],[Endgame our score]]+Table1[[#This Row],[teleop our score]]+Table1[[#This Row],[auton our score]]</f>
        <v>0</v>
      </c>
      <c r="AM563" s="20">
        <f t="shared" si="24"/>
        <v>0</v>
      </c>
      <c r="AN563" s="20">
        <f t="shared" si="25"/>
        <v>0</v>
      </c>
      <c r="AO563" s="20">
        <f t="shared" si="26"/>
        <v>0</v>
      </c>
      <c r="AP563" s="20">
        <f>Table1[[#This Row],[balls scored]]+Table1[[#This Row],[auton balls scored]]</f>
        <v>0</v>
      </c>
      <c r="AQ563" s="20">
        <f>Table1[[#This Row],[balls scored high]]+Table1[[#This Row],[Auton Scored High]]</f>
        <v>0</v>
      </c>
      <c r="AR563" s="20">
        <f>Table1[[#This Row],[balls scored low]]+Table1[[#This Row],[Auton Scored Low]]</f>
        <v>0</v>
      </c>
      <c r="AS563" s="50">
        <f>IF(Table1[[#This Row],[Control Panel Spun Time]]&gt;0,1,0)</f>
        <v>0</v>
      </c>
      <c r="AT563" s="20">
        <f>IF(Table1[[#This Row],[Control Panel Color Time]]&gt;0,1,0)</f>
        <v>0</v>
      </c>
    </row>
    <row r="564" spans="1:46" x14ac:dyDescent="0.25">
      <c r="A564"/>
      <c r="I564" s="8">
        <f>+Table1[[#This Row],[Auton ball picked up in our trench]]+Table1[[#This Row],[Auton Balls Picked Up in Mid]]+Table1[[#This Row],[Auton Balls Picked Up In Their Trench]]</f>
        <v>0</v>
      </c>
      <c r="J564" s="8">
        <f>+Table1[[#This Row],[Auton Scored High]]+Table1[[#This Row],[Auton Scored Low]]</f>
        <v>0</v>
      </c>
      <c r="K56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64" s="8">
        <f>Table1[[#This Row],[Balls Scored From Trench]]+Table1[[#This Row],[Balls Scored from Mid]]+Table1[[#This Row],[Balls Scored From Alliance zone]]</f>
        <v>0</v>
      </c>
      <c r="W564" s="8">
        <f>Table1[[#This Row],[balls scored high]]+Table1[[#This Row],[balls scored low]]</f>
        <v>0</v>
      </c>
      <c r="X564" s="8">
        <f>Table1[[#This Row],[Control Panel Spun Time]]+Table1[[#This Row],[Control Panel Color Time]]</f>
        <v>0</v>
      </c>
      <c r="Y564" s="8">
        <f>Table1[[#This Row],[Control Panels Spun]]+Table1[[#This Row],[Control Panel Color]]</f>
        <v>0</v>
      </c>
      <c r="Z56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64" s="17">
        <f>(Table1[[#This Row],[Climbed]]*weighting!$B$18)+(Table1[[#This Row],[Adjustable Climber]]*weighting!$B$19)+(Table1[[#This Row],[Lift other Robot]]*weighting!$B$20)+(Table1[[#This Row],[Balanced]]*weighting!$B$21)</f>
        <v>0</v>
      </c>
      <c r="AL564" s="8">
        <f>+Table1[[#This Row],[Endgame our score]]+Table1[[#This Row],[teleop our score]]+Table1[[#This Row],[auton our score]]</f>
        <v>0</v>
      </c>
      <c r="AM564" s="20">
        <f t="shared" si="24"/>
        <v>0</v>
      </c>
      <c r="AN564" s="20">
        <f t="shared" si="25"/>
        <v>0</v>
      </c>
      <c r="AO564" s="20">
        <f t="shared" si="26"/>
        <v>0</v>
      </c>
      <c r="AP564" s="20">
        <f>Table1[[#This Row],[balls scored]]+Table1[[#This Row],[auton balls scored]]</f>
        <v>0</v>
      </c>
      <c r="AQ564" s="20">
        <f>Table1[[#This Row],[balls scored high]]+Table1[[#This Row],[Auton Scored High]]</f>
        <v>0</v>
      </c>
      <c r="AR564" s="20">
        <f>Table1[[#This Row],[balls scored low]]+Table1[[#This Row],[Auton Scored Low]]</f>
        <v>0</v>
      </c>
      <c r="AS564" s="50">
        <f>IF(Table1[[#This Row],[Control Panel Spun Time]]&gt;0,1,0)</f>
        <v>0</v>
      </c>
      <c r="AT564" s="20">
        <f>IF(Table1[[#This Row],[Control Panel Color Time]]&gt;0,1,0)</f>
        <v>0</v>
      </c>
    </row>
    <row r="565" spans="1:46" s="2" customFormat="1" x14ac:dyDescent="0.25">
      <c r="A565"/>
      <c r="B565"/>
      <c r="C565"/>
      <c r="D565"/>
      <c r="E565"/>
      <c r="F565"/>
      <c r="G565"/>
      <c r="H565"/>
      <c r="I565" s="8">
        <f>+Table1[[#This Row],[Auton ball picked up in our trench]]+Table1[[#This Row],[Auton Balls Picked Up in Mid]]+Table1[[#This Row],[Auton Balls Picked Up In Their Trench]]</f>
        <v>0</v>
      </c>
      <c r="J565" s="8">
        <f>+Table1[[#This Row],[Auton Scored High]]+Table1[[#This Row],[Auton Scored Low]]</f>
        <v>0</v>
      </c>
      <c r="K56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65"/>
      <c r="M565"/>
      <c r="N565"/>
      <c r="O565"/>
      <c r="P565"/>
      <c r="Q565"/>
      <c r="R565"/>
      <c r="S565"/>
      <c r="T565"/>
      <c r="U565"/>
      <c r="V565" s="8">
        <f>Table1[[#This Row],[Balls Scored From Trench]]+Table1[[#This Row],[Balls Scored from Mid]]+Table1[[#This Row],[Balls Scored From Alliance zone]]</f>
        <v>0</v>
      </c>
      <c r="W565" s="8">
        <f>Table1[[#This Row],[balls scored high]]+Table1[[#This Row],[balls scored low]]</f>
        <v>0</v>
      </c>
      <c r="X565" s="8">
        <f>Table1[[#This Row],[Control Panel Spun Time]]+Table1[[#This Row],[Control Panel Color Time]]</f>
        <v>0</v>
      </c>
      <c r="Y565" s="8">
        <f>Table1[[#This Row],[Control Panels Spun]]+Table1[[#This Row],[Control Panel Color]]</f>
        <v>0</v>
      </c>
      <c r="Z56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65"/>
      <c r="AB565"/>
      <c r="AC565"/>
      <c r="AD565"/>
      <c r="AE565"/>
      <c r="AF565"/>
      <c r="AG565"/>
      <c r="AH565"/>
      <c r="AI565"/>
      <c r="AJ565"/>
      <c r="AK565" s="17">
        <f>(Table1[[#This Row],[Climbed]]*weighting!$B$18)+(Table1[[#This Row],[Adjustable Climber]]*weighting!$B$19)+(Table1[[#This Row],[Lift other Robot]]*weighting!$B$20)+(Table1[[#This Row],[Balanced]]*weighting!$B$21)</f>
        <v>0</v>
      </c>
      <c r="AL565" s="8">
        <f>+Table1[[#This Row],[Endgame our score]]+Table1[[#This Row],[teleop our score]]+Table1[[#This Row],[auton our score]]</f>
        <v>0</v>
      </c>
      <c r="AM565" s="20">
        <f t="shared" si="24"/>
        <v>0</v>
      </c>
      <c r="AN565" s="20">
        <f t="shared" si="25"/>
        <v>0</v>
      </c>
      <c r="AO565" s="20">
        <f t="shared" si="26"/>
        <v>0</v>
      </c>
      <c r="AP565" s="20">
        <f>Table1[[#This Row],[balls scored]]+Table1[[#This Row],[auton balls scored]]</f>
        <v>0</v>
      </c>
      <c r="AQ565" s="20">
        <f>Table1[[#This Row],[balls scored high]]+Table1[[#This Row],[Auton Scored High]]</f>
        <v>0</v>
      </c>
      <c r="AR565" s="20">
        <f>Table1[[#This Row],[balls scored low]]+Table1[[#This Row],[Auton Scored Low]]</f>
        <v>0</v>
      </c>
      <c r="AS565" s="50">
        <f>IF(Table1[[#This Row],[Control Panel Spun Time]]&gt;0,1,0)</f>
        <v>0</v>
      </c>
      <c r="AT565" s="20">
        <f>IF(Table1[[#This Row],[Control Panel Color Time]]&gt;0,1,0)</f>
        <v>0</v>
      </c>
    </row>
    <row r="566" spans="1:46" x14ac:dyDescent="0.25">
      <c r="A566"/>
      <c r="I566" s="8">
        <f>+Table1[[#This Row],[Auton ball picked up in our trench]]+Table1[[#This Row],[Auton Balls Picked Up in Mid]]+Table1[[#This Row],[Auton Balls Picked Up In Their Trench]]</f>
        <v>0</v>
      </c>
      <c r="J566" s="8">
        <f>+Table1[[#This Row],[Auton Scored High]]+Table1[[#This Row],[Auton Scored Low]]</f>
        <v>0</v>
      </c>
      <c r="K56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66" s="8">
        <f>Table1[[#This Row],[Balls Scored From Trench]]+Table1[[#This Row],[Balls Scored from Mid]]+Table1[[#This Row],[Balls Scored From Alliance zone]]</f>
        <v>0</v>
      </c>
      <c r="W566" s="8">
        <f>Table1[[#This Row],[balls scored high]]+Table1[[#This Row],[balls scored low]]</f>
        <v>0</v>
      </c>
      <c r="X566" s="8">
        <f>Table1[[#This Row],[Control Panel Spun Time]]+Table1[[#This Row],[Control Panel Color Time]]</f>
        <v>0</v>
      </c>
      <c r="Y566" s="8">
        <f>Table1[[#This Row],[Control Panels Spun]]+Table1[[#This Row],[Control Panel Color]]</f>
        <v>0</v>
      </c>
      <c r="Z56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66" s="17">
        <f>(Table1[[#This Row],[Climbed]]*weighting!$B$18)+(Table1[[#This Row],[Adjustable Climber]]*weighting!$B$19)+(Table1[[#This Row],[Lift other Robot]]*weighting!$B$20)+(Table1[[#This Row],[Balanced]]*weighting!$B$21)</f>
        <v>0</v>
      </c>
      <c r="AL566" s="8">
        <f>+Table1[[#This Row],[Endgame our score]]+Table1[[#This Row],[teleop our score]]+Table1[[#This Row],[auton our score]]</f>
        <v>0</v>
      </c>
      <c r="AM566" s="20">
        <f t="shared" si="24"/>
        <v>0</v>
      </c>
      <c r="AN566" s="20">
        <f t="shared" si="25"/>
        <v>0</v>
      </c>
      <c r="AO566" s="20">
        <f t="shared" si="26"/>
        <v>0</v>
      </c>
      <c r="AP566" s="20">
        <f>Table1[[#This Row],[balls scored]]+Table1[[#This Row],[auton balls scored]]</f>
        <v>0</v>
      </c>
      <c r="AQ566" s="20">
        <f>Table1[[#This Row],[balls scored high]]+Table1[[#This Row],[Auton Scored High]]</f>
        <v>0</v>
      </c>
      <c r="AR566" s="20">
        <f>Table1[[#This Row],[balls scored low]]+Table1[[#This Row],[Auton Scored Low]]</f>
        <v>0</v>
      </c>
      <c r="AS566" s="50">
        <f>IF(Table1[[#This Row],[Control Panel Spun Time]]&gt;0,1,0)</f>
        <v>0</v>
      </c>
      <c r="AT566" s="20">
        <f>IF(Table1[[#This Row],[Control Panel Color Time]]&gt;0,1,0)</f>
        <v>0</v>
      </c>
    </row>
    <row r="567" spans="1:46" s="2" customFormat="1" x14ac:dyDescent="0.25">
      <c r="A567"/>
      <c r="B567"/>
      <c r="C567"/>
      <c r="D567"/>
      <c r="E567"/>
      <c r="F567"/>
      <c r="G567"/>
      <c r="H567"/>
      <c r="I567" s="8">
        <f>+Table1[[#This Row],[Auton ball picked up in our trench]]+Table1[[#This Row],[Auton Balls Picked Up in Mid]]+Table1[[#This Row],[Auton Balls Picked Up In Their Trench]]</f>
        <v>0</v>
      </c>
      <c r="J567" s="8">
        <f>+Table1[[#This Row],[Auton Scored High]]+Table1[[#This Row],[Auton Scored Low]]</f>
        <v>0</v>
      </c>
      <c r="K56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67"/>
      <c r="M567"/>
      <c r="N567"/>
      <c r="O567"/>
      <c r="P567"/>
      <c r="Q567"/>
      <c r="R567"/>
      <c r="S567"/>
      <c r="T567"/>
      <c r="U567"/>
      <c r="V567" s="8">
        <f>Table1[[#This Row],[Balls Scored From Trench]]+Table1[[#This Row],[Balls Scored from Mid]]+Table1[[#This Row],[Balls Scored From Alliance zone]]</f>
        <v>0</v>
      </c>
      <c r="W567" s="8">
        <f>Table1[[#This Row],[balls scored high]]+Table1[[#This Row],[balls scored low]]</f>
        <v>0</v>
      </c>
      <c r="X567" s="8">
        <f>Table1[[#This Row],[Control Panel Spun Time]]+Table1[[#This Row],[Control Panel Color Time]]</f>
        <v>0</v>
      </c>
      <c r="Y567" s="8">
        <f>Table1[[#This Row],[Control Panels Spun]]+Table1[[#This Row],[Control Panel Color]]</f>
        <v>0</v>
      </c>
      <c r="Z56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67"/>
      <c r="AB567"/>
      <c r="AC567"/>
      <c r="AD567"/>
      <c r="AE567"/>
      <c r="AF567"/>
      <c r="AG567"/>
      <c r="AH567"/>
      <c r="AI567"/>
      <c r="AJ567"/>
      <c r="AK567" s="17">
        <f>(Table1[[#This Row],[Climbed]]*weighting!$B$18)+(Table1[[#This Row],[Adjustable Climber]]*weighting!$B$19)+(Table1[[#This Row],[Lift other Robot]]*weighting!$B$20)+(Table1[[#This Row],[Balanced]]*weighting!$B$21)</f>
        <v>0</v>
      </c>
      <c r="AL567" s="8">
        <f>+Table1[[#This Row],[Endgame our score]]+Table1[[#This Row],[teleop our score]]+Table1[[#This Row],[auton our score]]</f>
        <v>0</v>
      </c>
      <c r="AM567" s="20">
        <f t="shared" si="24"/>
        <v>0</v>
      </c>
      <c r="AN567" s="20">
        <f t="shared" si="25"/>
        <v>0</v>
      </c>
      <c r="AO567" s="20">
        <f t="shared" si="26"/>
        <v>0</v>
      </c>
      <c r="AP567" s="20">
        <f>Table1[[#This Row],[balls scored]]+Table1[[#This Row],[auton balls scored]]</f>
        <v>0</v>
      </c>
      <c r="AQ567" s="20">
        <f>Table1[[#This Row],[balls scored high]]+Table1[[#This Row],[Auton Scored High]]</f>
        <v>0</v>
      </c>
      <c r="AR567" s="20">
        <f>Table1[[#This Row],[balls scored low]]+Table1[[#This Row],[Auton Scored Low]]</f>
        <v>0</v>
      </c>
      <c r="AS567" s="50">
        <f>IF(Table1[[#This Row],[Control Panel Spun Time]]&gt;0,1,0)</f>
        <v>0</v>
      </c>
      <c r="AT567" s="20">
        <f>IF(Table1[[#This Row],[Control Panel Color Time]]&gt;0,1,0)</f>
        <v>0</v>
      </c>
    </row>
    <row r="568" spans="1:46" x14ac:dyDescent="0.25">
      <c r="A568"/>
      <c r="I568" s="8">
        <f>+Table1[[#This Row],[Auton ball picked up in our trench]]+Table1[[#This Row],[Auton Balls Picked Up in Mid]]+Table1[[#This Row],[Auton Balls Picked Up In Their Trench]]</f>
        <v>0</v>
      </c>
      <c r="J568" s="8">
        <f>+Table1[[#This Row],[Auton Scored High]]+Table1[[#This Row],[Auton Scored Low]]</f>
        <v>0</v>
      </c>
      <c r="K56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68" s="8">
        <f>Table1[[#This Row],[Balls Scored From Trench]]+Table1[[#This Row],[Balls Scored from Mid]]+Table1[[#This Row],[Balls Scored From Alliance zone]]</f>
        <v>0</v>
      </c>
      <c r="W568" s="8">
        <f>Table1[[#This Row],[balls scored high]]+Table1[[#This Row],[balls scored low]]</f>
        <v>0</v>
      </c>
      <c r="X568" s="8">
        <f>Table1[[#This Row],[Control Panel Spun Time]]+Table1[[#This Row],[Control Panel Color Time]]</f>
        <v>0</v>
      </c>
      <c r="Y568" s="8">
        <f>Table1[[#This Row],[Control Panels Spun]]+Table1[[#This Row],[Control Panel Color]]</f>
        <v>0</v>
      </c>
      <c r="Z56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68" s="17">
        <f>(Table1[[#This Row],[Climbed]]*weighting!$B$18)+(Table1[[#This Row],[Adjustable Climber]]*weighting!$B$19)+(Table1[[#This Row],[Lift other Robot]]*weighting!$B$20)+(Table1[[#This Row],[Balanced]]*weighting!$B$21)</f>
        <v>0</v>
      </c>
      <c r="AL568" s="8">
        <f>+Table1[[#This Row],[Endgame our score]]+Table1[[#This Row],[teleop our score]]+Table1[[#This Row],[auton our score]]</f>
        <v>0</v>
      </c>
      <c r="AM568" s="20">
        <f t="shared" si="24"/>
        <v>0</v>
      </c>
      <c r="AN568" s="20">
        <f t="shared" si="25"/>
        <v>0</v>
      </c>
      <c r="AO568" s="20">
        <f t="shared" si="26"/>
        <v>0</v>
      </c>
      <c r="AP568" s="20">
        <f>Table1[[#This Row],[balls scored]]+Table1[[#This Row],[auton balls scored]]</f>
        <v>0</v>
      </c>
      <c r="AQ568" s="20">
        <f>Table1[[#This Row],[balls scored high]]+Table1[[#This Row],[Auton Scored High]]</f>
        <v>0</v>
      </c>
      <c r="AR568" s="20">
        <f>Table1[[#This Row],[balls scored low]]+Table1[[#This Row],[Auton Scored Low]]</f>
        <v>0</v>
      </c>
      <c r="AS568" s="50">
        <f>IF(Table1[[#This Row],[Control Panel Spun Time]]&gt;0,1,0)</f>
        <v>0</v>
      </c>
      <c r="AT568" s="20">
        <f>IF(Table1[[#This Row],[Control Panel Color Time]]&gt;0,1,0)</f>
        <v>0</v>
      </c>
    </row>
    <row r="569" spans="1:46" s="2" customFormat="1" x14ac:dyDescent="0.25">
      <c r="A569"/>
      <c r="B569"/>
      <c r="C569"/>
      <c r="D569"/>
      <c r="E569"/>
      <c r="F569"/>
      <c r="G569"/>
      <c r="H569"/>
      <c r="I569" s="8">
        <f>+Table1[[#This Row],[Auton ball picked up in our trench]]+Table1[[#This Row],[Auton Balls Picked Up in Mid]]+Table1[[#This Row],[Auton Balls Picked Up In Their Trench]]</f>
        <v>0</v>
      </c>
      <c r="J569" s="8">
        <f>+Table1[[#This Row],[Auton Scored High]]+Table1[[#This Row],[Auton Scored Low]]</f>
        <v>0</v>
      </c>
      <c r="K56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69"/>
      <c r="M569"/>
      <c r="N569"/>
      <c r="O569"/>
      <c r="P569"/>
      <c r="Q569"/>
      <c r="R569"/>
      <c r="S569"/>
      <c r="T569"/>
      <c r="U569"/>
      <c r="V569" s="8">
        <f>Table1[[#This Row],[Balls Scored From Trench]]+Table1[[#This Row],[Balls Scored from Mid]]+Table1[[#This Row],[Balls Scored From Alliance zone]]</f>
        <v>0</v>
      </c>
      <c r="W569" s="8">
        <f>Table1[[#This Row],[balls scored high]]+Table1[[#This Row],[balls scored low]]</f>
        <v>0</v>
      </c>
      <c r="X569" s="8">
        <f>Table1[[#This Row],[Control Panel Spun Time]]+Table1[[#This Row],[Control Panel Color Time]]</f>
        <v>0</v>
      </c>
      <c r="Y569" s="8">
        <f>Table1[[#This Row],[Control Panels Spun]]+Table1[[#This Row],[Control Panel Color]]</f>
        <v>0</v>
      </c>
      <c r="Z56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69"/>
      <c r="AB569"/>
      <c r="AC569"/>
      <c r="AD569"/>
      <c r="AE569"/>
      <c r="AF569"/>
      <c r="AG569"/>
      <c r="AH569"/>
      <c r="AI569"/>
      <c r="AJ569"/>
      <c r="AK569" s="17">
        <f>(Table1[[#This Row],[Climbed]]*weighting!$B$18)+(Table1[[#This Row],[Adjustable Climber]]*weighting!$B$19)+(Table1[[#This Row],[Lift other Robot]]*weighting!$B$20)+(Table1[[#This Row],[Balanced]]*weighting!$B$21)</f>
        <v>0</v>
      </c>
      <c r="AL569" s="8">
        <f>+Table1[[#This Row],[Endgame our score]]+Table1[[#This Row],[teleop our score]]+Table1[[#This Row],[auton our score]]</f>
        <v>0</v>
      </c>
      <c r="AM569" s="20">
        <f t="shared" si="24"/>
        <v>0</v>
      </c>
      <c r="AN569" s="20">
        <f t="shared" si="25"/>
        <v>0</v>
      </c>
      <c r="AO569" s="20">
        <f t="shared" si="26"/>
        <v>0</v>
      </c>
      <c r="AP569" s="20">
        <f>Table1[[#This Row],[balls scored]]+Table1[[#This Row],[auton balls scored]]</f>
        <v>0</v>
      </c>
      <c r="AQ569" s="20">
        <f>Table1[[#This Row],[balls scored high]]+Table1[[#This Row],[Auton Scored High]]</f>
        <v>0</v>
      </c>
      <c r="AR569" s="20">
        <f>Table1[[#This Row],[balls scored low]]+Table1[[#This Row],[Auton Scored Low]]</f>
        <v>0</v>
      </c>
      <c r="AS569" s="50">
        <f>IF(Table1[[#This Row],[Control Panel Spun Time]]&gt;0,1,0)</f>
        <v>0</v>
      </c>
      <c r="AT569" s="20">
        <f>IF(Table1[[#This Row],[Control Panel Color Time]]&gt;0,1,0)</f>
        <v>0</v>
      </c>
    </row>
    <row r="570" spans="1:46" x14ac:dyDescent="0.25">
      <c r="A570"/>
      <c r="I570" s="8">
        <f>+Table1[[#This Row],[Auton ball picked up in our trench]]+Table1[[#This Row],[Auton Balls Picked Up in Mid]]+Table1[[#This Row],[Auton Balls Picked Up In Their Trench]]</f>
        <v>0</v>
      </c>
      <c r="J570" s="8">
        <f>+Table1[[#This Row],[Auton Scored High]]+Table1[[#This Row],[Auton Scored Low]]</f>
        <v>0</v>
      </c>
      <c r="K57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70" s="8">
        <f>Table1[[#This Row],[Balls Scored From Trench]]+Table1[[#This Row],[Balls Scored from Mid]]+Table1[[#This Row],[Balls Scored From Alliance zone]]</f>
        <v>0</v>
      </c>
      <c r="W570" s="8">
        <f>Table1[[#This Row],[balls scored high]]+Table1[[#This Row],[balls scored low]]</f>
        <v>0</v>
      </c>
      <c r="X570" s="8">
        <f>Table1[[#This Row],[Control Panel Spun Time]]+Table1[[#This Row],[Control Panel Color Time]]</f>
        <v>0</v>
      </c>
      <c r="Y570" s="8">
        <f>Table1[[#This Row],[Control Panels Spun]]+Table1[[#This Row],[Control Panel Color]]</f>
        <v>0</v>
      </c>
      <c r="Z57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70" s="17">
        <f>(Table1[[#This Row],[Climbed]]*weighting!$B$18)+(Table1[[#This Row],[Adjustable Climber]]*weighting!$B$19)+(Table1[[#This Row],[Lift other Robot]]*weighting!$B$20)+(Table1[[#This Row],[Balanced]]*weighting!$B$21)</f>
        <v>0</v>
      </c>
      <c r="AL570" s="8">
        <f>+Table1[[#This Row],[Endgame our score]]+Table1[[#This Row],[teleop our score]]+Table1[[#This Row],[auton our score]]</f>
        <v>0</v>
      </c>
      <c r="AM570" s="20">
        <f t="shared" si="24"/>
        <v>0</v>
      </c>
      <c r="AN570" s="20">
        <f t="shared" si="25"/>
        <v>0</v>
      </c>
      <c r="AO570" s="20">
        <f t="shared" si="26"/>
        <v>0</v>
      </c>
      <c r="AP570" s="20">
        <f>Table1[[#This Row],[balls scored]]+Table1[[#This Row],[auton balls scored]]</f>
        <v>0</v>
      </c>
      <c r="AQ570" s="20">
        <f>Table1[[#This Row],[balls scored high]]+Table1[[#This Row],[Auton Scored High]]</f>
        <v>0</v>
      </c>
      <c r="AR570" s="20">
        <f>Table1[[#This Row],[balls scored low]]+Table1[[#This Row],[Auton Scored Low]]</f>
        <v>0</v>
      </c>
      <c r="AS570" s="50">
        <f>IF(Table1[[#This Row],[Control Panel Spun Time]]&gt;0,1,0)</f>
        <v>0</v>
      </c>
      <c r="AT570" s="20">
        <f>IF(Table1[[#This Row],[Control Panel Color Time]]&gt;0,1,0)</f>
        <v>0</v>
      </c>
    </row>
    <row r="571" spans="1:46" s="2" customFormat="1" x14ac:dyDescent="0.25">
      <c r="A571"/>
      <c r="B571"/>
      <c r="C571"/>
      <c r="D571"/>
      <c r="E571"/>
      <c r="F571"/>
      <c r="G571"/>
      <c r="H571"/>
      <c r="I571" s="8">
        <f>+Table1[[#This Row],[Auton ball picked up in our trench]]+Table1[[#This Row],[Auton Balls Picked Up in Mid]]+Table1[[#This Row],[Auton Balls Picked Up In Their Trench]]</f>
        <v>0</v>
      </c>
      <c r="J571" s="8">
        <f>+Table1[[#This Row],[Auton Scored High]]+Table1[[#This Row],[Auton Scored Low]]</f>
        <v>0</v>
      </c>
      <c r="K57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71"/>
      <c r="M571"/>
      <c r="N571"/>
      <c r="O571"/>
      <c r="P571"/>
      <c r="Q571"/>
      <c r="R571"/>
      <c r="S571"/>
      <c r="T571"/>
      <c r="U571"/>
      <c r="V571" s="8">
        <f>Table1[[#This Row],[Balls Scored From Trench]]+Table1[[#This Row],[Balls Scored from Mid]]+Table1[[#This Row],[Balls Scored From Alliance zone]]</f>
        <v>0</v>
      </c>
      <c r="W571" s="8">
        <f>Table1[[#This Row],[balls scored high]]+Table1[[#This Row],[balls scored low]]</f>
        <v>0</v>
      </c>
      <c r="X571" s="8">
        <f>Table1[[#This Row],[Control Panel Spun Time]]+Table1[[#This Row],[Control Panel Color Time]]</f>
        <v>0</v>
      </c>
      <c r="Y571" s="8">
        <f>Table1[[#This Row],[Control Panels Spun]]+Table1[[#This Row],[Control Panel Color]]</f>
        <v>0</v>
      </c>
      <c r="Z57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71"/>
      <c r="AB571"/>
      <c r="AC571"/>
      <c r="AD571"/>
      <c r="AE571"/>
      <c r="AF571"/>
      <c r="AG571"/>
      <c r="AH571"/>
      <c r="AI571"/>
      <c r="AJ571"/>
      <c r="AK571" s="17">
        <f>(Table1[[#This Row],[Climbed]]*weighting!$B$18)+(Table1[[#This Row],[Adjustable Climber]]*weighting!$B$19)+(Table1[[#This Row],[Lift other Robot]]*weighting!$B$20)+(Table1[[#This Row],[Balanced]]*weighting!$B$21)</f>
        <v>0</v>
      </c>
      <c r="AL571" s="8">
        <f>+Table1[[#This Row],[Endgame our score]]+Table1[[#This Row],[teleop our score]]+Table1[[#This Row],[auton our score]]</f>
        <v>0</v>
      </c>
      <c r="AM571" s="20">
        <f t="shared" si="24"/>
        <v>0</v>
      </c>
      <c r="AN571" s="20">
        <f t="shared" si="25"/>
        <v>0</v>
      </c>
      <c r="AO571" s="20">
        <f t="shared" si="26"/>
        <v>0</v>
      </c>
      <c r="AP571" s="20">
        <f>Table1[[#This Row],[balls scored]]+Table1[[#This Row],[auton balls scored]]</f>
        <v>0</v>
      </c>
      <c r="AQ571" s="20">
        <f>Table1[[#This Row],[balls scored high]]+Table1[[#This Row],[Auton Scored High]]</f>
        <v>0</v>
      </c>
      <c r="AR571" s="20">
        <f>Table1[[#This Row],[balls scored low]]+Table1[[#This Row],[Auton Scored Low]]</f>
        <v>0</v>
      </c>
      <c r="AS571" s="50">
        <f>IF(Table1[[#This Row],[Control Panel Spun Time]]&gt;0,1,0)</f>
        <v>0</v>
      </c>
      <c r="AT571" s="20">
        <f>IF(Table1[[#This Row],[Control Panel Color Time]]&gt;0,1,0)</f>
        <v>0</v>
      </c>
    </row>
    <row r="572" spans="1:46" x14ac:dyDescent="0.25">
      <c r="A572"/>
      <c r="I572" s="8">
        <f>+Table1[[#This Row],[Auton ball picked up in our trench]]+Table1[[#This Row],[Auton Balls Picked Up in Mid]]+Table1[[#This Row],[Auton Balls Picked Up In Their Trench]]</f>
        <v>0</v>
      </c>
      <c r="J572" s="8">
        <f>+Table1[[#This Row],[Auton Scored High]]+Table1[[#This Row],[Auton Scored Low]]</f>
        <v>0</v>
      </c>
      <c r="K57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72" s="8">
        <f>Table1[[#This Row],[Balls Scored From Trench]]+Table1[[#This Row],[Balls Scored from Mid]]+Table1[[#This Row],[Balls Scored From Alliance zone]]</f>
        <v>0</v>
      </c>
      <c r="W572" s="8">
        <f>Table1[[#This Row],[balls scored high]]+Table1[[#This Row],[balls scored low]]</f>
        <v>0</v>
      </c>
      <c r="X572" s="8">
        <f>Table1[[#This Row],[Control Panel Spun Time]]+Table1[[#This Row],[Control Panel Color Time]]</f>
        <v>0</v>
      </c>
      <c r="Y572" s="8">
        <f>Table1[[#This Row],[Control Panels Spun]]+Table1[[#This Row],[Control Panel Color]]</f>
        <v>0</v>
      </c>
      <c r="Z57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72" s="17">
        <f>(Table1[[#This Row],[Climbed]]*weighting!$B$18)+(Table1[[#This Row],[Adjustable Climber]]*weighting!$B$19)+(Table1[[#This Row],[Lift other Robot]]*weighting!$B$20)+(Table1[[#This Row],[Balanced]]*weighting!$B$21)</f>
        <v>0</v>
      </c>
      <c r="AL572" s="8">
        <f>+Table1[[#This Row],[Endgame our score]]+Table1[[#This Row],[teleop our score]]+Table1[[#This Row],[auton our score]]</f>
        <v>0</v>
      </c>
      <c r="AM572" s="20">
        <f t="shared" si="24"/>
        <v>0</v>
      </c>
      <c r="AN572" s="20">
        <f t="shared" si="25"/>
        <v>0</v>
      </c>
      <c r="AO572" s="20">
        <f t="shared" si="26"/>
        <v>0</v>
      </c>
      <c r="AP572" s="20">
        <f>Table1[[#This Row],[balls scored]]+Table1[[#This Row],[auton balls scored]]</f>
        <v>0</v>
      </c>
      <c r="AQ572" s="20">
        <f>Table1[[#This Row],[balls scored high]]+Table1[[#This Row],[Auton Scored High]]</f>
        <v>0</v>
      </c>
      <c r="AR572" s="20">
        <f>Table1[[#This Row],[balls scored low]]+Table1[[#This Row],[Auton Scored Low]]</f>
        <v>0</v>
      </c>
      <c r="AS572" s="50">
        <f>IF(Table1[[#This Row],[Control Panel Spun Time]]&gt;0,1,0)</f>
        <v>0</v>
      </c>
      <c r="AT572" s="20">
        <f>IF(Table1[[#This Row],[Control Panel Color Time]]&gt;0,1,0)</f>
        <v>0</v>
      </c>
    </row>
    <row r="573" spans="1:46" s="2" customFormat="1" x14ac:dyDescent="0.25">
      <c r="A573"/>
      <c r="B573"/>
      <c r="C573"/>
      <c r="D573"/>
      <c r="E573"/>
      <c r="F573"/>
      <c r="G573"/>
      <c r="H573"/>
      <c r="I573" s="8">
        <f>+Table1[[#This Row],[Auton ball picked up in our trench]]+Table1[[#This Row],[Auton Balls Picked Up in Mid]]+Table1[[#This Row],[Auton Balls Picked Up In Their Trench]]</f>
        <v>0</v>
      </c>
      <c r="J573" s="8">
        <f>+Table1[[#This Row],[Auton Scored High]]+Table1[[#This Row],[Auton Scored Low]]</f>
        <v>0</v>
      </c>
      <c r="K57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73"/>
      <c r="M573"/>
      <c r="N573"/>
      <c r="O573"/>
      <c r="P573"/>
      <c r="Q573"/>
      <c r="R573"/>
      <c r="S573"/>
      <c r="T573"/>
      <c r="U573"/>
      <c r="V573" s="8">
        <f>Table1[[#This Row],[Balls Scored From Trench]]+Table1[[#This Row],[Balls Scored from Mid]]+Table1[[#This Row],[Balls Scored From Alliance zone]]</f>
        <v>0</v>
      </c>
      <c r="W573" s="8">
        <f>Table1[[#This Row],[balls scored high]]+Table1[[#This Row],[balls scored low]]</f>
        <v>0</v>
      </c>
      <c r="X573" s="8">
        <f>Table1[[#This Row],[Control Panel Spun Time]]+Table1[[#This Row],[Control Panel Color Time]]</f>
        <v>0</v>
      </c>
      <c r="Y573" s="8">
        <f>Table1[[#This Row],[Control Panels Spun]]+Table1[[#This Row],[Control Panel Color]]</f>
        <v>0</v>
      </c>
      <c r="Z57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73"/>
      <c r="AB573"/>
      <c r="AC573"/>
      <c r="AD573"/>
      <c r="AE573"/>
      <c r="AF573"/>
      <c r="AG573"/>
      <c r="AH573"/>
      <c r="AI573"/>
      <c r="AJ573"/>
      <c r="AK573" s="17">
        <f>(Table1[[#This Row],[Climbed]]*weighting!$B$18)+(Table1[[#This Row],[Adjustable Climber]]*weighting!$B$19)+(Table1[[#This Row],[Lift other Robot]]*weighting!$B$20)+(Table1[[#This Row],[Balanced]]*weighting!$B$21)</f>
        <v>0</v>
      </c>
      <c r="AL573" s="8">
        <f>+Table1[[#This Row],[Endgame our score]]+Table1[[#This Row],[teleop our score]]+Table1[[#This Row],[auton our score]]</f>
        <v>0</v>
      </c>
      <c r="AM573" s="20">
        <f t="shared" si="24"/>
        <v>0</v>
      </c>
      <c r="AN573" s="20">
        <f t="shared" si="25"/>
        <v>0</v>
      </c>
      <c r="AO573" s="20">
        <f t="shared" si="26"/>
        <v>0</v>
      </c>
      <c r="AP573" s="20">
        <f>Table1[[#This Row],[balls scored]]+Table1[[#This Row],[auton balls scored]]</f>
        <v>0</v>
      </c>
      <c r="AQ573" s="20">
        <f>Table1[[#This Row],[balls scored high]]+Table1[[#This Row],[Auton Scored High]]</f>
        <v>0</v>
      </c>
      <c r="AR573" s="20">
        <f>Table1[[#This Row],[balls scored low]]+Table1[[#This Row],[Auton Scored Low]]</f>
        <v>0</v>
      </c>
      <c r="AS573" s="50">
        <f>IF(Table1[[#This Row],[Control Panel Spun Time]]&gt;0,1,0)</f>
        <v>0</v>
      </c>
      <c r="AT573" s="20">
        <f>IF(Table1[[#This Row],[Control Panel Color Time]]&gt;0,1,0)</f>
        <v>0</v>
      </c>
    </row>
    <row r="574" spans="1:46" x14ac:dyDescent="0.25">
      <c r="A574"/>
      <c r="I574" s="8">
        <f>+Table1[[#This Row],[Auton ball picked up in our trench]]+Table1[[#This Row],[Auton Balls Picked Up in Mid]]+Table1[[#This Row],[Auton Balls Picked Up In Their Trench]]</f>
        <v>0</v>
      </c>
      <c r="J574" s="8">
        <f>+Table1[[#This Row],[Auton Scored High]]+Table1[[#This Row],[Auton Scored Low]]</f>
        <v>0</v>
      </c>
      <c r="K57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74" s="8">
        <f>Table1[[#This Row],[Balls Scored From Trench]]+Table1[[#This Row],[Balls Scored from Mid]]+Table1[[#This Row],[Balls Scored From Alliance zone]]</f>
        <v>0</v>
      </c>
      <c r="W574" s="8">
        <f>Table1[[#This Row],[balls scored high]]+Table1[[#This Row],[balls scored low]]</f>
        <v>0</v>
      </c>
      <c r="X574" s="8">
        <f>Table1[[#This Row],[Control Panel Spun Time]]+Table1[[#This Row],[Control Panel Color Time]]</f>
        <v>0</v>
      </c>
      <c r="Y574" s="8">
        <f>Table1[[#This Row],[Control Panels Spun]]+Table1[[#This Row],[Control Panel Color]]</f>
        <v>0</v>
      </c>
      <c r="Z57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74" s="17">
        <f>(Table1[[#This Row],[Climbed]]*weighting!$B$18)+(Table1[[#This Row],[Adjustable Climber]]*weighting!$B$19)+(Table1[[#This Row],[Lift other Robot]]*weighting!$B$20)+(Table1[[#This Row],[Balanced]]*weighting!$B$21)</f>
        <v>0</v>
      </c>
      <c r="AL574" s="8">
        <f>+Table1[[#This Row],[Endgame our score]]+Table1[[#This Row],[teleop our score]]+Table1[[#This Row],[auton our score]]</f>
        <v>0</v>
      </c>
      <c r="AM574" s="20">
        <f t="shared" si="24"/>
        <v>0</v>
      </c>
      <c r="AN574" s="20">
        <f t="shared" si="25"/>
        <v>0</v>
      </c>
      <c r="AO574" s="20">
        <f t="shared" si="26"/>
        <v>0</v>
      </c>
      <c r="AP574" s="20">
        <f>Table1[[#This Row],[balls scored]]+Table1[[#This Row],[auton balls scored]]</f>
        <v>0</v>
      </c>
      <c r="AQ574" s="20">
        <f>Table1[[#This Row],[balls scored high]]+Table1[[#This Row],[Auton Scored High]]</f>
        <v>0</v>
      </c>
      <c r="AR574" s="20">
        <f>Table1[[#This Row],[balls scored low]]+Table1[[#This Row],[Auton Scored Low]]</f>
        <v>0</v>
      </c>
      <c r="AS574" s="50">
        <f>IF(Table1[[#This Row],[Control Panel Spun Time]]&gt;0,1,0)</f>
        <v>0</v>
      </c>
      <c r="AT574" s="20">
        <f>IF(Table1[[#This Row],[Control Panel Color Time]]&gt;0,1,0)</f>
        <v>0</v>
      </c>
    </row>
    <row r="575" spans="1:46" s="2" customFormat="1" x14ac:dyDescent="0.25">
      <c r="A575"/>
      <c r="B575"/>
      <c r="C575"/>
      <c r="D575"/>
      <c r="E575"/>
      <c r="F575"/>
      <c r="G575"/>
      <c r="H575"/>
      <c r="I575" s="8">
        <f>+Table1[[#This Row],[Auton ball picked up in our trench]]+Table1[[#This Row],[Auton Balls Picked Up in Mid]]+Table1[[#This Row],[Auton Balls Picked Up In Their Trench]]</f>
        <v>0</v>
      </c>
      <c r="J575" s="8">
        <f>+Table1[[#This Row],[Auton Scored High]]+Table1[[#This Row],[Auton Scored Low]]</f>
        <v>0</v>
      </c>
      <c r="K57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75"/>
      <c r="M575"/>
      <c r="N575"/>
      <c r="O575"/>
      <c r="P575"/>
      <c r="Q575"/>
      <c r="R575"/>
      <c r="S575"/>
      <c r="T575"/>
      <c r="U575"/>
      <c r="V575" s="8">
        <f>Table1[[#This Row],[Balls Scored From Trench]]+Table1[[#This Row],[Balls Scored from Mid]]+Table1[[#This Row],[Balls Scored From Alliance zone]]</f>
        <v>0</v>
      </c>
      <c r="W575" s="8">
        <f>Table1[[#This Row],[balls scored high]]+Table1[[#This Row],[balls scored low]]</f>
        <v>0</v>
      </c>
      <c r="X575" s="8">
        <f>Table1[[#This Row],[Control Panel Spun Time]]+Table1[[#This Row],[Control Panel Color Time]]</f>
        <v>0</v>
      </c>
      <c r="Y575" s="8">
        <f>Table1[[#This Row],[Control Panels Spun]]+Table1[[#This Row],[Control Panel Color]]</f>
        <v>0</v>
      </c>
      <c r="Z57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75"/>
      <c r="AB575"/>
      <c r="AC575"/>
      <c r="AD575"/>
      <c r="AE575"/>
      <c r="AF575"/>
      <c r="AG575"/>
      <c r="AH575"/>
      <c r="AI575"/>
      <c r="AJ575"/>
      <c r="AK575" s="17">
        <f>(Table1[[#This Row],[Climbed]]*weighting!$B$18)+(Table1[[#This Row],[Adjustable Climber]]*weighting!$B$19)+(Table1[[#This Row],[Lift other Robot]]*weighting!$B$20)+(Table1[[#This Row],[Balanced]]*weighting!$B$21)</f>
        <v>0</v>
      </c>
      <c r="AL575" s="8">
        <f>+Table1[[#This Row],[Endgame our score]]+Table1[[#This Row],[teleop our score]]+Table1[[#This Row],[auton our score]]</f>
        <v>0</v>
      </c>
      <c r="AM575" s="20">
        <f t="shared" si="24"/>
        <v>0</v>
      </c>
      <c r="AN575" s="20">
        <f t="shared" si="25"/>
        <v>0</v>
      </c>
      <c r="AO575" s="20">
        <f t="shared" si="26"/>
        <v>0</v>
      </c>
      <c r="AP575" s="20">
        <f>Table1[[#This Row],[balls scored]]+Table1[[#This Row],[auton balls scored]]</f>
        <v>0</v>
      </c>
      <c r="AQ575" s="20">
        <f>Table1[[#This Row],[balls scored high]]+Table1[[#This Row],[Auton Scored High]]</f>
        <v>0</v>
      </c>
      <c r="AR575" s="20">
        <f>Table1[[#This Row],[balls scored low]]+Table1[[#This Row],[Auton Scored Low]]</f>
        <v>0</v>
      </c>
      <c r="AS575" s="50">
        <f>IF(Table1[[#This Row],[Control Panel Spun Time]]&gt;0,1,0)</f>
        <v>0</v>
      </c>
      <c r="AT575" s="20">
        <f>IF(Table1[[#This Row],[Control Panel Color Time]]&gt;0,1,0)</f>
        <v>0</v>
      </c>
    </row>
    <row r="576" spans="1:46" x14ac:dyDescent="0.25">
      <c r="A576"/>
      <c r="I576" s="8">
        <f>+Table1[[#This Row],[Auton ball picked up in our trench]]+Table1[[#This Row],[Auton Balls Picked Up in Mid]]+Table1[[#This Row],[Auton Balls Picked Up In Their Trench]]</f>
        <v>0</v>
      </c>
      <c r="J576" s="8">
        <f>+Table1[[#This Row],[Auton Scored High]]+Table1[[#This Row],[Auton Scored Low]]</f>
        <v>0</v>
      </c>
      <c r="K57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76" s="8">
        <f>Table1[[#This Row],[Balls Scored From Trench]]+Table1[[#This Row],[Balls Scored from Mid]]+Table1[[#This Row],[Balls Scored From Alliance zone]]</f>
        <v>0</v>
      </c>
      <c r="W576" s="8">
        <f>Table1[[#This Row],[balls scored high]]+Table1[[#This Row],[balls scored low]]</f>
        <v>0</v>
      </c>
      <c r="X576" s="8">
        <f>Table1[[#This Row],[Control Panel Spun Time]]+Table1[[#This Row],[Control Panel Color Time]]</f>
        <v>0</v>
      </c>
      <c r="Y576" s="8">
        <f>Table1[[#This Row],[Control Panels Spun]]+Table1[[#This Row],[Control Panel Color]]</f>
        <v>0</v>
      </c>
      <c r="Z57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76" s="17">
        <f>(Table1[[#This Row],[Climbed]]*weighting!$B$18)+(Table1[[#This Row],[Adjustable Climber]]*weighting!$B$19)+(Table1[[#This Row],[Lift other Robot]]*weighting!$B$20)+(Table1[[#This Row],[Balanced]]*weighting!$B$21)</f>
        <v>0</v>
      </c>
      <c r="AL576" s="8">
        <f>+Table1[[#This Row],[Endgame our score]]+Table1[[#This Row],[teleop our score]]+Table1[[#This Row],[auton our score]]</f>
        <v>0</v>
      </c>
      <c r="AM576" s="20">
        <f t="shared" si="24"/>
        <v>0</v>
      </c>
      <c r="AN576" s="20">
        <f t="shared" si="25"/>
        <v>0</v>
      </c>
      <c r="AO576" s="20">
        <f t="shared" si="26"/>
        <v>0</v>
      </c>
      <c r="AP576" s="20">
        <f>Table1[[#This Row],[balls scored]]+Table1[[#This Row],[auton balls scored]]</f>
        <v>0</v>
      </c>
      <c r="AQ576" s="20">
        <f>Table1[[#This Row],[balls scored high]]+Table1[[#This Row],[Auton Scored High]]</f>
        <v>0</v>
      </c>
      <c r="AR576" s="20">
        <f>Table1[[#This Row],[balls scored low]]+Table1[[#This Row],[Auton Scored Low]]</f>
        <v>0</v>
      </c>
      <c r="AS576" s="50">
        <f>IF(Table1[[#This Row],[Control Panel Spun Time]]&gt;0,1,0)</f>
        <v>0</v>
      </c>
      <c r="AT576" s="20">
        <f>IF(Table1[[#This Row],[Control Panel Color Time]]&gt;0,1,0)</f>
        <v>0</v>
      </c>
    </row>
    <row r="577" spans="1:46" s="2" customFormat="1" x14ac:dyDescent="0.25">
      <c r="A577"/>
      <c r="B577"/>
      <c r="C577"/>
      <c r="D577"/>
      <c r="E577"/>
      <c r="F577"/>
      <c r="G577"/>
      <c r="H577"/>
      <c r="I577" s="8">
        <f>+Table1[[#This Row],[Auton ball picked up in our trench]]+Table1[[#This Row],[Auton Balls Picked Up in Mid]]+Table1[[#This Row],[Auton Balls Picked Up In Their Trench]]</f>
        <v>0</v>
      </c>
      <c r="J577" s="8">
        <f>+Table1[[#This Row],[Auton Scored High]]+Table1[[#This Row],[Auton Scored Low]]</f>
        <v>0</v>
      </c>
      <c r="K57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77"/>
      <c r="M577"/>
      <c r="N577"/>
      <c r="O577"/>
      <c r="P577"/>
      <c r="Q577"/>
      <c r="R577"/>
      <c r="S577"/>
      <c r="T577"/>
      <c r="U577"/>
      <c r="V577" s="8">
        <f>Table1[[#This Row],[Balls Scored From Trench]]+Table1[[#This Row],[Balls Scored from Mid]]+Table1[[#This Row],[Balls Scored From Alliance zone]]</f>
        <v>0</v>
      </c>
      <c r="W577" s="8">
        <f>Table1[[#This Row],[balls scored high]]+Table1[[#This Row],[balls scored low]]</f>
        <v>0</v>
      </c>
      <c r="X577" s="8">
        <f>Table1[[#This Row],[Control Panel Spun Time]]+Table1[[#This Row],[Control Panel Color Time]]</f>
        <v>0</v>
      </c>
      <c r="Y577" s="8">
        <f>Table1[[#This Row],[Control Panels Spun]]+Table1[[#This Row],[Control Panel Color]]</f>
        <v>0</v>
      </c>
      <c r="Z57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77"/>
      <c r="AB577"/>
      <c r="AC577"/>
      <c r="AD577"/>
      <c r="AE577"/>
      <c r="AF577"/>
      <c r="AG577"/>
      <c r="AH577"/>
      <c r="AI577"/>
      <c r="AJ577"/>
      <c r="AK577" s="17">
        <f>(Table1[[#This Row],[Climbed]]*weighting!$B$18)+(Table1[[#This Row],[Adjustable Climber]]*weighting!$B$19)+(Table1[[#This Row],[Lift other Robot]]*weighting!$B$20)+(Table1[[#This Row],[Balanced]]*weighting!$B$21)</f>
        <v>0</v>
      </c>
      <c r="AL577" s="8">
        <f>+Table1[[#This Row],[Endgame our score]]+Table1[[#This Row],[teleop our score]]+Table1[[#This Row],[auton our score]]</f>
        <v>0</v>
      </c>
      <c r="AM577" s="20">
        <f t="shared" si="24"/>
        <v>0</v>
      </c>
      <c r="AN577" s="20">
        <f t="shared" si="25"/>
        <v>0</v>
      </c>
      <c r="AO577" s="20">
        <f t="shared" si="26"/>
        <v>0</v>
      </c>
      <c r="AP577" s="20">
        <f>Table1[[#This Row],[balls scored]]+Table1[[#This Row],[auton balls scored]]</f>
        <v>0</v>
      </c>
      <c r="AQ577" s="20">
        <f>Table1[[#This Row],[balls scored high]]+Table1[[#This Row],[Auton Scored High]]</f>
        <v>0</v>
      </c>
      <c r="AR577" s="20">
        <f>Table1[[#This Row],[balls scored low]]+Table1[[#This Row],[Auton Scored Low]]</f>
        <v>0</v>
      </c>
      <c r="AS577" s="50">
        <f>IF(Table1[[#This Row],[Control Panel Spun Time]]&gt;0,1,0)</f>
        <v>0</v>
      </c>
      <c r="AT577" s="20">
        <f>IF(Table1[[#This Row],[Control Panel Color Time]]&gt;0,1,0)</f>
        <v>0</v>
      </c>
    </row>
    <row r="578" spans="1:46" x14ac:dyDescent="0.25">
      <c r="A578"/>
      <c r="I578" s="8">
        <f>+Table1[[#This Row],[Auton ball picked up in our trench]]+Table1[[#This Row],[Auton Balls Picked Up in Mid]]+Table1[[#This Row],[Auton Balls Picked Up In Their Trench]]</f>
        <v>0</v>
      </c>
      <c r="J578" s="8">
        <f>+Table1[[#This Row],[Auton Scored High]]+Table1[[#This Row],[Auton Scored Low]]</f>
        <v>0</v>
      </c>
      <c r="K57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78" s="8">
        <f>Table1[[#This Row],[Balls Scored From Trench]]+Table1[[#This Row],[Balls Scored from Mid]]+Table1[[#This Row],[Balls Scored From Alliance zone]]</f>
        <v>0</v>
      </c>
      <c r="W578" s="8">
        <f>Table1[[#This Row],[balls scored high]]+Table1[[#This Row],[balls scored low]]</f>
        <v>0</v>
      </c>
      <c r="X578" s="8">
        <f>Table1[[#This Row],[Control Panel Spun Time]]+Table1[[#This Row],[Control Panel Color Time]]</f>
        <v>0</v>
      </c>
      <c r="Y578" s="8">
        <f>Table1[[#This Row],[Control Panels Spun]]+Table1[[#This Row],[Control Panel Color]]</f>
        <v>0</v>
      </c>
      <c r="Z57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78" s="17">
        <f>(Table1[[#This Row],[Climbed]]*weighting!$B$18)+(Table1[[#This Row],[Adjustable Climber]]*weighting!$B$19)+(Table1[[#This Row],[Lift other Robot]]*weighting!$B$20)+(Table1[[#This Row],[Balanced]]*weighting!$B$21)</f>
        <v>0</v>
      </c>
      <c r="AL578" s="8">
        <f>+Table1[[#This Row],[Endgame our score]]+Table1[[#This Row],[teleop our score]]+Table1[[#This Row],[auton our score]]</f>
        <v>0</v>
      </c>
      <c r="AM578" s="20">
        <f t="shared" ref="AM578:AM641" si="27">IF(B578=1,1,0)</f>
        <v>0</v>
      </c>
      <c r="AN578" s="20">
        <f t="shared" ref="AN578:AN641" si="28">IF(B578=2,1,0)</f>
        <v>0</v>
      </c>
      <c r="AO578" s="20">
        <f t="shared" ref="AO578:AO641" si="29">IF(B578=3,1,0)</f>
        <v>0</v>
      </c>
      <c r="AP578" s="20">
        <f>Table1[[#This Row],[balls scored]]+Table1[[#This Row],[auton balls scored]]</f>
        <v>0</v>
      </c>
      <c r="AQ578" s="20">
        <f>Table1[[#This Row],[balls scored high]]+Table1[[#This Row],[Auton Scored High]]</f>
        <v>0</v>
      </c>
      <c r="AR578" s="20">
        <f>Table1[[#This Row],[balls scored low]]+Table1[[#This Row],[Auton Scored Low]]</f>
        <v>0</v>
      </c>
      <c r="AS578" s="50">
        <f>IF(Table1[[#This Row],[Control Panel Spun Time]]&gt;0,1,0)</f>
        <v>0</v>
      </c>
      <c r="AT578" s="20">
        <f>IF(Table1[[#This Row],[Control Panel Color Time]]&gt;0,1,0)</f>
        <v>0</v>
      </c>
    </row>
    <row r="579" spans="1:46" s="2" customFormat="1" x14ac:dyDescent="0.25">
      <c r="A579"/>
      <c r="B579"/>
      <c r="C579"/>
      <c r="D579"/>
      <c r="E579"/>
      <c r="F579"/>
      <c r="G579"/>
      <c r="H579"/>
      <c r="I579" s="8">
        <f>+Table1[[#This Row],[Auton ball picked up in our trench]]+Table1[[#This Row],[Auton Balls Picked Up in Mid]]+Table1[[#This Row],[Auton Balls Picked Up In Their Trench]]</f>
        <v>0</v>
      </c>
      <c r="J579" s="8">
        <f>+Table1[[#This Row],[Auton Scored High]]+Table1[[#This Row],[Auton Scored Low]]</f>
        <v>0</v>
      </c>
      <c r="K57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79"/>
      <c r="M579"/>
      <c r="N579"/>
      <c r="O579"/>
      <c r="P579"/>
      <c r="Q579"/>
      <c r="R579"/>
      <c r="S579"/>
      <c r="T579"/>
      <c r="U579"/>
      <c r="V579" s="8">
        <f>Table1[[#This Row],[Balls Scored From Trench]]+Table1[[#This Row],[Balls Scored from Mid]]+Table1[[#This Row],[Balls Scored From Alliance zone]]</f>
        <v>0</v>
      </c>
      <c r="W579" s="8">
        <f>Table1[[#This Row],[balls scored high]]+Table1[[#This Row],[balls scored low]]</f>
        <v>0</v>
      </c>
      <c r="X579" s="8">
        <f>Table1[[#This Row],[Control Panel Spun Time]]+Table1[[#This Row],[Control Panel Color Time]]</f>
        <v>0</v>
      </c>
      <c r="Y579" s="8">
        <f>Table1[[#This Row],[Control Panels Spun]]+Table1[[#This Row],[Control Panel Color]]</f>
        <v>0</v>
      </c>
      <c r="Z57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79"/>
      <c r="AB579"/>
      <c r="AC579"/>
      <c r="AD579"/>
      <c r="AE579"/>
      <c r="AF579"/>
      <c r="AG579"/>
      <c r="AH579"/>
      <c r="AI579"/>
      <c r="AJ579"/>
      <c r="AK579" s="17">
        <f>(Table1[[#This Row],[Climbed]]*weighting!$B$18)+(Table1[[#This Row],[Adjustable Climber]]*weighting!$B$19)+(Table1[[#This Row],[Lift other Robot]]*weighting!$B$20)+(Table1[[#This Row],[Balanced]]*weighting!$B$21)</f>
        <v>0</v>
      </c>
      <c r="AL579" s="8">
        <f>+Table1[[#This Row],[Endgame our score]]+Table1[[#This Row],[teleop our score]]+Table1[[#This Row],[auton our score]]</f>
        <v>0</v>
      </c>
      <c r="AM579" s="20">
        <f t="shared" si="27"/>
        <v>0</v>
      </c>
      <c r="AN579" s="20">
        <f t="shared" si="28"/>
        <v>0</v>
      </c>
      <c r="AO579" s="20">
        <f t="shared" si="29"/>
        <v>0</v>
      </c>
      <c r="AP579" s="20">
        <f>Table1[[#This Row],[balls scored]]+Table1[[#This Row],[auton balls scored]]</f>
        <v>0</v>
      </c>
      <c r="AQ579" s="20">
        <f>Table1[[#This Row],[balls scored high]]+Table1[[#This Row],[Auton Scored High]]</f>
        <v>0</v>
      </c>
      <c r="AR579" s="20">
        <f>Table1[[#This Row],[balls scored low]]+Table1[[#This Row],[Auton Scored Low]]</f>
        <v>0</v>
      </c>
      <c r="AS579" s="50">
        <f>IF(Table1[[#This Row],[Control Panel Spun Time]]&gt;0,1,0)</f>
        <v>0</v>
      </c>
      <c r="AT579" s="20">
        <f>IF(Table1[[#This Row],[Control Panel Color Time]]&gt;0,1,0)</f>
        <v>0</v>
      </c>
    </row>
    <row r="580" spans="1:46" x14ac:dyDescent="0.25">
      <c r="A580"/>
      <c r="I580" s="8">
        <f>+Table1[[#This Row],[Auton ball picked up in our trench]]+Table1[[#This Row],[Auton Balls Picked Up in Mid]]+Table1[[#This Row],[Auton Balls Picked Up In Their Trench]]</f>
        <v>0</v>
      </c>
      <c r="J580" s="8">
        <f>+Table1[[#This Row],[Auton Scored High]]+Table1[[#This Row],[Auton Scored Low]]</f>
        <v>0</v>
      </c>
      <c r="K58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80" s="8">
        <f>Table1[[#This Row],[Balls Scored From Trench]]+Table1[[#This Row],[Balls Scored from Mid]]+Table1[[#This Row],[Balls Scored From Alliance zone]]</f>
        <v>0</v>
      </c>
      <c r="W580" s="8">
        <f>Table1[[#This Row],[balls scored high]]+Table1[[#This Row],[balls scored low]]</f>
        <v>0</v>
      </c>
      <c r="X580" s="8">
        <f>Table1[[#This Row],[Control Panel Spun Time]]+Table1[[#This Row],[Control Panel Color Time]]</f>
        <v>0</v>
      </c>
      <c r="Y580" s="8">
        <f>Table1[[#This Row],[Control Panels Spun]]+Table1[[#This Row],[Control Panel Color]]</f>
        <v>0</v>
      </c>
      <c r="Z58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80" s="17">
        <f>(Table1[[#This Row],[Climbed]]*weighting!$B$18)+(Table1[[#This Row],[Adjustable Climber]]*weighting!$B$19)+(Table1[[#This Row],[Lift other Robot]]*weighting!$B$20)+(Table1[[#This Row],[Balanced]]*weighting!$B$21)</f>
        <v>0</v>
      </c>
      <c r="AL580" s="8">
        <f>+Table1[[#This Row],[Endgame our score]]+Table1[[#This Row],[teleop our score]]+Table1[[#This Row],[auton our score]]</f>
        <v>0</v>
      </c>
      <c r="AM580" s="20">
        <f t="shared" si="27"/>
        <v>0</v>
      </c>
      <c r="AN580" s="20">
        <f t="shared" si="28"/>
        <v>0</v>
      </c>
      <c r="AO580" s="20">
        <f t="shared" si="29"/>
        <v>0</v>
      </c>
      <c r="AP580" s="20">
        <f>Table1[[#This Row],[balls scored]]+Table1[[#This Row],[auton balls scored]]</f>
        <v>0</v>
      </c>
      <c r="AQ580" s="20">
        <f>Table1[[#This Row],[balls scored high]]+Table1[[#This Row],[Auton Scored High]]</f>
        <v>0</v>
      </c>
      <c r="AR580" s="20">
        <f>Table1[[#This Row],[balls scored low]]+Table1[[#This Row],[Auton Scored Low]]</f>
        <v>0</v>
      </c>
      <c r="AS580" s="50">
        <f>IF(Table1[[#This Row],[Control Panel Spun Time]]&gt;0,1,0)</f>
        <v>0</v>
      </c>
      <c r="AT580" s="20">
        <f>IF(Table1[[#This Row],[Control Panel Color Time]]&gt;0,1,0)</f>
        <v>0</v>
      </c>
    </row>
    <row r="581" spans="1:46" s="2" customFormat="1" x14ac:dyDescent="0.25">
      <c r="A581"/>
      <c r="B581"/>
      <c r="C581"/>
      <c r="D581"/>
      <c r="E581"/>
      <c r="F581"/>
      <c r="G581"/>
      <c r="H581"/>
      <c r="I581" s="8">
        <f>+Table1[[#This Row],[Auton ball picked up in our trench]]+Table1[[#This Row],[Auton Balls Picked Up in Mid]]+Table1[[#This Row],[Auton Balls Picked Up In Their Trench]]</f>
        <v>0</v>
      </c>
      <c r="J581" s="8">
        <f>+Table1[[#This Row],[Auton Scored High]]+Table1[[#This Row],[Auton Scored Low]]</f>
        <v>0</v>
      </c>
      <c r="K58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81"/>
      <c r="M581"/>
      <c r="N581"/>
      <c r="O581"/>
      <c r="P581"/>
      <c r="Q581"/>
      <c r="R581"/>
      <c r="S581"/>
      <c r="T581"/>
      <c r="U581"/>
      <c r="V581" s="8">
        <f>Table1[[#This Row],[Balls Scored From Trench]]+Table1[[#This Row],[Balls Scored from Mid]]+Table1[[#This Row],[Balls Scored From Alliance zone]]</f>
        <v>0</v>
      </c>
      <c r="W581" s="8">
        <f>Table1[[#This Row],[balls scored high]]+Table1[[#This Row],[balls scored low]]</f>
        <v>0</v>
      </c>
      <c r="X581" s="8">
        <f>Table1[[#This Row],[Control Panel Spun Time]]+Table1[[#This Row],[Control Panel Color Time]]</f>
        <v>0</v>
      </c>
      <c r="Y581" s="8">
        <f>Table1[[#This Row],[Control Panels Spun]]+Table1[[#This Row],[Control Panel Color]]</f>
        <v>0</v>
      </c>
      <c r="Z58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81"/>
      <c r="AB581"/>
      <c r="AC581"/>
      <c r="AD581"/>
      <c r="AE581"/>
      <c r="AF581"/>
      <c r="AG581"/>
      <c r="AH581"/>
      <c r="AI581"/>
      <c r="AJ581"/>
      <c r="AK581" s="17">
        <f>(Table1[[#This Row],[Climbed]]*weighting!$B$18)+(Table1[[#This Row],[Adjustable Climber]]*weighting!$B$19)+(Table1[[#This Row],[Lift other Robot]]*weighting!$B$20)+(Table1[[#This Row],[Balanced]]*weighting!$B$21)</f>
        <v>0</v>
      </c>
      <c r="AL581" s="8">
        <f>+Table1[[#This Row],[Endgame our score]]+Table1[[#This Row],[teleop our score]]+Table1[[#This Row],[auton our score]]</f>
        <v>0</v>
      </c>
      <c r="AM581" s="20">
        <f t="shared" si="27"/>
        <v>0</v>
      </c>
      <c r="AN581" s="20">
        <f t="shared" si="28"/>
        <v>0</v>
      </c>
      <c r="AO581" s="20">
        <f t="shared" si="29"/>
        <v>0</v>
      </c>
      <c r="AP581" s="20">
        <f>Table1[[#This Row],[balls scored]]+Table1[[#This Row],[auton balls scored]]</f>
        <v>0</v>
      </c>
      <c r="AQ581" s="20">
        <f>Table1[[#This Row],[balls scored high]]+Table1[[#This Row],[Auton Scored High]]</f>
        <v>0</v>
      </c>
      <c r="AR581" s="20">
        <f>Table1[[#This Row],[balls scored low]]+Table1[[#This Row],[Auton Scored Low]]</f>
        <v>0</v>
      </c>
      <c r="AS581" s="50">
        <f>IF(Table1[[#This Row],[Control Panel Spun Time]]&gt;0,1,0)</f>
        <v>0</v>
      </c>
      <c r="AT581" s="20">
        <f>IF(Table1[[#This Row],[Control Panel Color Time]]&gt;0,1,0)</f>
        <v>0</v>
      </c>
    </row>
    <row r="582" spans="1:46" x14ac:dyDescent="0.25">
      <c r="A582"/>
      <c r="I582" s="8">
        <f>+Table1[[#This Row],[Auton ball picked up in our trench]]+Table1[[#This Row],[Auton Balls Picked Up in Mid]]+Table1[[#This Row],[Auton Balls Picked Up In Their Trench]]</f>
        <v>0</v>
      </c>
      <c r="J582" s="8">
        <f>+Table1[[#This Row],[Auton Scored High]]+Table1[[#This Row],[Auton Scored Low]]</f>
        <v>0</v>
      </c>
      <c r="K58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82" s="8">
        <f>Table1[[#This Row],[Balls Scored From Trench]]+Table1[[#This Row],[Balls Scored from Mid]]+Table1[[#This Row],[Balls Scored From Alliance zone]]</f>
        <v>0</v>
      </c>
      <c r="W582" s="8">
        <f>Table1[[#This Row],[balls scored high]]+Table1[[#This Row],[balls scored low]]</f>
        <v>0</v>
      </c>
      <c r="X582" s="8">
        <f>Table1[[#This Row],[Control Panel Spun Time]]+Table1[[#This Row],[Control Panel Color Time]]</f>
        <v>0</v>
      </c>
      <c r="Y582" s="8">
        <f>Table1[[#This Row],[Control Panels Spun]]+Table1[[#This Row],[Control Panel Color]]</f>
        <v>0</v>
      </c>
      <c r="Z58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82" s="17">
        <f>(Table1[[#This Row],[Climbed]]*weighting!$B$18)+(Table1[[#This Row],[Adjustable Climber]]*weighting!$B$19)+(Table1[[#This Row],[Lift other Robot]]*weighting!$B$20)+(Table1[[#This Row],[Balanced]]*weighting!$B$21)</f>
        <v>0</v>
      </c>
      <c r="AL582" s="8">
        <f>+Table1[[#This Row],[Endgame our score]]+Table1[[#This Row],[teleop our score]]+Table1[[#This Row],[auton our score]]</f>
        <v>0</v>
      </c>
      <c r="AM582" s="20">
        <f t="shared" si="27"/>
        <v>0</v>
      </c>
      <c r="AN582" s="20">
        <f t="shared" si="28"/>
        <v>0</v>
      </c>
      <c r="AO582" s="20">
        <f t="shared" si="29"/>
        <v>0</v>
      </c>
      <c r="AP582" s="20">
        <f>Table1[[#This Row],[balls scored]]+Table1[[#This Row],[auton balls scored]]</f>
        <v>0</v>
      </c>
      <c r="AQ582" s="20">
        <f>Table1[[#This Row],[balls scored high]]+Table1[[#This Row],[Auton Scored High]]</f>
        <v>0</v>
      </c>
      <c r="AR582" s="20">
        <f>Table1[[#This Row],[balls scored low]]+Table1[[#This Row],[Auton Scored Low]]</f>
        <v>0</v>
      </c>
      <c r="AS582" s="50">
        <f>IF(Table1[[#This Row],[Control Panel Spun Time]]&gt;0,1,0)</f>
        <v>0</v>
      </c>
      <c r="AT582" s="20">
        <f>IF(Table1[[#This Row],[Control Panel Color Time]]&gt;0,1,0)</f>
        <v>0</v>
      </c>
    </row>
    <row r="583" spans="1:46" s="2" customFormat="1" x14ac:dyDescent="0.25">
      <c r="A583"/>
      <c r="B583"/>
      <c r="C583"/>
      <c r="D583"/>
      <c r="E583"/>
      <c r="F583"/>
      <c r="G583"/>
      <c r="H583"/>
      <c r="I583" s="8">
        <f>+Table1[[#This Row],[Auton ball picked up in our trench]]+Table1[[#This Row],[Auton Balls Picked Up in Mid]]+Table1[[#This Row],[Auton Balls Picked Up In Their Trench]]</f>
        <v>0</v>
      </c>
      <c r="J583" s="8">
        <f>+Table1[[#This Row],[Auton Scored High]]+Table1[[#This Row],[Auton Scored Low]]</f>
        <v>0</v>
      </c>
      <c r="K58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83"/>
      <c r="M583"/>
      <c r="N583"/>
      <c r="O583"/>
      <c r="P583"/>
      <c r="Q583"/>
      <c r="R583"/>
      <c r="S583"/>
      <c r="T583"/>
      <c r="U583"/>
      <c r="V583" s="8">
        <f>Table1[[#This Row],[Balls Scored From Trench]]+Table1[[#This Row],[Balls Scored from Mid]]+Table1[[#This Row],[Balls Scored From Alliance zone]]</f>
        <v>0</v>
      </c>
      <c r="W583" s="8">
        <f>Table1[[#This Row],[balls scored high]]+Table1[[#This Row],[balls scored low]]</f>
        <v>0</v>
      </c>
      <c r="X583" s="8">
        <f>Table1[[#This Row],[Control Panel Spun Time]]+Table1[[#This Row],[Control Panel Color Time]]</f>
        <v>0</v>
      </c>
      <c r="Y583" s="8">
        <f>Table1[[#This Row],[Control Panels Spun]]+Table1[[#This Row],[Control Panel Color]]</f>
        <v>0</v>
      </c>
      <c r="Z58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83"/>
      <c r="AB583"/>
      <c r="AC583"/>
      <c r="AD583"/>
      <c r="AE583"/>
      <c r="AF583"/>
      <c r="AG583"/>
      <c r="AH583"/>
      <c r="AI583"/>
      <c r="AJ583"/>
      <c r="AK583" s="17">
        <f>(Table1[[#This Row],[Climbed]]*weighting!$B$18)+(Table1[[#This Row],[Adjustable Climber]]*weighting!$B$19)+(Table1[[#This Row],[Lift other Robot]]*weighting!$B$20)+(Table1[[#This Row],[Balanced]]*weighting!$B$21)</f>
        <v>0</v>
      </c>
      <c r="AL583" s="8">
        <f>+Table1[[#This Row],[Endgame our score]]+Table1[[#This Row],[teleop our score]]+Table1[[#This Row],[auton our score]]</f>
        <v>0</v>
      </c>
      <c r="AM583" s="20">
        <f t="shared" si="27"/>
        <v>0</v>
      </c>
      <c r="AN583" s="20">
        <f t="shared" si="28"/>
        <v>0</v>
      </c>
      <c r="AO583" s="20">
        <f t="shared" si="29"/>
        <v>0</v>
      </c>
      <c r="AP583" s="20">
        <f>Table1[[#This Row],[balls scored]]+Table1[[#This Row],[auton balls scored]]</f>
        <v>0</v>
      </c>
      <c r="AQ583" s="20">
        <f>Table1[[#This Row],[balls scored high]]+Table1[[#This Row],[Auton Scored High]]</f>
        <v>0</v>
      </c>
      <c r="AR583" s="20">
        <f>Table1[[#This Row],[balls scored low]]+Table1[[#This Row],[Auton Scored Low]]</f>
        <v>0</v>
      </c>
      <c r="AS583" s="50">
        <f>IF(Table1[[#This Row],[Control Panel Spun Time]]&gt;0,1,0)</f>
        <v>0</v>
      </c>
      <c r="AT583" s="20">
        <f>IF(Table1[[#This Row],[Control Panel Color Time]]&gt;0,1,0)</f>
        <v>0</v>
      </c>
    </row>
    <row r="584" spans="1:46" x14ac:dyDescent="0.25">
      <c r="A584"/>
      <c r="I584" s="8">
        <f>+Table1[[#This Row],[Auton ball picked up in our trench]]+Table1[[#This Row],[Auton Balls Picked Up in Mid]]+Table1[[#This Row],[Auton Balls Picked Up In Their Trench]]</f>
        <v>0</v>
      </c>
      <c r="J584" s="8">
        <f>+Table1[[#This Row],[Auton Scored High]]+Table1[[#This Row],[Auton Scored Low]]</f>
        <v>0</v>
      </c>
      <c r="K58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84" s="8">
        <f>Table1[[#This Row],[Balls Scored From Trench]]+Table1[[#This Row],[Balls Scored from Mid]]+Table1[[#This Row],[Balls Scored From Alliance zone]]</f>
        <v>0</v>
      </c>
      <c r="W584" s="8">
        <f>Table1[[#This Row],[balls scored high]]+Table1[[#This Row],[balls scored low]]</f>
        <v>0</v>
      </c>
      <c r="X584" s="8">
        <f>Table1[[#This Row],[Control Panel Spun Time]]+Table1[[#This Row],[Control Panel Color Time]]</f>
        <v>0</v>
      </c>
      <c r="Y584" s="8">
        <f>Table1[[#This Row],[Control Panels Spun]]+Table1[[#This Row],[Control Panel Color]]</f>
        <v>0</v>
      </c>
      <c r="Z58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84" s="17">
        <f>(Table1[[#This Row],[Climbed]]*weighting!$B$18)+(Table1[[#This Row],[Adjustable Climber]]*weighting!$B$19)+(Table1[[#This Row],[Lift other Robot]]*weighting!$B$20)+(Table1[[#This Row],[Balanced]]*weighting!$B$21)</f>
        <v>0</v>
      </c>
      <c r="AL584" s="8">
        <f>+Table1[[#This Row],[Endgame our score]]+Table1[[#This Row],[teleop our score]]+Table1[[#This Row],[auton our score]]</f>
        <v>0</v>
      </c>
      <c r="AM584" s="20">
        <f t="shared" si="27"/>
        <v>0</v>
      </c>
      <c r="AN584" s="20">
        <f t="shared" si="28"/>
        <v>0</v>
      </c>
      <c r="AO584" s="20">
        <f t="shared" si="29"/>
        <v>0</v>
      </c>
      <c r="AP584" s="20">
        <f>Table1[[#This Row],[balls scored]]+Table1[[#This Row],[auton balls scored]]</f>
        <v>0</v>
      </c>
      <c r="AQ584" s="20">
        <f>Table1[[#This Row],[balls scored high]]+Table1[[#This Row],[Auton Scored High]]</f>
        <v>0</v>
      </c>
      <c r="AR584" s="20">
        <f>Table1[[#This Row],[balls scored low]]+Table1[[#This Row],[Auton Scored Low]]</f>
        <v>0</v>
      </c>
      <c r="AS584" s="50">
        <f>IF(Table1[[#This Row],[Control Panel Spun Time]]&gt;0,1,0)</f>
        <v>0</v>
      </c>
      <c r="AT584" s="20">
        <f>IF(Table1[[#This Row],[Control Panel Color Time]]&gt;0,1,0)</f>
        <v>0</v>
      </c>
    </row>
    <row r="585" spans="1:46" s="2" customFormat="1" x14ac:dyDescent="0.25">
      <c r="A585"/>
      <c r="B585"/>
      <c r="C585"/>
      <c r="D585"/>
      <c r="E585"/>
      <c r="F585"/>
      <c r="G585"/>
      <c r="H585"/>
      <c r="I585" s="8">
        <f>+Table1[[#This Row],[Auton ball picked up in our trench]]+Table1[[#This Row],[Auton Balls Picked Up in Mid]]+Table1[[#This Row],[Auton Balls Picked Up In Their Trench]]</f>
        <v>0</v>
      </c>
      <c r="J585" s="8">
        <f>+Table1[[#This Row],[Auton Scored High]]+Table1[[#This Row],[Auton Scored Low]]</f>
        <v>0</v>
      </c>
      <c r="K58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85"/>
      <c r="M585"/>
      <c r="N585"/>
      <c r="O585"/>
      <c r="P585"/>
      <c r="Q585"/>
      <c r="R585"/>
      <c r="S585"/>
      <c r="T585"/>
      <c r="U585"/>
      <c r="V585" s="8">
        <f>Table1[[#This Row],[Balls Scored From Trench]]+Table1[[#This Row],[Balls Scored from Mid]]+Table1[[#This Row],[Balls Scored From Alliance zone]]</f>
        <v>0</v>
      </c>
      <c r="W585" s="8">
        <f>Table1[[#This Row],[balls scored high]]+Table1[[#This Row],[balls scored low]]</f>
        <v>0</v>
      </c>
      <c r="X585" s="8">
        <f>Table1[[#This Row],[Control Panel Spun Time]]+Table1[[#This Row],[Control Panel Color Time]]</f>
        <v>0</v>
      </c>
      <c r="Y585" s="8">
        <f>Table1[[#This Row],[Control Panels Spun]]+Table1[[#This Row],[Control Panel Color]]</f>
        <v>0</v>
      </c>
      <c r="Z58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85"/>
      <c r="AB585"/>
      <c r="AC585"/>
      <c r="AD585"/>
      <c r="AE585"/>
      <c r="AF585"/>
      <c r="AG585"/>
      <c r="AH585"/>
      <c r="AI585"/>
      <c r="AJ585"/>
      <c r="AK585" s="17">
        <f>(Table1[[#This Row],[Climbed]]*weighting!$B$18)+(Table1[[#This Row],[Adjustable Climber]]*weighting!$B$19)+(Table1[[#This Row],[Lift other Robot]]*weighting!$B$20)+(Table1[[#This Row],[Balanced]]*weighting!$B$21)</f>
        <v>0</v>
      </c>
      <c r="AL585" s="8">
        <f>+Table1[[#This Row],[Endgame our score]]+Table1[[#This Row],[teleop our score]]+Table1[[#This Row],[auton our score]]</f>
        <v>0</v>
      </c>
      <c r="AM585" s="20">
        <f t="shared" si="27"/>
        <v>0</v>
      </c>
      <c r="AN585" s="20">
        <f t="shared" si="28"/>
        <v>0</v>
      </c>
      <c r="AO585" s="20">
        <f t="shared" si="29"/>
        <v>0</v>
      </c>
      <c r="AP585" s="20">
        <f>Table1[[#This Row],[balls scored]]+Table1[[#This Row],[auton balls scored]]</f>
        <v>0</v>
      </c>
      <c r="AQ585" s="20">
        <f>Table1[[#This Row],[balls scored high]]+Table1[[#This Row],[Auton Scored High]]</f>
        <v>0</v>
      </c>
      <c r="AR585" s="20">
        <f>Table1[[#This Row],[balls scored low]]+Table1[[#This Row],[Auton Scored Low]]</f>
        <v>0</v>
      </c>
      <c r="AS585" s="50">
        <f>IF(Table1[[#This Row],[Control Panel Spun Time]]&gt;0,1,0)</f>
        <v>0</v>
      </c>
      <c r="AT585" s="20">
        <f>IF(Table1[[#This Row],[Control Panel Color Time]]&gt;0,1,0)</f>
        <v>0</v>
      </c>
    </row>
    <row r="586" spans="1:46" x14ac:dyDescent="0.25">
      <c r="A586"/>
      <c r="I586" s="8">
        <f>+Table1[[#This Row],[Auton ball picked up in our trench]]+Table1[[#This Row],[Auton Balls Picked Up in Mid]]+Table1[[#This Row],[Auton Balls Picked Up In Their Trench]]</f>
        <v>0</v>
      </c>
      <c r="J586" s="8">
        <f>+Table1[[#This Row],[Auton Scored High]]+Table1[[#This Row],[Auton Scored Low]]</f>
        <v>0</v>
      </c>
      <c r="K58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86" s="8">
        <f>Table1[[#This Row],[Balls Scored From Trench]]+Table1[[#This Row],[Balls Scored from Mid]]+Table1[[#This Row],[Balls Scored From Alliance zone]]</f>
        <v>0</v>
      </c>
      <c r="W586" s="8">
        <f>Table1[[#This Row],[balls scored high]]+Table1[[#This Row],[balls scored low]]</f>
        <v>0</v>
      </c>
      <c r="X586" s="8">
        <f>Table1[[#This Row],[Control Panel Spun Time]]+Table1[[#This Row],[Control Panel Color Time]]</f>
        <v>0</v>
      </c>
      <c r="Y586" s="8">
        <f>Table1[[#This Row],[Control Panels Spun]]+Table1[[#This Row],[Control Panel Color]]</f>
        <v>0</v>
      </c>
      <c r="Z58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86" s="17">
        <f>(Table1[[#This Row],[Climbed]]*weighting!$B$18)+(Table1[[#This Row],[Adjustable Climber]]*weighting!$B$19)+(Table1[[#This Row],[Lift other Robot]]*weighting!$B$20)+(Table1[[#This Row],[Balanced]]*weighting!$B$21)</f>
        <v>0</v>
      </c>
      <c r="AL586" s="8">
        <f>+Table1[[#This Row],[Endgame our score]]+Table1[[#This Row],[teleop our score]]+Table1[[#This Row],[auton our score]]</f>
        <v>0</v>
      </c>
      <c r="AM586" s="20">
        <f t="shared" si="27"/>
        <v>0</v>
      </c>
      <c r="AN586" s="20">
        <f t="shared" si="28"/>
        <v>0</v>
      </c>
      <c r="AO586" s="20">
        <f t="shared" si="29"/>
        <v>0</v>
      </c>
      <c r="AP586" s="20">
        <f>Table1[[#This Row],[balls scored]]+Table1[[#This Row],[auton balls scored]]</f>
        <v>0</v>
      </c>
      <c r="AQ586" s="20">
        <f>Table1[[#This Row],[balls scored high]]+Table1[[#This Row],[Auton Scored High]]</f>
        <v>0</v>
      </c>
      <c r="AR586" s="20">
        <f>Table1[[#This Row],[balls scored low]]+Table1[[#This Row],[Auton Scored Low]]</f>
        <v>0</v>
      </c>
      <c r="AS586" s="50">
        <f>IF(Table1[[#This Row],[Control Panel Spun Time]]&gt;0,1,0)</f>
        <v>0</v>
      </c>
      <c r="AT586" s="20">
        <f>IF(Table1[[#This Row],[Control Panel Color Time]]&gt;0,1,0)</f>
        <v>0</v>
      </c>
    </row>
    <row r="587" spans="1:46" s="2" customFormat="1" x14ac:dyDescent="0.25">
      <c r="A587"/>
      <c r="B587"/>
      <c r="C587"/>
      <c r="D587"/>
      <c r="E587"/>
      <c r="F587"/>
      <c r="G587"/>
      <c r="H587"/>
      <c r="I587" s="8">
        <f>+Table1[[#This Row],[Auton ball picked up in our trench]]+Table1[[#This Row],[Auton Balls Picked Up in Mid]]+Table1[[#This Row],[Auton Balls Picked Up In Their Trench]]</f>
        <v>0</v>
      </c>
      <c r="J587" s="8">
        <f>+Table1[[#This Row],[Auton Scored High]]+Table1[[#This Row],[Auton Scored Low]]</f>
        <v>0</v>
      </c>
      <c r="K58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87"/>
      <c r="M587"/>
      <c r="N587"/>
      <c r="O587"/>
      <c r="P587"/>
      <c r="Q587"/>
      <c r="R587"/>
      <c r="S587"/>
      <c r="T587"/>
      <c r="U587"/>
      <c r="V587" s="8">
        <f>Table1[[#This Row],[Balls Scored From Trench]]+Table1[[#This Row],[Balls Scored from Mid]]+Table1[[#This Row],[Balls Scored From Alliance zone]]</f>
        <v>0</v>
      </c>
      <c r="W587" s="8">
        <f>Table1[[#This Row],[balls scored high]]+Table1[[#This Row],[balls scored low]]</f>
        <v>0</v>
      </c>
      <c r="X587" s="8">
        <f>Table1[[#This Row],[Control Panel Spun Time]]+Table1[[#This Row],[Control Panel Color Time]]</f>
        <v>0</v>
      </c>
      <c r="Y587" s="8">
        <f>Table1[[#This Row],[Control Panels Spun]]+Table1[[#This Row],[Control Panel Color]]</f>
        <v>0</v>
      </c>
      <c r="Z58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87"/>
      <c r="AB587"/>
      <c r="AC587"/>
      <c r="AD587"/>
      <c r="AE587"/>
      <c r="AF587"/>
      <c r="AG587"/>
      <c r="AH587"/>
      <c r="AI587"/>
      <c r="AJ587"/>
      <c r="AK587" s="17">
        <f>(Table1[[#This Row],[Climbed]]*weighting!$B$18)+(Table1[[#This Row],[Adjustable Climber]]*weighting!$B$19)+(Table1[[#This Row],[Lift other Robot]]*weighting!$B$20)+(Table1[[#This Row],[Balanced]]*weighting!$B$21)</f>
        <v>0</v>
      </c>
      <c r="AL587" s="8">
        <f>+Table1[[#This Row],[Endgame our score]]+Table1[[#This Row],[teleop our score]]+Table1[[#This Row],[auton our score]]</f>
        <v>0</v>
      </c>
      <c r="AM587" s="20">
        <f t="shared" si="27"/>
        <v>0</v>
      </c>
      <c r="AN587" s="20">
        <f t="shared" si="28"/>
        <v>0</v>
      </c>
      <c r="AO587" s="20">
        <f t="shared" si="29"/>
        <v>0</v>
      </c>
      <c r="AP587" s="20">
        <f>Table1[[#This Row],[balls scored]]+Table1[[#This Row],[auton balls scored]]</f>
        <v>0</v>
      </c>
      <c r="AQ587" s="20">
        <f>Table1[[#This Row],[balls scored high]]+Table1[[#This Row],[Auton Scored High]]</f>
        <v>0</v>
      </c>
      <c r="AR587" s="20">
        <f>Table1[[#This Row],[balls scored low]]+Table1[[#This Row],[Auton Scored Low]]</f>
        <v>0</v>
      </c>
      <c r="AS587" s="50">
        <f>IF(Table1[[#This Row],[Control Panel Spun Time]]&gt;0,1,0)</f>
        <v>0</v>
      </c>
      <c r="AT587" s="20">
        <f>IF(Table1[[#This Row],[Control Panel Color Time]]&gt;0,1,0)</f>
        <v>0</v>
      </c>
    </row>
    <row r="588" spans="1:46" x14ac:dyDescent="0.25">
      <c r="A588"/>
      <c r="I588" s="8">
        <f>+Table1[[#This Row],[Auton ball picked up in our trench]]+Table1[[#This Row],[Auton Balls Picked Up in Mid]]+Table1[[#This Row],[Auton Balls Picked Up In Their Trench]]</f>
        <v>0</v>
      </c>
      <c r="J588" s="8">
        <f>+Table1[[#This Row],[Auton Scored High]]+Table1[[#This Row],[Auton Scored Low]]</f>
        <v>0</v>
      </c>
      <c r="K58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88" s="8">
        <f>Table1[[#This Row],[Balls Scored From Trench]]+Table1[[#This Row],[Balls Scored from Mid]]+Table1[[#This Row],[Balls Scored From Alliance zone]]</f>
        <v>0</v>
      </c>
      <c r="W588" s="8">
        <f>Table1[[#This Row],[balls scored high]]+Table1[[#This Row],[balls scored low]]</f>
        <v>0</v>
      </c>
      <c r="X588" s="8">
        <f>Table1[[#This Row],[Control Panel Spun Time]]+Table1[[#This Row],[Control Panel Color Time]]</f>
        <v>0</v>
      </c>
      <c r="Y588" s="8">
        <f>Table1[[#This Row],[Control Panels Spun]]+Table1[[#This Row],[Control Panel Color]]</f>
        <v>0</v>
      </c>
      <c r="Z58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88" s="17">
        <f>(Table1[[#This Row],[Climbed]]*weighting!$B$18)+(Table1[[#This Row],[Adjustable Climber]]*weighting!$B$19)+(Table1[[#This Row],[Lift other Robot]]*weighting!$B$20)+(Table1[[#This Row],[Balanced]]*weighting!$B$21)</f>
        <v>0</v>
      </c>
      <c r="AL588" s="8">
        <f>+Table1[[#This Row],[Endgame our score]]+Table1[[#This Row],[teleop our score]]+Table1[[#This Row],[auton our score]]</f>
        <v>0</v>
      </c>
      <c r="AM588" s="20">
        <f t="shared" si="27"/>
        <v>0</v>
      </c>
      <c r="AN588" s="20">
        <f t="shared" si="28"/>
        <v>0</v>
      </c>
      <c r="AO588" s="20">
        <f t="shared" si="29"/>
        <v>0</v>
      </c>
      <c r="AP588" s="20">
        <f>Table1[[#This Row],[balls scored]]+Table1[[#This Row],[auton balls scored]]</f>
        <v>0</v>
      </c>
      <c r="AQ588" s="20">
        <f>Table1[[#This Row],[balls scored high]]+Table1[[#This Row],[Auton Scored High]]</f>
        <v>0</v>
      </c>
      <c r="AR588" s="20">
        <f>Table1[[#This Row],[balls scored low]]+Table1[[#This Row],[Auton Scored Low]]</f>
        <v>0</v>
      </c>
      <c r="AS588" s="50">
        <f>IF(Table1[[#This Row],[Control Panel Spun Time]]&gt;0,1,0)</f>
        <v>0</v>
      </c>
      <c r="AT588" s="20">
        <f>IF(Table1[[#This Row],[Control Panel Color Time]]&gt;0,1,0)</f>
        <v>0</v>
      </c>
    </row>
    <row r="589" spans="1:46" s="2" customFormat="1" x14ac:dyDescent="0.25">
      <c r="A589"/>
      <c r="B589"/>
      <c r="C589"/>
      <c r="D589"/>
      <c r="E589"/>
      <c r="F589"/>
      <c r="G589"/>
      <c r="H589"/>
      <c r="I589" s="8">
        <f>+Table1[[#This Row],[Auton ball picked up in our trench]]+Table1[[#This Row],[Auton Balls Picked Up in Mid]]+Table1[[#This Row],[Auton Balls Picked Up In Their Trench]]</f>
        <v>0</v>
      </c>
      <c r="J589" s="8">
        <f>+Table1[[#This Row],[Auton Scored High]]+Table1[[#This Row],[Auton Scored Low]]</f>
        <v>0</v>
      </c>
      <c r="K58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89"/>
      <c r="M589"/>
      <c r="N589"/>
      <c r="O589"/>
      <c r="P589"/>
      <c r="Q589"/>
      <c r="R589"/>
      <c r="S589"/>
      <c r="T589"/>
      <c r="U589"/>
      <c r="V589" s="8">
        <f>Table1[[#This Row],[Balls Scored From Trench]]+Table1[[#This Row],[Balls Scored from Mid]]+Table1[[#This Row],[Balls Scored From Alliance zone]]</f>
        <v>0</v>
      </c>
      <c r="W589" s="8">
        <f>Table1[[#This Row],[balls scored high]]+Table1[[#This Row],[balls scored low]]</f>
        <v>0</v>
      </c>
      <c r="X589" s="8">
        <f>Table1[[#This Row],[Control Panel Spun Time]]+Table1[[#This Row],[Control Panel Color Time]]</f>
        <v>0</v>
      </c>
      <c r="Y589" s="8">
        <f>Table1[[#This Row],[Control Panels Spun]]+Table1[[#This Row],[Control Panel Color]]</f>
        <v>0</v>
      </c>
      <c r="Z58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89"/>
      <c r="AB589"/>
      <c r="AC589"/>
      <c r="AD589"/>
      <c r="AE589"/>
      <c r="AF589"/>
      <c r="AG589"/>
      <c r="AH589"/>
      <c r="AI589"/>
      <c r="AJ589"/>
      <c r="AK589" s="17">
        <f>(Table1[[#This Row],[Climbed]]*weighting!$B$18)+(Table1[[#This Row],[Adjustable Climber]]*weighting!$B$19)+(Table1[[#This Row],[Lift other Robot]]*weighting!$B$20)+(Table1[[#This Row],[Balanced]]*weighting!$B$21)</f>
        <v>0</v>
      </c>
      <c r="AL589" s="8">
        <f>+Table1[[#This Row],[Endgame our score]]+Table1[[#This Row],[teleop our score]]+Table1[[#This Row],[auton our score]]</f>
        <v>0</v>
      </c>
      <c r="AM589" s="20">
        <f t="shared" si="27"/>
        <v>0</v>
      </c>
      <c r="AN589" s="20">
        <f t="shared" si="28"/>
        <v>0</v>
      </c>
      <c r="AO589" s="20">
        <f t="shared" si="29"/>
        <v>0</v>
      </c>
      <c r="AP589" s="20">
        <f>Table1[[#This Row],[balls scored]]+Table1[[#This Row],[auton balls scored]]</f>
        <v>0</v>
      </c>
      <c r="AQ589" s="20">
        <f>Table1[[#This Row],[balls scored high]]+Table1[[#This Row],[Auton Scored High]]</f>
        <v>0</v>
      </c>
      <c r="AR589" s="20">
        <f>Table1[[#This Row],[balls scored low]]+Table1[[#This Row],[Auton Scored Low]]</f>
        <v>0</v>
      </c>
      <c r="AS589" s="50">
        <f>IF(Table1[[#This Row],[Control Panel Spun Time]]&gt;0,1,0)</f>
        <v>0</v>
      </c>
      <c r="AT589" s="20">
        <f>IF(Table1[[#This Row],[Control Panel Color Time]]&gt;0,1,0)</f>
        <v>0</v>
      </c>
    </row>
    <row r="590" spans="1:46" x14ac:dyDescent="0.25">
      <c r="A590"/>
      <c r="I590" s="8">
        <f>+Table1[[#This Row],[Auton ball picked up in our trench]]+Table1[[#This Row],[Auton Balls Picked Up in Mid]]+Table1[[#This Row],[Auton Balls Picked Up In Their Trench]]</f>
        <v>0</v>
      </c>
      <c r="J590" s="8">
        <f>+Table1[[#This Row],[Auton Scored High]]+Table1[[#This Row],[Auton Scored Low]]</f>
        <v>0</v>
      </c>
      <c r="K59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90" s="8">
        <f>Table1[[#This Row],[Balls Scored From Trench]]+Table1[[#This Row],[Balls Scored from Mid]]+Table1[[#This Row],[Balls Scored From Alliance zone]]</f>
        <v>0</v>
      </c>
      <c r="W590" s="8">
        <f>Table1[[#This Row],[balls scored high]]+Table1[[#This Row],[balls scored low]]</f>
        <v>0</v>
      </c>
      <c r="X590" s="8">
        <f>Table1[[#This Row],[Control Panel Spun Time]]+Table1[[#This Row],[Control Panel Color Time]]</f>
        <v>0</v>
      </c>
      <c r="Y590" s="8">
        <f>Table1[[#This Row],[Control Panels Spun]]+Table1[[#This Row],[Control Panel Color]]</f>
        <v>0</v>
      </c>
      <c r="Z59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90" s="17">
        <f>(Table1[[#This Row],[Climbed]]*weighting!$B$18)+(Table1[[#This Row],[Adjustable Climber]]*weighting!$B$19)+(Table1[[#This Row],[Lift other Robot]]*weighting!$B$20)+(Table1[[#This Row],[Balanced]]*weighting!$B$21)</f>
        <v>0</v>
      </c>
      <c r="AL590" s="8">
        <f>+Table1[[#This Row],[Endgame our score]]+Table1[[#This Row],[teleop our score]]+Table1[[#This Row],[auton our score]]</f>
        <v>0</v>
      </c>
      <c r="AM590" s="20">
        <f t="shared" si="27"/>
        <v>0</v>
      </c>
      <c r="AN590" s="20">
        <f t="shared" si="28"/>
        <v>0</v>
      </c>
      <c r="AO590" s="20">
        <f t="shared" si="29"/>
        <v>0</v>
      </c>
      <c r="AP590" s="20">
        <f>Table1[[#This Row],[balls scored]]+Table1[[#This Row],[auton balls scored]]</f>
        <v>0</v>
      </c>
      <c r="AQ590" s="20">
        <f>Table1[[#This Row],[balls scored high]]+Table1[[#This Row],[Auton Scored High]]</f>
        <v>0</v>
      </c>
      <c r="AR590" s="20">
        <f>Table1[[#This Row],[balls scored low]]+Table1[[#This Row],[Auton Scored Low]]</f>
        <v>0</v>
      </c>
      <c r="AS590" s="50">
        <f>IF(Table1[[#This Row],[Control Panel Spun Time]]&gt;0,1,0)</f>
        <v>0</v>
      </c>
      <c r="AT590" s="20">
        <f>IF(Table1[[#This Row],[Control Panel Color Time]]&gt;0,1,0)</f>
        <v>0</v>
      </c>
    </row>
    <row r="591" spans="1:46" s="2" customFormat="1" x14ac:dyDescent="0.25">
      <c r="A591"/>
      <c r="B591"/>
      <c r="C591"/>
      <c r="D591"/>
      <c r="E591"/>
      <c r="F591"/>
      <c r="G591"/>
      <c r="H591"/>
      <c r="I591" s="8">
        <f>+Table1[[#This Row],[Auton ball picked up in our trench]]+Table1[[#This Row],[Auton Balls Picked Up in Mid]]+Table1[[#This Row],[Auton Balls Picked Up In Their Trench]]</f>
        <v>0</v>
      </c>
      <c r="J591" s="8">
        <f>+Table1[[#This Row],[Auton Scored High]]+Table1[[#This Row],[Auton Scored Low]]</f>
        <v>0</v>
      </c>
      <c r="K59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91"/>
      <c r="M591"/>
      <c r="N591"/>
      <c r="O591"/>
      <c r="P591"/>
      <c r="Q591"/>
      <c r="R591"/>
      <c r="S591"/>
      <c r="T591"/>
      <c r="U591"/>
      <c r="V591" s="8">
        <f>Table1[[#This Row],[Balls Scored From Trench]]+Table1[[#This Row],[Balls Scored from Mid]]+Table1[[#This Row],[Balls Scored From Alliance zone]]</f>
        <v>0</v>
      </c>
      <c r="W591" s="8">
        <f>Table1[[#This Row],[balls scored high]]+Table1[[#This Row],[balls scored low]]</f>
        <v>0</v>
      </c>
      <c r="X591" s="8">
        <f>Table1[[#This Row],[Control Panel Spun Time]]+Table1[[#This Row],[Control Panel Color Time]]</f>
        <v>0</v>
      </c>
      <c r="Y591" s="8">
        <f>Table1[[#This Row],[Control Panels Spun]]+Table1[[#This Row],[Control Panel Color]]</f>
        <v>0</v>
      </c>
      <c r="Z59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91"/>
      <c r="AB591"/>
      <c r="AC591"/>
      <c r="AD591"/>
      <c r="AE591"/>
      <c r="AF591"/>
      <c r="AG591"/>
      <c r="AH591"/>
      <c r="AI591"/>
      <c r="AJ591"/>
      <c r="AK591" s="17">
        <f>(Table1[[#This Row],[Climbed]]*weighting!$B$18)+(Table1[[#This Row],[Adjustable Climber]]*weighting!$B$19)+(Table1[[#This Row],[Lift other Robot]]*weighting!$B$20)+(Table1[[#This Row],[Balanced]]*weighting!$B$21)</f>
        <v>0</v>
      </c>
      <c r="AL591" s="8">
        <f>+Table1[[#This Row],[Endgame our score]]+Table1[[#This Row],[teleop our score]]+Table1[[#This Row],[auton our score]]</f>
        <v>0</v>
      </c>
      <c r="AM591" s="20">
        <f t="shared" si="27"/>
        <v>0</v>
      </c>
      <c r="AN591" s="20">
        <f t="shared" si="28"/>
        <v>0</v>
      </c>
      <c r="AO591" s="20">
        <f t="shared" si="29"/>
        <v>0</v>
      </c>
      <c r="AP591" s="20">
        <f>Table1[[#This Row],[balls scored]]+Table1[[#This Row],[auton balls scored]]</f>
        <v>0</v>
      </c>
      <c r="AQ591" s="20">
        <f>Table1[[#This Row],[balls scored high]]+Table1[[#This Row],[Auton Scored High]]</f>
        <v>0</v>
      </c>
      <c r="AR591" s="20">
        <f>Table1[[#This Row],[balls scored low]]+Table1[[#This Row],[Auton Scored Low]]</f>
        <v>0</v>
      </c>
      <c r="AS591" s="50">
        <f>IF(Table1[[#This Row],[Control Panel Spun Time]]&gt;0,1,0)</f>
        <v>0</v>
      </c>
      <c r="AT591" s="20">
        <f>IF(Table1[[#This Row],[Control Panel Color Time]]&gt;0,1,0)</f>
        <v>0</v>
      </c>
    </row>
    <row r="592" spans="1:46" x14ac:dyDescent="0.25">
      <c r="A592"/>
      <c r="I592" s="8">
        <f>+Table1[[#This Row],[Auton ball picked up in our trench]]+Table1[[#This Row],[Auton Balls Picked Up in Mid]]+Table1[[#This Row],[Auton Balls Picked Up In Their Trench]]</f>
        <v>0</v>
      </c>
      <c r="J592" s="8">
        <f>+Table1[[#This Row],[Auton Scored High]]+Table1[[#This Row],[Auton Scored Low]]</f>
        <v>0</v>
      </c>
      <c r="K59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92" s="8">
        <f>Table1[[#This Row],[Balls Scored From Trench]]+Table1[[#This Row],[Balls Scored from Mid]]+Table1[[#This Row],[Balls Scored From Alliance zone]]</f>
        <v>0</v>
      </c>
      <c r="W592" s="8">
        <f>Table1[[#This Row],[balls scored high]]+Table1[[#This Row],[balls scored low]]</f>
        <v>0</v>
      </c>
      <c r="X592" s="8">
        <f>Table1[[#This Row],[Control Panel Spun Time]]+Table1[[#This Row],[Control Panel Color Time]]</f>
        <v>0</v>
      </c>
      <c r="Y592" s="8">
        <f>Table1[[#This Row],[Control Panels Spun]]+Table1[[#This Row],[Control Panel Color]]</f>
        <v>0</v>
      </c>
      <c r="Z59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92" s="17">
        <f>(Table1[[#This Row],[Climbed]]*weighting!$B$18)+(Table1[[#This Row],[Adjustable Climber]]*weighting!$B$19)+(Table1[[#This Row],[Lift other Robot]]*weighting!$B$20)+(Table1[[#This Row],[Balanced]]*weighting!$B$21)</f>
        <v>0</v>
      </c>
      <c r="AL592" s="8">
        <f>+Table1[[#This Row],[Endgame our score]]+Table1[[#This Row],[teleop our score]]+Table1[[#This Row],[auton our score]]</f>
        <v>0</v>
      </c>
      <c r="AM592" s="20">
        <f t="shared" si="27"/>
        <v>0</v>
      </c>
      <c r="AN592" s="20">
        <f t="shared" si="28"/>
        <v>0</v>
      </c>
      <c r="AO592" s="20">
        <f t="shared" si="29"/>
        <v>0</v>
      </c>
      <c r="AP592" s="20">
        <f>Table1[[#This Row],[balls scored]]+Table1[[#This Row],[auton balls scored]]</f>
        <v>0</v>
      </c>
      <c r="AQ592" s="20">
        <f>Table1[[#This Row],[balls scored high]]+Table1[[#This Row],[Auton Scored High]]</f>
        <v>0</v>
      </c>
      <c r="AR592" s="20">
        <f>Table1[[#This Row],[balls scored low]]+Table1[[#This Row],[Auton Scored Low]]</f>
        <v>0</v>
      </c>
      <c r="AS592" s="50">
        <f>IF(Table1[[#This Row],[Control Panel Spun Time]]&gt;0,1,0)</f>
        <v>0</v>
      </c>
      <c r="AT592" s="20">
        <f>IF(Table1[[#This Row],[Control Panel Color Time]]&gt;0,1,0)</f>
        <v>0</v>
      </c>
    </row>
    <row r="593" spans="1:46" s="2" customFormat="1" x14ac:dyDescent="0.25">
      <c r="A593"/>
      <c r="B593"/>
      <c r="C593"/>
      <c r="D593"/>
      <c r="E593"/>
      <c r="F593"/>
      <c r="G593"/>
      <c r="H593"/>
      <c r="I593" s="8">
        <f>+Table1[[#This Row],[Auton ball picked up in our trench]]+Table1[[#This Row],[Auton Balls Picked Up in Mid]]+Table1[[#This Row],[Auton Balls Picked Up In Their Trench]]</f>
        <v>0</v>
      </c>
      <c r="J593" s="8">
        <f>+Table1[[#This Row],[Auton Scored High]]+Table1[[#This Row],[Auton Scored Low]]</f>
        <v>0</v>
      </c>
      <c r="K59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93"/>
      <c r="M593"/>
      <c r="N593"/>
      <c r="O593"/>
      <c r="P593"/>
      <c r="Q593"/>
      <c r="R593"/>
      <c r="S593"/>
      <c r="T593"/>
      <c r="U593"/>
      <c r="V593" s="8">
        <f>Table1[[#This Row],[Balls Scored From Trench]]+Table1[[#This Row],[Balls Scored from Mid]]+Table1[[#This Row],[Balls Scored From Alliance zone]]</f>
        <v>0</v>
      </c>
      <c r="W593" s="8">
        <f>Table1[[#This Row],[balls scored high]]+Table1[[#This Row],[balls scored low]]</f>
        <v>0</v>
      </c>
      <c r="X593" s="8">
        <f>Table1[[#This Row],[Control Panel Spun Time]]+Table1[[#This Row],[Control Panel Color Time]]</f>
        <v>0</v>
      </c>
      <c r="Y593" s="8">
        <f>Table1[[#This Row],[Control Panels Spun]]+Table1[[#This Row],[Control Panel Color]]</f>
        <v>0</v>
      </c>
      <c r="Z59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93"/>
      <c r="AB593"/>
      <c r="AC593"/>
      <c r="AD593"/>
      <c r="AE593"/>
      <c r="AF593"/>
      <c r="AG593"/>
      <c r="AH593"/>
      <c r="AI593"/>
      <c r="AJ593"/>
      <c r="AK593" s="17">
        <f>(Table1[[#This Row],[Climbed]]*weighting!$B$18)+(Table1[[#This Row],[Adjustable Climber]]*weighting!$B$19)+(Table1[[#This Row],[Lift other Robot]]*weighting!$B$20)+(Table1[[#This Row],[Balanced]]*weighting!$B$21)</f>
        <v>0</v>
      </c>
      <c r="AL593" s="8">
        <f>+Table1[[#This Row],[Endgame our score]]+Table1[[#This Row],[teleop our score]]+Table1[[#This Row],[auton our score]]</f>
        <v>0</v>
      </c>
      <c r="AM593" s="20">
        <f t="shared" si="27"/>
        <v>0</v>
      </c>
      <c r="AN593" s="20">
        <f t="shared" si="28"/>
        <v>0</v>
      </c>
      <c r="AO593" s="20">
        <f t="shared" si="29"/>
        <v>0</v>
      </c>
      <c r="AP593" s="20">
        <f>Table1[[#This Row],[balls scored]]+Table1[[#This Row],[auton balls scored]]</f>
        <v>0</v>
      </c>
      <c r="AQ593" s="20">
        <f>Table1[[#This Row],[balls scored high]]+Table1[[#This Row],[Auton Scored High]]</f>
        <v>0</v>
      </c>
      <c r="AR593" s="20">
        <f>Table1[[#This Row],[balls scored low]]+Table1[[#This Row],[Auton Scored Low]]</f>
        <v>0</v>
      </c>
      <c r="AS593" s="50">
        <f>IF(Table1[[#This Row],[Control Panel Spun Time]]&gt;0,1,0)</f>
        <v>0</v>
      </c>
      <c r="AT593" s="20">
        <f>IF(Table1[[#This Row],[Control Panel Color Time]]&gt;0,1,0)</f>
        <v>0</v>
      </c>
    </row>
    <row r="594" spans="1:46" x14ac:dyDescent="0.25">
      <c r="A594"/>
      <c r="I594" s="8">
        <f>+Table1[[#This Row],[Auton ball picked up in our trench]]+Table1[[#This Row],[Auton Balls Picked Up in Mid]]+Table1[[#This Row],[Auton Balls Picked Up In Their Trench]]</f>
        <v>0</v>
      </c>
      <c r="J594" s="8">
        <f>+Table1[[#This Row],[Auton Scored High]]+Table1[[#This Row],[Auton Scored Low]]</f>
        <v>0</v>
      </c>
      <c r="K59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94" s="8">
        <f>Table1[[#This Row],[Balls Scored From Trench]]+Table1[[#This Row],[Balls Scored from Mid]]+Table1[[#This Row],[Balls Scored From Alliance zone]]</f>
        <v>0</v>
      </c>
      <c r="W594" s="8">
        <f>Table1[[#This Row],[balls scored high]]+Table1[[#This Row],[balls scored low]]</f>
        <v>0</v>
      </c>
      <c r="X594" s="8">
        <f>Table1[[#This Row],[Control Panel Spun Time]]+Table1[[#This Row],[Control Panel Color Time]]</f>
        <v>0</v>
      </c>
      <c r="Y594" s="8">
        <f>Table1[[#This Row],[Control Panels Spun]]+Table1[[#This Row],[Control Panel Color]]</f>
        <v>0</v>
      </c>
      <c r="Z59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94" s="17">
        <f>(Table1[[#This Row],[Climbed]]*weighting!$B$18)+(Table1[[#This Row],[Adjustable Climber]]*weighting!$B$19)+(Table1[[#This Row],[Lift other Robot]]*weighting!$B$20)+(Table1[[#This Row],[Balanced]]*weighting!$B$21)</f>
        <v>0</v>
      </c>
      <c r="AL594" s="8">
        <f>+Table1[[#This Row],[Endgame our score]]+Table1[[#This Row],[teleop our score]]+Table1[[#This Row],[auton our score]]</f>
        <v>0</v>
      </c>
      <c r="AM594" s="20">
        <f t="shared" si="27"/>
        <v>0</v>
      </c>
      <c r="AN594" s="20">
        <f t="shared" si="28"/>
        <v>0</v>
      </c>
      <c r="AO594" s="20">
        <f t="shared" si="29"/>
        <v>0</v>
      </c>
      <c r="AP594" s="20">
        <f>Table1[[#This Row],[balls scored]]+Table1[[#This Row],[auton balls scored]]</f>
        <v>0</v>
      </c>
      <c r="AQ594" s="20">
        <f>Table1[[#This Row],[balls scored high]]+Table1[[#This Row],[Auton Scored High]]</f>
        <v>0</v>
      </c>
      <c r="AR594" s="20">
        <f>Table1[[#This Row],[balls scored low]]+Table1[[#This Row],[Auton Scored Low]]</f>
        <v>0</v>
      </c>
      <c r="AS594" s="50">
        <f>IF(Table1[[#This Row],[Control Panel Spun Time]]&gt;0,1,0)</f>
        <v>0</v>
      </c>
      <c r="AT594" s="20">
        <f>IF(Table1[[#This Row],[Control Panel Color Time]]&gt;0,1,0)</f>
        <v>0</v>
      </c>
    </row>
    <row r="595" spans="1:46" s="2" customFormat="1" x14ac:dyDescent="0.25">
      <c r="A595"/>
      <c r="B595"/>
      <c r="C595"/>
      <c r="D595"/>
      <c r="E595"/>
      <c r="F595"/>
      <c r="G595"/>
      <c r="H595"/>
      <c r="I595" s="8">
        <f>+Table1[[#This Row],[Auton ball picked up in our trench]]+Table1[[#This Row],[Auton Balls Picked Up in Mid]]+Table1[[#This Row],[Auton Balls Picked Up In Their Trench]]</f>
        <v>0</v>
      </c>
      <c r="J595" s="8">
        <f>+Table1[[#This Row],[Auton Scored High]]+Table1[[#This Row],[Auton Scored Low]]</f>
        <v>0</v>
      </c>
      <c r="K59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95"/>
      <c r="M595"/>
      <c r="N595"/>
      <c r="O595"/>
      <c r="P595"/>
      <c r="Q595"/>
      <c r="R595"/>
      <c r="S595"/>
      <c r="T595"/>
      <c r="U595"/>
      <c r="V595" s="8">
        <f>Table1[[#This Row],[Balls Scored From Trench]]+Table1[[#This Row],[Balls Scored from Mid]]+Table1[[#This Row],[Balls Scored From Alliance zone]]</f>
        <v>0</v>
      </c>
      <c r="W595" s="8">
        <f>Table1[[#This Row],[balls scored high]]+Table1[[#This Row],[balls scored low]]</f>
        <v>0</v>
      </c>
      <c r="X595" s="8">
        <f>Table1[[#This Row],[Control Panel Spun Time]]+Table1[[#This Row],[Control Panel Color Time]]</f>
        <v>0</v>
      </c>
      <c r="Y595" s="8">
        <f>Table1[[#This Row],[Control Panels Spun]]+Table1[[#This Row],[Control Panel Color]]</f>
        <v>0</v>
      </c>
      <c r="Z59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95"/>
      <c r="AB595"/>
      <c r="AC595"/>
      <c r="AD595"/>
      <c r="AE595"/>
      <c r="AF595"/>
      <c r="AG595"/>
      <c r="AH595"/>
      <c r="AI595"/>
      <c r="AJ595"/>
      <c r="AK595" s="17">
        <f>(Table1[[#This Row],[Climbed]]*weighting!$B$18)+(Table1[[#This Row],[Adjustable Climber]]*weighting!$B$19)+(Table1[[#This Row],[Lift other Robot]]*weighting!$B$20)+(Table1[[#This Row],[Balanced]]*weighting!$B$21)</f>
        <v>0</v>
      </c>
      <c r="AL595" s="8">
        <f>+Table1[[#This Row],[Endgame our score]]+Table1[[#This Row],[teleop our score]]+Table1[[#This Row],[auton our score]]</f>
        <v>0</v>
      </c>
      <c r="AM595" s="20">
        <f t="shared" si="27"/>
        <v>0</v>
      </c>
      <c r="AN595" s="20">
        <f t="shared" si="28"/>
        <v>0</v>
      </c>
      <c r="AO595" s="20">
        <f t="shared" si="29"/>
        <v>0</v>
      </c>
      <c r="AP595" s="20">
        <f>Table1[[#This Row],[balls scored]]+Table1[[#This Row],[auton balls scored]]</f>
        <v>0</v>
      </c>
      <c r="AQ595" s="20">
        <f>Table1[[#This Row],[balls scored high]]+Table1[[#This Row],[Auton Scored High]]</f>
        <v>0</v>
      </c>
      <c r="AR595" s="20">
        <f>Table1[[#This Row],[balls scored low]]+Table1[[#This Row],[Auton Scored Low]]</f>
        <v>0</v>
      </c>
      <c r="AS595" s="50">
        <f>IF(Table1[[#This Row],[Control Panel Spun Time]]&gt;0,1,0)</f>
        <v>0</v>
      </c>
      <c r="AT595" s="20">
        <f>IF(Table1[[#This Row],[Control Panel Color Time]]&gt;0,1,0)</f>
        <v>0</v>
      </c>
    </row>
    <row r="596" spans="1:46" x14ac:dyDescent="0.25">
      <c r="A596"/>
      <c r="I596" s="8">
        <f>+Table1[[#This Row],[Auton ball picked up in our trench]]+Table1[[#This Row],[Auton Balls Picked Up in Mid]]+Table1[[#This Row],[Auton Balls Picked Up In Their Trench]]</f>
        <v>0</v>
      </c>
      <c r="J596" s="8">
        <f>+Table1[[#This Row],[Auton Scored High]]+Table1[[#This Row],[Auton Scored Low]]</f>
        <v>0</v>
      </c>
      <c r="K59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96" s="8">
        <f>Table1[[#This Row],[Balls Scored From Trench]]+Table1[[#This Row],[Balls Scored from Mid]]+Table1[[#This Row],[Balls Scored From Alliance zone]]</f>
        <v>0</v>
      </c>
      <c r="W596" s="8">
        <f>Table1[[#This Row],[balls scored high]]+Table1[[#This Row],[balls scored low]]</f>
        <v>0</v>
      </c>
      <c r="X596" s="8">
        <f>Table1[[#This Row],[Control Panel Spun Time]]+Table1[[#This Row],[Control Panel Color Time]]</f>
        <v>0</v>
      </c>
      <c r="Y596" s="8">
        <f>Table1[[#This Row],[Control Panels Spun]]+Table1[[#This Row],[Control Panel Color]]</f>
        <v>0</v>
      </c>
      <c r="Z59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96" s="17">
        <f>(Table1[[#This Row],[Climbed]]*weighting!$B$18)+(Table1[[#This Row],[Adjustable Climber]]*weighting!$B$19)+(Table1[[#This Row],[Lift other Robot]]*weighting!$B$20)+(Table1[[#This Row],[Balanced]]*weighting!$B$21)</f>
        <v>0</v>
      </c>
      <c r="AL596" s="8">
        <f>+Table1[[#This Row],[Endgame our score]]+Table1[[#This Row],[teleop our score]]+Table1[[#This Row],[auton our score]]</f>
        <v>0</v>
      </c>
      <c r="AM596" s="20">
        <f t="shared" si="27"/>
        <v>0</v>
      </c>
      <c r="AN596" s="20">
        <f t="shared" si="28"/>
        <v>0</v>
      </c>
      <c r="AO596" s="20">
        <f t="shared" si="29"/>
        <v>0</v>
      </c>
      <c r="AP596" s="20">
        <f>Table1[[#This Row],[balls scored]]+Table1[[#This Row],[auton balls scored]]</f>
        <v>0</v>
      </c>
      <c r="AQ596" s="20">
        <f>Table1[[#This Row],[balls scored high]]+Table1[[#This Row],[Auton Scored High]]</f>
        <v>0</v>
      </c>
      <c r="AR596" s="20">
        <f>Table1[[#This Row],[balls scored low]]+Table1[[#This Row],[Auton Scored Low]]</f>
        <v>0</v>
      </c>
      <c r="AS596" s="50">
        <f>IF(Table1[[#This Row],[Control Panel Spun Time]]&gt;0,1,0)</f>
        <v>0</v>
      </c>
      <c r="AT596" s="20">
        <f>IF(Table1[[#This Row],[Control Panel Color Time]]&gt;0,1,0)</f>
        <v>0</v>
      </c>
    </row>
    <row r="597" spans="1:46" s="2" customFormat="1" x14ac:dyDescent="0.25">
      <c r="A597"/>
      <c r="B597"/>
      <c r="C597"/>
      <c r="D597"/>
      <c r="E597"/>
      <c r="F597"/>
      <c r="G597"/>
      <c r="H597"/>
      <c r="I597" s="8">
        <f>+Table1[[#This Row],[Auton ball picked up in our trench]]+Table1[[#This Row],[Auton Balls Picked Up in Mid]]+Table1[[#This Row],[Auton Balls Picked Up In Their Trench]]</f>
        <v>0</v>
      </c>
      <c r="J597" s="8">
        <f>+Table1[[#This Row],[Auton Scored High]]+Table1[[#This Row],[Auton Scored Low]]</f>
        <v>0</v>
      </c>
      <c r="K59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97"/>
      <c r="M597"/>
      <c r="N597"/>
      <c r="O597"/>
      <c r="P597"/>
      <c r="Q597"/>
      <c r="R597"/>
      <c r="S597"/>
      <c r="T597"/>
      <c r="U597"/>
      <c r="V597" s="8">
        <f>Table1[[#This Row],[Balls Scored From Trench]]+Table1[[#This Row],[Balls Scored from Mid]]+Table1[[#This Row],[Balls Scored From Alliance zone]]</f>
        <v>0</v>
      </c>
      <c r="W597" s="8">
        <f>Table1[[#This Row],[balls scored high]]+Table1[[#This Row],[balls scored low]]</f>
        <v>0</v>
      </c>
      <c r="X597" s="8">
        <f>Table1[[#This Row],[Control Panel Spun Time]]+Table1[[#This Row],[Control Panel Color Time]]</f>
        <v>0</v>
      </c>
      <c r="Y597" s="8">
        <f>Table1[[#This Row],[Control Panels Spun]]+Table1[[#This Row],[Control Panel Color]]</f>
        <v>0</v>
      </c>
      <c r="Z59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97"/>
      <c r="AB597"/>
      <c r="AC597"/>
      <c r="AD597"/>
      <c r="AE597"/>
      <c r="AF597"/>
      <c r="AG597"/>
      <c r="AH597"/>
      <c r="AI597"/>
      <c r="AJ597"/>
      <c r="AK597" s="17">
        <f>(Table1[[#This Row],[Climbed]]*weighting!$B$18)+(Table1[[#This Row],[Adjustable Climber]]*weighting!$B$19)+(Table1[[#This Row],[Lift other Robot]]*weighting!$B$20)+(Table1[[#This Row],[Balanced]]*weighting!$B$21)</f>
        <v>0</v>
      </c>
      <c r="AL597" s="8">
        <f>+Table1[[#This Row],[Endgame our score]]+Table1[[#This Row],[teleop our score]]+Table1[[#This Row],[auton our score]]</f>
        <v>0</v>
      </c>
      <c r="AM597" s="20">
        <f t="shared" si="27"/>
        <v>0</v>
      </c>
      <c r="AN597" s="20">
        <f t="shared" si="28"/>
        <v>0</v>
      </c>
      <c r="AO597" s="20">
        <f t="shared" si="29"/>
        <v>0</v>
      </c>
      <c r="AP597" s="20">
        <f>Table1[[#This Row],[balls scored]]+Table1[[#This Row],[auton balls scored]]</f>
        <v>0</v>
      </c>
      <c r="AQ597" s="20">
        <f>Table1[[#This Row],[balls scored high]]+Table1[[#This Row],[Auton Scored High]]</f>
        <v>0</v>
      </c>
      <c r="AR597" s="20">
        <f>Table1[[#This Row],[balls scored low]]+Table1[[#This Row],[Auton Scored Low]]</f>
        <v>0</v>
      </c>
      <c r="AS597" s="50">
        <f>IF(Table1[[#This Row],[Control Panel Spun Time]]&gt;0,1,0)</f>
        <v>0</v>
      </c>
      <c r="AT597" s="20">
        <f>IF(Table1[[#This Row],[Control Panel Color Time]]&gt;0,1,0)</f>
        <v>0</v>
      </c>
    </row>
    <row r="598" spans="1:46" x14ac:dyDescent="0.25">
      <c r="A598"/>
      <c r="I598" s="8">
        <f>+Table1[[#This Row],[Auton ball picked up in our trench]]+Table1[[#This Row],[Auton Balls Picked Up in Mid]]+Table1[[#This Row],[Auton Balls Picked Up In Their Trench]]</f>
        <v>0</v>
      </c>
      <c r="J598" s="8">
        <f>+Table1[[#This Row],[Auton Scored High]]+Table1[[#This Row],[Auton Scored Low]]</f>
        <v>0</v>
      </c>
      <c r="K59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598" s="8">
        <f>Table1[[#This Row],[Balls Scored From Trench]]+Table1[[#This Row],[Balls Scored from Mid]]+Table1[[#This Row],[Balls Scored From Alliance zone]]</f>
        <v>0</v>
      </c>
      <c r="W598" s="8">
        <f>Table1[[#This Row],[balls scored high]]+Table1[[#This Row],[balls scored low]]</f>
        <v>0</v>
      </c>
      <c r="X598" s="8">
        <f>Table1[[#This Row],[Control Panel Spun Time]]+Table1[[#This Row],[Control Panel Color Time]]</f>
        <v>0</v>
      </c>
      <c r="Y598" s="8">
        <f>Table1[[#This Row],[Control Panels Spun]]+Table1[[#This Row],[Control Panel Color]]</f>
        <v>0</v>
      </c>
      <c r="Z59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598" s="17">
        <f>(Table1[[#This Row],[Climbed]]*weighting!$B$18)+(Table1[[#This Row],[Adjustable Climber]]*weighting!$B$19)+(Table1[[#This Row],[Lift other Robot]]*weighting!$B$20)+(Table1[[#This Row],[Balanced]]*weighting!$B$21)</f>
        <v>0</v>
      </c>
      <c r="AL598" s="8">
        <f>+Table1[[#This Row],[Endgame our score]]+Table1[[#This Row],[teleop our score]]+Table1[[#This Row],[auton our score]]</f>
        <v>0</v>
      </c>
      <c r="AM598" s="20">
        <f t="shared" si="27"/>
        <v>0</v>
      </c>
      <c r="AN598" s="20">
        <f t="shared" si="28"/>
        <v>0</v>
      </c>
      <c r="AO598" s="20">
        <f t="shared" si="29"/>
        <v>0</v>
      </c>
      <c r="AP598" s="20">
        <f>Table1[[#This Row],[balls scored]]+Table1[[#This Row],[auton balls scored]]</f>
        <v>0</v>
      </c>
      <c r="AQ598" s="20">
        <f>Table1[[#This Row],[balls scored high]]+Table1[[#This Row],[Auton Scored High]]</f>
        <v>0</v>
      </c>
      <c r="AR598" s="20">
        <f>Table1[[#This Row],[balls scored low]]+Table1[[#This Row],[Auton Scored Low]]</f>
        <v>0</v>
      </c>
      <c r="AS598" s="50">
        <f>IF(Table1[[#This Row],[Control Panel Spun Time]]&gt;0,1,0)</f>
        <v>0</v>
      </c>
      <c r="AT598" s="20">
        <f>IF(Table1[[#This Row],[Control Panel Color Time]]&gt;0,1,0)</f>
        <v>0</v>
      </c>
    </row>
    <row r="599" spans="1:46" s="2" customFormat="1" x14ac:dyDescent="0.25">
      <c r="A599"/>
      <c r="B599"/>
      <c r="C599"/>
      <c r="D599"/>
      <c r="E599"/>
      <c r="F599"/>
      <c r="G599"/>
      <c r="H599"/>
      <c r="I599" s="8">
        <f>+Table1[[#This Row],[Auton ball picked up in our trench]]+Table1[[#This Row],[Auton Balls Picked Up in Mid]]+Table1[[#This Row],[Auton Balls Picked Up In Their Trench]]</f>
        <v>0</v>
      </c>
      <c r="J599" s="8">
        <f>+Table1[[#This Row],[Auton Scored High]]+Table1[[#This Row],[Auton Scored Low]]</f>
        <v>0</v>
      </c>
      <c r="K59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599"/>
      <c r="M599"/>
      <c r="N599"/>
      <c r="O599"/>
      <c r="P599"/>
      <c r="Q599"/>
      <c r="R599"/>
      <c r="S599"/>
      <c r="T599"/>
      <c r="U599"/>
      <c r="V599" s="8">
        <f>Table1[[#This Row],[Balls Scored From Trench]]+Table1[[#This Row],[Balls Scored from Mid]]+Table1[[#This Row],[Balls Scored From Alliance zone]]</f>
        <v>0</v>
      </c>
      <c r="W599" s="8">
        <f>Table1[[#This Row],[balls scored high]]+Table1[[#This Row],[balls scored low]]</f>
        <v>0</v>
      </c>
      <c r="X599" s="8">
        <f>Table1[[#This Row],[Control Panel Spun Time]]+Table1[[#This Row],[Control Panel Color Time]]</f>
        <v>0</v>
      </c>
      <c r="Y599" s="8">
        <f>Table1[[#This Row],[Control Panels Spun]]+Table1[[#This Row],[Control Panel Color]]</f>
        <v>0</v>
      </c>
      <c r="Z59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599"/>
      <c r="AB599"/>
      <c r="AC599"/>
      <c r="AD599"/>
      <c r="AE599"/>
      <c r="AF599"/>
      <c r="AG599"/>
      <c r="AH599"/>
      <c r="AI599"/>
      <c r="AJ599"/>
      <c r="AK599" s="17">
        <f>(Table1[[#This Row],[Climbed]]*weighting!$B$18)+(Table1[[#This Row],[Adjustable Climber]]*weighting!$B$19)+(Table1[[#This Row],[Lift other Robot]]*weighting!$B$20)+(Table1[[#This Row],[Balanced]]*weighting!$B$21)</f>
        <v>0</v>
      </c>
      <c r="AL599" s="8">
        <f>+Table1[[#This Row],[Endgame our score]]+Table1[[#This Row],[teleop our score]]+Table1[[#This Row],[auton our score]]</f>
        <v>0</v>
      </c>
      <c r="AM599" s="20">
        <f t="shared" si="27"/>
        <v>0</v>
      </c>
      <c r="AN599" s="20">
        <f t="shared" si="28"/>
        <v>0</v>
      </c>
      <c r="AO599" s="20">
        <f t="shared" si="29"/>
        <v>0</v>
      </c>
      <c r="AP599" s="20">
        <f>Table1[[#This Row],[balls scored]]+Table1[[#This Row],[auton balls scored]]</f>
        <v>0</v>
      </c>
      <c r="AQ599" s="20">
        <f>Table1[[#This Row],[balls scored high]]+Table1[[#This Row],[Auton Scored High]]</f>
        <v>0</v>
      </c>
      <c r="AR599" s="20">
        <f>Table1[[#This Row],[balls scored low]]+Table1[[#This Row],[Auton Scored Low]]</f>
        <v>0</v>
      </c>
      <c r="AS599" s="50">
        <f>IF(Table1[[#This Row],[Control Panel Spun Time]]&gt;0,1,0)</f>
        <v>0</v>
      </c>
      <c r="AT599" s="20">
        <f>IF(Table1[[#This Row],[Control Panel Color Time]]&gt;0,1,0)</f>
        <v>0</v>
      </c>
    </row>
    <row r="600" spans="1:46" x14ac:dyDescent="0.25">
      <c r="A600"/>
      <c r="I600" s="8">
        <f>+Table1[[#This Row],[Auton ball picked up in our trench]]+Table1[[#This Row],[Auton Balls Picked Up in Mid]]+Table1[[#This Row],[Auton Balls Picked Up In Their Trench]]</f>
        <v>0</v>
      </c>
      <c r="J600" s="8">
        <f>+Table1[[#This Row],[Auton Scored High]]+Table1[[#This Row],[Auton Scored Low]]</f>
        <v>0</v>
      </c>
      <c r="K60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00" s="8">
        <f>Table1[[#This Row],[Balls Scored From Trench]]+Table1[[#This Row],[Balls Scored from Mid]]+Table1[[#This Row],[Balls Scored From Alliance zone]]</f>
        <v>0</v>
      </c>
      <c r="W600" s="8">
        <f>Table1[[#This Row],[balls scored high]]+Table1[[#This Row],[balls scored low]]</f>
        <v>0</v>
      </c>
      <c r="X600" s="8">
        <f>Table1[[#This Row],[Control Panel Spun Time]]+Table1[[#This Row],[Control Panel Color Time]]</f>
        <v>0</v>
      </c>
      <c r="Y600" s="8">
        <f>Table1[[#This Row],[Control Panels Spun]]+Table1[[#This Row],[Control Panel Color]]</f>
        <v>0</v>
      </c>
      <c r="Z60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00" s="17">
        <f>(Table1[[#This Row],[Climbed]]*weighting!$B$18)+(Table1[[#This Row],[Adjustable Climber]]*weighting!$B$19)+(Table1[[#This Row],[Lift other Robot]]*weighting!$B$20)+(Table1[[#This Row],[Balanced]]*weighting!$B$21)</f>
        <v>0</v>
      </c>
      <c r="AL600" s="8">
        <f>+Table1[[#This Row],[Endgame our score]]+Table1[[#This Row],[teleop our score]]+Table1[[#This Row],[auton our score]]</f>
        <v>0</v>
      </c>
      <c r="AM600" s="20">
        <f t="shared" si="27"/>
        <v>0</v>
      </c>
      <c r="AN600" s="20">
        <f t="shared" si="28"/>
        <v>0</v>
      </c>
      <c r="AO600" s="20">
        <f t="shared" si="29"/>
        <v>0</v>
      </c>
      <c r="AP600" s="20">
        <f>Table1[[#This Row],[balls scored]]+Table1[[#This Row],[auton balls scored]]</f>
        <v>0</v>
      </c>
      <c r="AQ600" s="20">
        <f>Table1[[#This Row],[balls scored high]]+Table1[[#This Row],[Auton Scored High]]</f>
        <v>0</v>
      </c>
      <c r="AR600" s="20">
        <f>Table1[[#This Row],[balls scored low]]+Table1[[#This Row],[Auton Scored Low]]</f>
        <v>0</v>
      </c>
      <c r="AS600" s="50">
        <f>IF(Table1[[#This Row],[Control Panel Spun Time]]&gt;0,1,0)</f>
        <v>0</v>
      </c>
      <c r="AT600" s="20">
        <f>IF(Table1[[#This Row],[Control Panel Color Time]]&gt;0,1,0)</f>
        <v>0</v>
      </c>
    </row>
    <row r="601" spans="1:46" s="2" customFormat="1" x14ac:dyDescent="0.25">
      <c r="A601"/>
      <c r="B601"/>
      <c r="C601"/>
      <c r="D601"/>
      <c r="E601"/>
      <c r="F601"/>
      <c r="G601"/>
      <c r="H601"/>
      <c r="I601" s="8">
        <f>+Table1[[#This Row],[Auton ball picked up in our trench]]+Table1[[#This Row],[Auton Balls Picked Up in Mid]]+Table1[[#This Row],[Auton Balls Picked Up In Their Trench]]</f>
        <v>0</v>
      </c>
      <c r="J601" s="8">
        <f>+Table1[[#This Row],[Auton Scored High]]+Table1[[#This Row],[Auton Scored Low]]</f>
        <v>0</v>
      </c>
      <c r="K60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01"/>
      <c r="M601"/>
      <c r="N601"/>
      <c r="O601"/>
      <c r="P601"/>
      <c r="Q601"/>
      <c r="R601"/>
      <c r="S601"/>
      <c r="T601"/>
      <c r="U601"/>
      <c r="V601" s="8">
        <f>Table1[[#This Row],[Balls Scored From Trench]]+Table1[[#This Row],[Balls Scored from Mid]]+Table1[[#This Row],[Balls Scored From Alliance zone]]</f>
        <v>0</v>
      </c>
      <c r="W601" s="8">
        <f>Table1[[#This Row],[balls scored high]]+Table1[[#This Row],[balls scored low]]</f>
        <v>0</v>
      </c>
      <c r="X601" s="8">
        <f>Table1[[#This Row],[Control Panel Spun Time]]+Table1[[#This Row],[Control Panel Color Time]]</f>
        <v>0</v>
      </c>
      <c r="Y601" s="8">
        <f>Table1[[#This Row],[Control Panels Spun]]+Table1[[#This Row],[Control Panel Color]]</f>
        <v>0</v>
      </c>
      <c r="Z60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01"/>
      <c r="AB601"/>
      <c r="AC601"/>
      <c r="AD601"/>
      <c r="AE601"/>
      <c r="AF601"/>
      <c r="AG601"/>
      <c r="AH601"/>
      <c r="AI601"/>
      <c r="AJ601"/>
      <c r="AK601" s="17">
        <f>(Table1[[#This Row],[Climbed]]*weighting!$B$18)+(Table1[[#This Row],[Adjustable Climber]]*weighting!$B$19)+(Table1[[#This Row],[Lift other Robot]]*weighting!$B$20)+(Table1[[#This Row],[Balanced]]*weighting!$B$21)</f>
        <v>0</v>
      </c>
      <c r="AL601" s="8">
        <f>+Table1[[#This Row],[Endgame our score]]+Table1[[#This Row],[teleop our score]]+Table1[[#This Row],[auton our score]]</f>
        <v>0</v>
      </c>
      <c r="AM601" s="20">
        <f t="shared" si="27"/>
        <v>0</v>
      </c>
      <c r="AN601" s="20">
        <f t="shared" si="28"/>
        <v>0</v>
      </c>
      <c r="AO601" s="20">
        <f t="shared" si="29"/>
        <v>0</v>
      </c>
      <c r="AP601" s="20">
        <f>Table1[[#This Row],[balls scored]]+Table1[[#This Row],[auton balls scored]]</f>
        <v>0</v>
      </c>
      <c r="AQ601" s="20">
        <f>Table1[[#This Row],[balls scored high]]+Table1[[#This Row],[Auton Scored High]]</f>
        <v>0</v>
      </c>
      <c r="AR601" s="20">
        <f>Table1[[#This Row],[balls scored low]]+Table1[[#This Row],[Auton Scored Low]]</f>
        <v>0</v>
      </c>
      <c r="AS601" s="50">
        <f>IF(Table1[[#This Row],[Control Panel Spun Time]]&gt;0,1,0)</f>
        <v>0</v>
      </c>
      <c r="AT601" s="20">
        <f>IF(Table1[[#This Row],[Control Panel Color Time]]&gt;0,1,0)</f>
        <v>0</v>
      </c>
    </row>
    <row r="602" spans="1:46" x14ac:dyDescent="0.25">
      <c r="A602"/>
      <c r="I602" s="8">
        <f>+Table1[[#This Row],[Auton ball picked up in our trench]]+Table1[[#This Row],[Auton Balls Picked Up in Mid]]+Table1[[#This Row],[Auton Balls Picked Up In Their Trench]]</f>
        <v>0</v>
      </c>
      <c r="J602" s="8">
        <f>+Table1[[#This Row],[Auton Scored High]]+Table1[[#This Row],[Auton Scored Low]]</f>
        <v>0</v>
      </c>
      <c r="K60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02" s="8">
        <f>Table1[[#This Row],[Balls Scored From Trench]]+Table1[[#This Row],[Balls Scored from Mid]]+Table1[[#This Row],[Balls Scored From Alliance zone]]</f>
        <v>0</v>
      </c>
      <c r="W602" s="8">
        <f>Table1[[#This Row],[balls scored high]]+Table1[[#This Row],[balls scored low]]</f>
        <v>0</v>
      </c>
      <c r="X602" s="8">
        <f>Table1[[#This Row],[Control Panel Spun Time]]+Table1[[#This Row],[Control Panel Color Time]]</f>
        <v>0</v>
      </c>
      <c r="Y602" s="8">
        <f>Table1[[#This Row],[Control Panels Spun]]+Table1[[#This Row],[Control Panel Color]]</f>
        <v>0</v>
      </c>
      <c r="Z60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02" s="17">
        <f>(Table1[[#This Row],[Climbed]]*weighting!$B$18)+(Table1[[#This Row],[Adjustable Climber]]*weighting!$B$19)+(Table1[[#This Row],[Lift other Robot]]*weighting!$B$20)+(Table1[[#This Row],[Balanced]]*weighting!$B$21)</f>
        <v>0</v>
      </c>
      <c r="AL602" s="8">
        <f>+Table1[[#This Row],[Endgame our score]]+Table1[[#This Row],[teleop our score]]+Table1[[#This Row],[auton our score]]</f>
        <v>0</v>
      </c>
      <c r="AM602" s="20">
        <f t="shared" si="27"/>
        <v>0</v>
      </c>
      <c r="AN602" s="20">
        <f t="shared" si="28"/>
        <v>0</v>
      </c>
      <c r="AO602" s="20">
        <f t="shared" si="29"/>
        <v>0</v>
      </c>
      <c r="AP602" s="20">
        <f>Table1[[#This Row],[balls scored]]+Table1[[#This Row],[auton balls scored]]</f>
        <v>0</v>
      </c>
      <c r="AQ602" s="20">
        <f>Table1[[#This Row],[balls scored high]]+Table1[[#This Row],[Auton Scored High]]</f>
        <v>0</v>
      </c>
      <c r="AR602" s="20">
        <f>Table1[[#This Row],[balls scored low]]+Table1[[#This Row],[Auton Scored Low]]</f>
        <v>0</v>
      </c>
      <c r="AS602" s="50">
        <f>IF(Table1[[#This Row],[Control Panel Spun Time]]&gt;0,1,0)</f>
        <v>0</v>
      </c>
      <c r="AT602" s="20">
        <f>IF(Table1[[#This Row],[Control Panel Color Time]]&gt;0,1,0)</f>
        <v>0</v>
      </c>
    </row>
    <row r="603" spans="1:46" s="2" customFormat="1" x14ac:dyDescent="0.25">
      <c r="A603"/>
      <c r="B603"/>
      <c r="C603"/>
      <c r="D603"/>
      <c r="E603"/>
      <c r="F603"/>
      <c r="G603"/>
      <c r="H603"/>
      <c r="I603" s="8">
        <f>+Table1[[#This Row],[Auton ball picked up in our trench]]+Table1[[#This Row],[Auton Balls Picked Up in Mid]]+Table1[[#This Row],[Auton Balls Picked Up In Their Trench]]</f>
        <v>0</v>
      </c>
      <c r="J603" s="8">
        <f>+Table1[[#This Row],[Auton Scored High]]+Table1[[#This Row],[Auton Scored Low]]</f>
        <v>0</v>
      </c>
      <c r="K60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03"/>
      <c r="M603"/>
      <c r="N603"/>
      <c r="O603"/>
      <c r="P603"/>
      <c r="Q603"/>
      <c r="R603"/>
      <c r="S603"/>
      <c r="T603"/>
      <c r="U603"/>
      <c r="V603" s="8">
        <f>Table1[[#This Row],[Balls Scored From Trench]]+Table1[[#This Row],[Balls Scored from Mid]]+Table1[[#This Row],[Balls Scored From Alliance zone]]</f>
        <v>0</v>
      </c>
      <c r="W603" s="8">
        <f>Table1[[#This Row],[balls scored high]]+Table1[[#This Row],[balls scored low]]</f>
        <v>0</v>
      </c>
      <c r="X603" s="8">
        <f>Table1[[#This Row],[Control Panel Spun Time]]+Table1[[#This Row],[Control Panel Color Time]]</f>
        <v>0</v>
      </c>
      <c r="Y603" s="8">
        <f>Table1[[#This Row],[Control Panels Spun]]+Table1[[#This Row],[Control Panel Color]]</f>
        <v>0</v>
      </c>
      <c r="Z60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03"/>
      <c r="AB603"/>
      <c r="AC603"/>
      <c r="AD603"/>
      <c r="AE603"/>
      <c r="AF603"/>
      <c r="AG603"/>
      <c r="AH603"/>
      <c r="AI603"/>
      <c r="AJ603"/>
      <c r="AK603" s="17">
        <f>(Table1[[#This Row],[Climbed]]*weighting!$B$18)+(Table1[[#This Row],[Adjustable Climber]]*weighting!$B$19)+(Table1[[#This Row],[Lift other Robot]]*weighting!$B$20)+(Table1[[#This Row],[Balanced]]*weighting!$B$21)</f>
        <v>0</v>
      </c>
      <c r="AL603" s="8">
        <f>+Table1[[#This Row],[Endgame our score]]+Table1[[#This Row],[teleop our score]]+Table1[[#This Row],[auton our score]]</f>
        <v>0</v>
      </c>
      <c r="AM603" s="20">
        <f t="shared" si="27"/>
        <v>0</v>
      </c>
      <c r="AN603" s="20">
        <f t="shared" si="28"/>
        <v>0</v>
      </c>
      <c r="AO603" s="20">
        <f t="shared" si="29"/>
        <v>0</v>
      </c>
      <c r="AP603" s="20">
        <f>Table1[[#This Row],[balls scored]]+Table1[[#This Row],[auton balls scored]]</f>
        <v>0</v>
      </c>
      <c r="AQ603" s="20">
        <f>Table1[[#This Row],[balls scored high]]+Table1[[#This Row],[Auton Scored High]]</f>
        <v>0</v>
      </c>
      <c r="AR603" s="20">
        <f>Table1[[#This Row],[balls scored low]]+Table1[[#This Row],[Auton Scored Low]]</f>
        <v>0</v>
      </c>
      <c r="AS603" s="50">
        <f>IF(Table1[[#This Row],[Control Panel Spun Time]]&gt;0,1,0)</f>
        <v>0</v>
      </c>
      <c r="AT603" s="20">
        <f>IF(Table1[[#This Row],[Control Panel Color Time]]&gt;0,1,0)</f>
        <v>0</v>
      </c>
    </row>
    <row r="604" spans="1:46" x14ac:dyDescent="0.25">
      <c r="A604"/>
      <c r="I604" s="8">
        <f>+Table1[[#This Row],[Auton ball picked up in our trench]]+Table1[[#This Row],[Auton Balls Picked Up in Mid]]+Table1[[#This Row],[Auton Balls Picked Up In Their Trench]]</f>
        <v>0</v>
      </c>
      <c r="J604" s="8">
        <f>+Table1[[#This Row],[Auton Scored High]]+Table1[[#This Row],[Auton Scored Low]]</f>
        <v>0</v>
      </c>
      <c r="K60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04" s="8">
        <f>Table1[[#This Row],[Balls Scored From Trench]]+Table1[[#This Row],[Balls Scored from Mid]]+Table1[[#This Row],[Balls Scored From Alliance zone]]</f>
        <v>0</v>
      </c>
      <c r="W604" s="8">
        <f>Table1[[#This Row],[balls scored high]]+Table1[[#This Row],[balls scored low]]</f>
        <v>0</v>
      </c>
      <c r="X604" s="8">
        <f>Table1[[#This Row],[Control Panel Spun Time]]+Table1[[#This Row],[Control Panel Color Time]]</f>
        <v>0</v>
      </c>
      <c r="Y604" s="8">
        <f>Table1[[#This Row],[Control Panels Spun]]+Table1[[#This Row],[Control Panel Color]]</f>
        <v>0</v>
      </c>
      <c r="Z60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04" s="17">
        <f>(Table1[[#This Row],[Climbed]]*weighting!$B$18)+(Table1[[#This Row],[Adjustable Climber]]*weighting!$B$19)+(Table1[[#This Row],[Lift other Robot]]*weighting!$B$20)+(Table1[[#This Row],[Balanced]]*weighting!$B$21)</f>
        <v>0</v>
      </c>
      <c r="AL604" s="8">
        <f>+Table1[[#This Row],[Endgame our score]]+Table1[[#This Row],[teleop our score]]+Table1[[#This Row],[auton our score]]</f>
        <v>0</v>
      </c>
      <c r="AM604" s="20">
        <f t="shared" si="27"/>
        <v>0</v>
      </c>
      <c r="AN604" s="20">
        <f t="shared" si="28"/>
        <v>0</v>
      </c>
      <c r="AO604" s="20">
        <f t="shared" si="29"/>
        <v>0</v>
      </c>
      <c r="AP604" s="20">
        <f>Table1[[#This Row],[balls scored]]+Table1[[#This Row],[auton balls scored]]</f>
        <v>0</v>
      </c>
      <c r="AQ604" s="20">
        <f>Table1[[#This Row],[balls scored high]]+Table1[[#This Row],[Auton Scored High]]</f>
        <v>0</v>
      </c>
      <c r="AR604" s="20">
        <f>Table1[[#This Row],[balls scored low]]+Table1[[#This Row],[Auton Scored Low]]</f>
        <v>0</v>
      </c>
      <c r="AS604" s="50">
        <f>IF(Table1[[#This Row],[Control Panel Spun Time]]&gt;0,1,0)</f>
        <v>0</v>
      </c>
      <c r="AT604" s="20">
        <f>IF(Table1[[#This Row],[Control Panel Color Time]]&gt;0,1,0)</f>
        <v>0</v>
      </c>
    </row>
    <row r="605" spans="1:46" s="2" customFormat="1" x14ac:dyDescent="0.25">
      <c r="A605"/>
      <c r="B605"/>
      <c r="C605"/>
      <c r="D605"/>
      <c r="E605"/>
      <c r="F605"/>
      <c r="G605"/>
      <c r="H605"/>
      <c r="I605" s="8">
        <f>+Table1[[#This Row],[Auton ball picked up in our trench]]+Table1[[#This Row],[Auton Balls Picked Up in Mid]]+Table1[[#This Row],[Auton Balls Picked Up In Their Trench]]</f>
        <v>0</v>
      </c>
      <c r="J605" s="8">
        <f>+Table1[[#This Row],[Auton Scored High]]+Table1[[#This Row],[Auton Scored Low]]</f>
        <v>0</v>
      </c>
      <c r="K60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05"/>
      <c r="M605"/>
      <c r="N605"/>
      <c r="O605"/>
      <c r="P605"/>
      <c r="Q605"/>
      <c r="R605"/>
      <c r="S605"/>
      <c r="T605"/>
      <c r="U605"/>
      <c r="V605" s="8">
        <f>Table1[[#This Row],[Balls Scored From Trench]]+Table1[[#This Row],[Balls Scored from Mid]]+Table1[[#This Row],[Balls Scored From Alliance zone]]</f>
        <v>0</v>
      </c>
      <c r="W605" s="8">
        <f>Table1[[#This Row],[balls scored high]]+Table1[[#This Row],[balls scored low]]</f>
        <v>0</v>
      </c>
      <c r="X605" s="8">
        <f>Table1[[#This Row],[Control Panel Spun Time]]+Table1[[#This Row],[Control Panel Color Time]]</f>
        <v>0</v>
      </c>
      <c r="Y605" s="8">
        <f>Table1[[#This Row],[Control Panels Spun]]+Table1[[#This Row],[Control Panel Color]]</f>
        <v>0</v>
      </c>
      <c r="Z60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05"/>
      <c r="AB605"/>
      <c r="AC605"/>
      <c r="AD605"/>
      <c r="AE605"/>
      <c r="AF605"/>
      <c r="AG605"/>
      <c r="AH605"/>
      <c r="AI605"/>
      <c r="AJ605"/>
      <c r="AK605" s="17">
        <f>(Table1[[#This Row],[Climbed]]*weighting!$B$18)+(Table1[[#This Row],[Adjustable Climber]]*weighting!$B$19)+(Table1[[#This Row],[Lift other Robot]]*weighting!$B$20)+(Table1[[#This Row],[Balanced]]*weighting!$B$21)</f>
        <v>0</v>
      </c>
      <c r="AL605" s="8">
        <f>+Table1[[#This Row],[Endgame our score]]+Table1[[#This Row],[teleop our score]]+Table1[[#This Row],[auton our score]]</f>
        <v>0</v>
      </c>
      <c r="AM605" s="20">
        <f t="shared" si="27"/>
        <v>0</v>
      </c>
      <c r="AN605" s="20">
        <f t="shared" si="28"/>
        <v>0</v>
      </c>
      <c r="AO605" s="20">
        <f t="shared" si="29"/>
        <v>0</v>
      </c>
      <c r="AP605" s="20">
        <f>Table1[[#This Row],[balls scored]]+Table1[[#This Row],[auton balls scored]]</f>
        <v>0</v>
      </c>
      <c r="AQ605" s="20">
        <f>Table1[[#This Row],[balls scored high]]+Table1[[#This Row],[Auton Scored High]]</f>
        <v>0</v>
      </c>
      <c r="AR605" s="20">
        <f>Table1[[#This Row],[balls scored low]]+Table1[[#This Row],[Auton Scored Low]]</f>
        <v>0</v>
      </c>
      <c r="AS605" s="50">
        <f>IF(Table1[[#This Row],[Control Panel Spun Time]]&gt;0,1,0)</f>
        <v>0</v>
      </c>
      <c r="AT605" s="20">
        <f>IF(Table1[[#This Row],[Control Panel Color Time]]&gt;0,1,0)</f>
        <v>0</v>
      </c>
    </row>
    <row r="606" spans="1:46" x14ac:dyDescent="0.25">
      <c r="A606"/>
      <c r="I606" s="8">
        <f>+Table1[[#This Row],[Auton ball picked up in our trench]]+Table1[[#This Row],[Auton Balls Picked Up in Mid]]+Table1[[#This Row],[Auton Balls Picked Up In Their Trench]]</f>
        <v>0</v>
      </c>
      <c r="J606" s="8">
        <f>+Table1[[#This Row],[Auton Scored High]]+Table1[[#This Row],[Auton Scored Low]]</f>
        <v>0</v>
      </c>
      <c r="K60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06" s="8">
        <f>Table1[[#This Row],[Balls Scored From Trench]]+Table1[[#This Row],[Balls Scored from Mid]]+Table1[[#This Row],[Balls Scored From Alliance zone]]</f>
        <v>0</v>
      </c>
      <c r="W606" s="8">
        <f>Table1[[#This Row],[balls scored high]]+Table1[[#This Row],[balls scored low]]</f>
        <v>0</v>
      </c>
      <c r="X606" s="8">
        <f>Table1[[#This Row],[Control Panel Spun Time]]+Table1[[#This Row],[Control Panel Color Time]]</f>
        <v>0</v>
      </c>
      <c r="Y606" s="8">
        <f>Table1[[#This Row],[Control Panels Spun]]+Table1[[#This Row],[Control Panel Color]]</f>
        <v>0</v>
      </c>
      <c r="Z60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06" s="17">
        <f>(Table1[[#This Row],[Climbed]]*weighting!$B$18)+(Table1[[#This Row],[Adjustable Climber]]*weighting!$B$19)+(Table1[[#This Row],[Lift other Robot]]*weighting!$B$20)+(Table1[[#This Row],[Balanced]]*weighting!$B$21)</f>
        <v>0</v>
      </c>
      <c r="AL606" s="8">
        <f>+Table1[[#This Row],[Endgame our score]]+Table1[[#This Row],[teleop our score]]+Table1[[#This Row],[auton our score]]</f>
        <v>0</v>
      </c>
      <c r="AM606" s="20">
        <f t="shared" si="27"/>
        <v>0</v>
      </c>
      <c r="AN606" s="20">
        <f t="shared" si="28"/>
        <v>0</v>
      </c>
      <c r="AO606" s="20">
        <f t="shared" si="29"/>
        <v>0</v>
      </c>
      <c r="AP606" s="20">
        <f>Table1[[#This Row],[balls scored]]+Table1[[#This Row],[auton balls scored]]</f>
        <v>0</v>
      </c>
      <c r="AQ606" s="20">
        <f>Table1[[#This Row],[balls scored high]]+Table1[[#This Row],[Auton Scored High]]</f>
        <v>0</v>
      </c>
      <c r="AR606" s="20">
        <f>Table1[[#This Row],[balls scored low]]+Table1[[#This Row],[Auton Scored Low]]</f>
        <v>0</v>
      </c>
      <c r="AS606" s="50">
        <f>IF(Table1[[#This Row],[Control Panel Spun Time]]&gt;0,1,0)</f>
        <v>0</v>
      </c>
      <c r="AT606" s="20">
        <f>IF(Table1[[#This Row],[Control Panel Color Time]]&gt;0,1,0)</f>
        <v>0</v>
      </c>
    </row>
    <row r="607" spans="1:46" s="2" customFormat="1" x14ac:dyDescent="0.25">
      <c r="A607"/>
      <c r="B607"/>
      <c r="C607"/>
      <c r="D607"/>
      <c r="E607"/>
      <c r="F607"/>
      <c r="G607"/>
      <c r="H607"/>
      <c r="I607" s="8">
        <f>+Table1[[#This Row],[Auton ball picked up in our trench]]+Table1[[#This Row],[Auton Balls Picked Up in Mid]]+Table1[[#This Row],[Auton Balls Picked Up In Their Trench]]</f>
        <v>0</v>
      </c>
      <c r="J607" s="8">
        <f>+Table1[[#This Row],[Auton Scored High]]+Table1[[#This Row],[Auton Scored Low]]</f>
        <v>0</v>
      </c>
      <c r="K60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07"/>
      <c r="M607"/>
      <c r="N607"/>
      <c r="O607"/>
      <c r="P607"/>
      <c r="Q607"/>
      <c r="R607"/>
      <c r="S607"/>
      <c r="T607"/>
      <c r="U607"/>
      <c r="V607" s="8">
        <f>Table1[[#This Row],[Balls Scored From Trench]]+Table1[[#This Row],[Balls Scored from Mid]]+Table1[[#This Row],[Balls Scored From Alliance zone]]</f>
        <v>0</v>
      </c>
      <c r="W607" s="8">
        <f>Table1[[#This Row],[balls scored high]]+Table1[[#This Row],[balls scored low]]</f>
        <v>0</v>
      </c>
      <c r="X607" s="8">
        <f>Table1[[#This Row],[Control Panel Spun Time]]+Table1[[#This Row],[Control Panel Color Time]]</f>
        <v>0</v>
      </c>
      <c r="Y607" s="8">
        <f>Table1[[#This Row],[Control Panels Spun]]+Table1[[#This Row],[Control Panel Color]]</f>
        <v>0</v>
      </c>
      <c r="Z60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07"/>
      <c r="AB607"/>
      <c r="AC607"/>
      <c r="AD607"/>
      <c r="AE607"/>
      <c r="AF607"/>
      <c r="AG607"/>
      <c r="AH607"/>
      <c r="AI607"/>
      <c r="AJ607"/>
      <c r="AK607" s="17">
        <f>(Table1[[#This Row],[Climbed]]*weighting!$B$18)+(Table1[[#This Row],[Adjustable Climber]]*weighting!$B$19)+(Table1[[#This Row],[Lift other Robot]]*weighting!$B$20)+(Table1[[#This Row],[Balanced]]*weighting!$B$21)</f>
        <v>0</v>
      </c>
      <c r="AL607" s="8">
        <f>+Table1[[#This Row],[Endgame our score]]+Table1[[#This Row],[teleop our score]]+Table1[[#This Row],[auton our score]]</f>
        <v>0</v>
      </c>
      <c r="AM607" s="20">
        <f t="shared" si="27"/>
        <v>0</v>
      </c>
      <c r="AN607" s="20">
        <f t="shared" si="28"/>
        <v>0</v>
      </c>
      <c r="AO607" s="20">
        <f t="shared" si="29"/>
        <v>0</v>
      </c>
      <c r="AP607" s="20">
        <f>Table1[[#This Row],[balls scored]]+Table1[[#This Row],[auton balls scored]]</f>
        <v>0</v>
      </c>
      <c r="AQ607" s="20">
        <f>Table1[[#This Row],[balls scored high]]+Table1[[#This Row],[Auton Scored High]]</f>
        <v>0</v>
      </c>
      <c r="AR607" s="20">
        <f>Table1[[#This Row],[balls scored low]]+Table1[[#This Row],[Auton Scored Low]]</f>
        <v>0</v>
      </c>
      <c r="AS607" s="50">
        <f>IF(Table1[[#This Row],[Control Panel Spun Time]]&gt;0,1,0)</f>
        <v>0</v>
      </c>
      <c r="AT607" s="20">
        <f>IF(Table1[[#This Row],[Control Panel Color Time]]&gt;0,1,0)</f>
        <v>0</v>
      </c>
    </row>
    <row r="608" spans="1:46" x14ac:dyDescent="0.25">
      <c r="A608"/>
      <c r="I608" s="8">
        <f>+Table1[[#This Row],[Auton ball picked up in our trench]]+Table1[[#This Row],[Auton Balls Picked Up in Mid]]+Table1[[#This Row],[Auton Balls Picked Up In Their Trench]]</f>
        <v>0</v>
      </c>
      <c r="J608" s="8">
        <f>+Table1[[#This Row],[Auton Scored High]]+Table1[[#This Row],[Auton Scored Low]]</f>
        <v>0</v>
      </c>
      <c r="K60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08" s="8">
        <f>Table1[[#This Row],[Balls Scored From Trench]]+Table1[[#This Row],[Balls Scored from Mid]]+Table1[[#This Row],[Balls Scored From Alliance zone]]</f>
        <v>0</v>
      </c>
      <c r="W608" s="8">
        <f>Table1[[#This Row],[balls scored high]]+Table1[[#This Row],[balls scored low]]</f>
        <v>0</v>
      </c>
      <c r="X608" s="8">
        <f>Table1[[#This Row],[Control Panel Spun Time]]+Table1[[#This Row],[Control Panel Color Time]]</f>
        <v>0</v>
      </c>
      <c r="Y608" s="8">
        <f>Table1[[#This Row],[Control Panels Spun]]+Table1[[#This Row],[Control Panel Color]]</f>
        <v>0</v>
      </c>
      <c r="Z60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08" s="17">
        <f>(Table1[[#This Row],[Climbed]]*weighting!$B$18)+(Table1[[#This Row],[Adjustable Climber]]*weighting!$B$19)+(Table1[[#This Row],[Lift other Robot]]*weighting!$B$20)+(Table1[[#This Row],[Balanced]]*weighting!$B$21)</f>
        <v>0</v>
      </c>
      <c r="AL608" s="8">
        <f>+Table1[[#This Row],[Endgame our score]]+Table1[[#This Row],[teleop our score]]+Table1[[#This Row],[auton our score]]</f>
        <v>0</v>
      </c>
      <c r="AM608" s="20">
        <f t="shared" si="27"/>
        <v>0</v>
      </c>
      <c r="AN608" s="20">
        <f t="shared" si="28"/>
        <v>0</v>
      </c>
      <c r="AO608" s="20">
        <f t="shared" si="29"/>
        <v>0</v>
      </c>
      <c r="AP608" s="20">
        <f>Table1[[#This Row],[balls scored]]+Table1[[#This Row],[auton balls scored]]</f>
        <v>0</v>
      </c>
      <c r="AQ608" s="20">
        <f>Table1[[#This Row],[balls scored high]]+Table1[[#This Row],[Auton Scored High]]</f>
        <v>0</v>
      </c>
      <c r="AR608" s="20">
        <f>Table1[[#This Row],[balls scored low]]+Table1[[#This Row],[Auton Scored Low]]</f>
        <v>0</v>
      </c>
      <c r="AS608" s="50">
        <f>IF(Table1[[#This Row],[Control Panel Spun Time]]&gt;0,1,0)</f>
        <v>0</v>
      </c>
      <c r="AT608" s="20">
        <f>IF(Table1[[#This Row],[Control Panel Color Time]]&gt;0,1,0)</f>
        <v>0</v>
      </c>
    </row>
    <row r="609" spans="1:46" s="2" customFormat="1" x14ac:dyDescent="0.25">
      <c r="A609"/>
      <c r="B609"/>
      <c r="C609"/>
      <c r="D609"/>
      <c r="E609"/>
      <c r="F609"/>
      <c r="G609"/>
      <c r="H609"/>
      <c r="I609" s="8">
        <f>+Table1[[#This Row],[Auton ball picked up in our trench]]+Table1[[#This Row],[Auton Balls Picked Up in Mid]]+Table1[[#This Row],[Auton Balls Picked Up In Their Trench]]</f>
        <v>0</v>
      </c>
      <c r="J609" s="8">
        <f>+Table1[[#This Row],[Auton Scored High]]+Table1[[#This Row],[Auton Scored Low]]</f>
        <v>0</v>
      </c>
      <c r="K60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09"/>
      <c r="M609"/>
      <c r="N609"/>
      <c r="O609"/>
      <c r="P609"/>
      <c r="Q609"/>
      <c r="R609"/>
      <c r="S609"/>
      <c r="T609"/>
      <c r="U609"/>
      <c r="V609" s="8">
        <f>Table1[[#This Row],[Balls Scored From Trench]]+Table1[[#This Row],[Balls Scored from Mid]]+Table1[[#This Row],[Balls Scored From Alliance zone]]</f>
        <v>0</v>
      </c>
      <c r="W609" s="8">
        <f>Table1[[#This Row],[balls scored high]]+Table1[[#This Row],[balls scored low]]</f>
        <v>0</v>
      </c>
      <c r="X609" s="8">
        <f>Table1[[#This Row],[Control Panel Spun Time]]+Table1[[#This Row],[Control Panel Color Time]]</f>
        <v>0</v>
      </c>
      <c r="Y609" s="8">
        <f>Table1[[#This Row],[Control Panels Spun]]+Table1[[#This Row],[Control Panel Color]]</f>
        <v>0</v>
      </c>
      <c r="Z60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09"/>
      <c r="AB609"/>
      <c r="AC609"/>
      <c r="AD609"/>
      <c r="AE609"/>
      <c r="AF609"/>
      <c r="AG609"/>
      <c r="AH609"/>
      <c r="AI609"/>
      <c r="AJ609"/>
      <c r="AK609" s="17">
        <f>(Table1[[#This Row],[Climbed]]*weighting!$B$18)+(Table1[[#This Row],[Adjustable Climber]]*weighting!$B$19)+(Table1[[#This Row],[Lift other Robot]]*weighting!$B$20)+(Table1[[#This Row],[Balanced]]*weighting!$B$21)</f>
        <v>0</v>
      </c>
      <c r="AL609" s="8">
        <f>+Table1[[#This Row],[Endgame our score]]+Table1[[#This Row],[teleop our score]]+Table1[[#This Row],[auton our score]]</f>
        <v>0</v>
      </c>
      <c r="AM609" s="20">
        <f t="shared" si="27"/>
        <v>0</v>
      </c>
      <c r="AN609" s="20">
        <f t="shared" si="28"/>
        <v>0</v>
      </c>
      <c r="AO609" s="20">
        <f t="shared" si="29"/>
        <v>0</v>
      </c>
      <c r="AP609" s="20">
        <f>Table1[[#This Row],[balls scored]]+Table1[[#This Row],[auton balls scored]]</f>
        <v>0</v>
      </c>
      <c r="AQ609" s="20">
        <f>Table1[[#This Row],[balls scored high]]+Table1[[#This Row],[Auton Scored High]]</f>
        <v>0</v>
      </c>
      <c r="AR609" s="20">
        <f>Table1[[#This Row],[balls scored low]]+Table1[[#This Row],[Auton Scored Low]]</f>
        <v>0</v>
      </c>
      <c r="AS609" s="50">
        <f>IF(Table1[[#This Row],[Control Panel Spun Time]]&gt;0,1,0)</f>
        <v>0</v>
      </c>
      <c r="AT609" s="20">
        <f>IF(Table1[[#This Row],[Control Panel Color Time]]&gt;0,1,0)</f>
        <v>0</v>
      </c>
    </row>
    <row r="610" spans="1:46" x14ac:dyDescent="0.25">
      <c r="A610"/>
      <c r="I610" s="8">
        <f>+Table1[[#This Row],[Auton ball picked up in our trench]]+Table1[[#This Row],[Auton Balls Picked Up in Mid]]+Table1[[#This Row],[Auton Balls Picked Up In Their Trench]]</f>
        <v>0</v>
      </c>
      <c r="J610" s="8">
        <f>+Table1[[#This Row],[Auton Scored High]]+Table1[[#This Row],[Auton Scored Low]]</f>
        <v>0</v>
      </c>
      <c r="K61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10" s="8">
        <f>Table1[[#This Row],[Balls Scored From Trench]]+Table1[[#This Row],[Balls Scored from Mid]]+Table1[[#This Row],[Balls Scored From Alliance zone]]</f>
        <v>0</v>
      </c>
      <c r="W610" s="8">
        <f>Table1[[#This Row],[balls scored high]]+Table1[[#This Row],[balls scored low]]</f>
        <v>0</v>
      </c>
      <c r="X610" s="8">
        <f>Table1[[#This Row],[Control Panel Spun Time]]+Table1[[#This Row],[Control Panel Color Time]]</f>
        <v>0</v>
      </c>
      <c r="Y610" s="8">
        <f>Table1[[#This Row],[Control Panels Spun]]+Table1[[#This Row],[Control Panel Color]]</f>
        <v>0</v>
      </c>
      <c r="Z61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10" s="17">
        <f>(Table1[[#This Row],[Climbed]]*weighting!$B$18)+(Table1[[#This Row],[Adjustable Climber]]*weighting!$B$19)+(Table1[[#This Row],[Lift other Robot]]*weighting!$B$20)+(Table1[[#This Row],[Balanced]]*weighting!$B$21)</f>
        <v>0</v>
      </c>
      <c r="AL610" s="8">
        <f>+Table1[[#This Row],[Endgame our score]]+Table1[[#This Row],[teleop our score]]+Table1[[#This Row],[auton our score]]</f>
        <v>0</v>
      </c>
      <c r="AM610" s="20">
        <f t="shared" si="27"/>
        <v>0</v>
      </c>
      <c r="AN610" s="20">
        <f t="shared" si="28"/>
        <v>0</v>
      </c>
      <c r="AO610" s="20">
        <f t="shared" si="29"/>
        <v>0</v>
      </c>
      <c r="AP610" s="20">
        <f>Table1[[#This Row],[balls scored]]+Table1[[#This Row],[auton balls scored]]</f>
        <v>0</v>
      </c>
      <c r="AQ610" s="20">
        <f>Table1[[#This Row],[balls scored high]]+Table1[[#This Row],[Auton Scored High]]</f>
        <v>0</v>
      </c>
      <c r="AR610" s="20">
        <f>Table1[[#This Row],[balls scored low]]+Table1[[#This Row],[Auton Scored Low]]</f>
        <v>0</v>
      </c>
      <c r="AS610" s="50">
        <f>IF(Table1[[#This Row],[Control Panel Spun Time]]&gt;0,1,0)</f>
        <v>0</v>
      </c>
      <c r="AT610" s="20">
        <f>IF(Table1[[#This Row],[Control Panel Color Time]]&gt;0,1,0)</f>
        <v>0</v>
      </c>
    </row>
    <row r="611" spans="1:46" s="2" customFormat="1" x14ac:dyDescent="0.25">
      <c r="A611"/>
      <c r="B611"/>
      <c r="C611"/>
      <c r="D611"/>
      <c r="E611"/>
      <c r="F611"/>
      <c r="G611"/>
      <c r="H611"/>
      <c r="I611" s="8">
        <f>+Table1[[#This Row],[Auton ball picked up in our trench]]+Table1[[#This Row],[Auton Balls Picked Up in Mid]]+Table1[[#This Row],[Auton Balls Picked Up In Their Trench]]</f>
        <v>0</v>
      </c>
      <c r="J611" s="8">
        <f>+Table1[[#This Row],[Auton Scored High]]+Table1[[#This Row],[Auton Scored Low]]</f>
        <v>0</v>
      </c>
      <c r="K61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11"/>
      <c r="M611"/>
      <c r="N611"/>
      <c r="O611"/>
      <c r="P611"/>
      <c r="Q611"/>
      <c r="R611"/>
      <c r="S611"/>
      <c r="T611"/>
      <c r="U611"/>
      <c r="V611" s="8">
        <f>Table1[[#This Row],[Balls Scored From Trench]]+Table1[[#This Row],[Balls Scored from Mid]]+Table1[[#This Row],[Balls Scored From Alliance zone]]</f>
        <v>0</v>
      </c>
      <c r="W611" s="8">
        <f>Table1[[#This Row],[balls scored high]]+Table1[[#This Row],[balls scored low]]</f>
        <v>0</v>
      </c>
      <c r="X611" s="8">
        <f>Table1[[#This Row],[Control Panel Spun Time]]+Table1[[#This Row],[Control Panel Color Time]]</f>
        <v>0</v>
      </c>
      <c r="Y611" s="8">
        <f>Table1[[#This Row],[Control Panels Spun]]+Table1[[#This Row],[Control Panel Color]]</f>
        <v>0</v>
      </c>
      <c r="Z61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11"/>
      <c r="AB611"/>
      <c r="AC611"/>
      <c r="AD611"/>
      <c r="AE611"/>
      <c r="AF611"/>
      <c r="AG611"/>
      <c r="AH611"/>
      <c r="AI611"/>
      <c r="AJ611"/>
      <c r="AK611" s="17">
        <f>(Table1[[#This Row],[Climbed]]*weighting!$B$18)+(Table1[[#This Row],[Adjustable Climber]]*weighting!$B$19)+(Table1[[#This Row],[Lift other Robot]]*weighting!$B$20)+(Table1[[#This Row],[Balanced]]*weighting!$B$21)</f>
        <v>0</v>
      </c>
      <c r="AL611" s="8">
        <f>+Table1[[#This Row],[Endgame our score]]+Table1[[#This Row],[teleop our score]]+Table1[[#This Row],[auton our score]]</f>
        <v>0</v>
      </c>
      <c r="AM611" s="20">
        <f t="shared" si="27"/>
        <v>0</v>
      </c>
      <c r="AN611" s="20">
        <f t="shared" si="28"/>
        <v>0</v>
      </c>
      <c r="AO611" s="20">
        <f t="shared" si="29"/>
        <v>0</v>
      </c>
      <c r="AP611" s="20">
        <f>Table1[[#This Row],[balls scored]]+Table1[[#This Row],[auton balls scored]]</f>
        <v>0</v>
      </c>
      <c r="AQ611" s="20">
        <f>Table1[[#This Row],[balls scored high]]+Table1[[#This Row],[Auton Scored High]]</f>
        <v>0</v>
      </c>
      <c r="AR611" s="20">
        <f>Table1[[#This Row],[balls scored low]]+Table1[[#This Row],[Auton Scored Low]]</f>
        <v>0</v>
      </c>
      <c r="AS611" s="50">
        <f>IF(Table1[[#This Row],[Control Panel Spun Time]]&gt;0,1,0)</f>
        <v>0</v>
      </c>
      <c r="AT611" s="20">
        <f>IF(Table1[[#This Row],[Control Panel Color Time]]&gt;0,1,0)</f>
        <v>0</v>
      </c>
    </row>
    <row r="612" spans="1:46" x14ac:dyDescent="0.25">
      <c r="A612"/>
      <c r="I612" s="8">
        <f>+Table1[[#This Row],[Auton ball picked up in our trench]]+Table1[[#This Row],[Auton Balls Picked Up in Mid]]+Table1[[#This Row],[Auton Balls Picked Up In Their Trench]]</f>
        <v>0</v>
      </c>
      <c r="J612" s="8">
        <f>+Table1[[#This Row],[Auton Scored High]]+Table1[[#This Row],[Auton Scored Low]]</f>
        <v>0</v>
      </c>
      <c r="K61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12" s="8">
        <f>Table1[[#This Row],[Balls Scored From Trench]]+Table1[[#This Row],[Balls Scored from Mid]]+Table1[[#This Row],[Balls Scored From Alliance zone]]</f>
        <v>0</v>
      </c>
      <c r="W612" s="8">
        <f>Table1[[#This Row],[balls scored high]]+Table1[[#This Row],[balls scored low]]</f>
        <v>0</v>
      </c>
      <c r="X612" s="8">
        <f>Table1[[#This Row],[Control Panel Spun Time]]+Table1[[#This Row],[Control Panel Color Time]]</f>
        <v>0</v>
      </c>
      <c r="Y612" s="8">
        <f>Table1[[#This Row],[Control Panels Spun]]+Table1[[#This Row],[Control Panel Color]]</f>
        <v>0</v>
      </c>
      <c r="Z61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12" s="17">
        <f>(Table1[[#This Row],[Climbed]]*weighting!$B$18)+(Table1[[#This Row],[Adjustable Climber]]*weighting!$B$19)+(Table1[[#This Row],[Lift other Robot]]*weighting!$B$20)+(Table1[[#This Row],[Balanced]]*weighting!$B$21)</f>
        <v>0</v>
      </c>
      <c r="AL612" s="8">
        <f>+Table1[[#This Row],[Endgame our score]]+Table1[[#This Row],[teleop our score]]+Table1[[#This Row],[auton our score]]</f>
        <v>0</v>
      </c>
      <c r="AM612" s="20">
        <f t="shared" si="27"/>
        <v>0</v>
      </c>
      <c r="AN612" s="20">
        <f t="shared" si="28"/>
        <v>0</v>
      </c>
      <c r="AO612" s="20">
        <f t="shared" si="29"/>
        <v>0</v>
      </c>
      <c r="AP612" s="20">
        <f>Table1[[#This Row],[balls scored]]+Table1[[#This Row],[auton balls scored]]</f>
        <v>0</v>
      </c>
      <c r="AQ612" s="20">
        <f>Table1[[#This Row],[balls scored high]]+Table1[[#This Row],[Auton Scored High]]</f>
        <v>0</v>
      </c>
      <c r="AR612" s="20">
        <f>Table1[[#This Row],[balls scored low]]+Table1[[#This Row],[Auton Scored Low]]</f>
        <v>0</v>
      </c>
      <c r="AS612" s="50">
        <f>IF(Table1[[#This Row],[Control Panel Spun Time]]&gt;0,1,0)</f>
        <v>0</v>
      </c>
      <c r="AT612" s="20">
        <f>IF(Table1[[#This Row],[Control Panel Color Time]]&gt;0,1,0)</f>
        <v>0</v>
      </c>
    </row>
    <row r="613" spans="1:46" s="2" customFormat="1" x14ac:dyDescent="0.25">
      <c r="A613"/>
      <c r="B613"/>
      <c r="C613"/>
      <c r="D613"/>
      <c r="E613"/>
      <c r="F613"/>
      <c r="G613"/>
      <c r="H613"/>
      <c r="I613" s="8">
        <f>+Table1[[#This Row],[Auton ball picked up in our trench]]+Table1[[#This Row],[Auton Balls Picked Up in Mid]]+Table1[[#This Row],[Auton Balls Picked Up In Their Trench]]</f>
        <v>0</v>
      </c>
      <c r="J613" s="8">
        <f>+Table1[[#This Row],[Auton Scored High]]+Table1[[#This Row],[Auton Scored Low]]</f>
        <v>0</v>
      </c>
      <c r="K61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13"/>
      <c r="M613"/>
      <c r="N613"/>
      <c r="O613"/>
      <c r="P613"/>
      <c r="Q613"/>
      <c r="R613"/>
      <c r="S613"/>
      <c r="T613"/>
      <c r="U613"/>
      <c r="V613" s="8">
        <f>Table1[[#This Row],[Balls Scored From Trench]]+Table1[[#This Row],[Balls Scored from Mid]]+Table1[[#This Row],[Balls Scored From Alliance zone]]</f>
        <v>0</v>
      </c>
      <c r="W613" s="8">
        <f>Table1[[#This Row],[balls scored high]]+Table1[[#This Row],[balls scored low]]</f>
        <v>0</v>
      </c>
      <c r="X613" s="8">
        <f>Table1[[#This Row],[Control Panel Spun Time]]+Table1[[#This Row],[Control Panel Color Time]]</f>
        <v>0</v>
      </c>
      <c r="Y613" s="8">
        <f>Table1[[#This Row],[Control Panels Spun]]+Table1[[#This Row],[Control Panel Color]]</f>
        <v>0</v>
      </c>
      <c r="Z61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13"/>
      <c r="AB613"/>
      <c r="AC613"/>
      <c r="AD613"/>
      <c r="AE613"/>
      <c r="AF613"/>
      <c r="AG613"/>
      <c r="AH613"/>
      <c r="AI613"/>
      <c r="AJ613"/>
      <c r="AK613" s="17">
        <f>(Table1[[#This Row],[Climbed]]*weighting!$B$18)+(Table1[[#This Row],[Adjustable Climber]]*weighting!$B$19)+(Table1[[#This Row],[Lift other Robot]]*weighting!$B$20)+(Table1[[#This Row],[Balanced]]*weighting!$B$21)</f>
        <v>0</v>
      </c>
      <c r="AL613" s="8">
        <f>+Table1[[#This Row],[Endgame our score]]+Table1[[#This Row],[teleop our score]]+Table1[[#This Row],[auton our score]]</f>
        <v>0</v>
      </c>
      <c r="AM613" s="20">
        <f t="shared" si="27"/>
        <v>0</v>
      </c>
      <c r="AN613" s="20">
        <f t="shared" si="28"/>
        <v>0</v>
      </c>
      <c r="AO613" s="20">
        <f t="shared" si="29"/>
        <v>0</v>
      </c>
      <c r="AP613" s="20">
        <f>Table1[[#This Row],[balls scored]]+Table1[[#This Row],[auton balls scored]]</f>
        <v>0</v>
      </c>
      <c r="AQ613" s="20">
        <f>Table1[[#This Row],[balls scored high]]+Table1[[#This Row],[Auton Scored High]]</f>
        <v>0</v>
      </c>
      <c r="AR613" s="20">
        <f>Table1[[#This Row],[balls scored low]]+Table1[[#This Row],[Auton Scored Low]]</f>
        <v>0</v>
      </c>
      <c r="AS613" s="50">
        <f>IF(Table1[[#This Row],[Control Panel Spun Time]]&gt;0,1,0)</f>
        <v>0</v>
      </c>
      <c r="AT613" s="20">
        <f>IF(Table1[[#This Row],[Control Panel Color Time]]&gt;0,1,0)</f>
        <v>0</v>
      </c>
    </row>
    <row r="614" spans="1:46" x14ac:dyDescent="0.25">
      <c r="A614"/>
      <c r="I614" s="8">
        <f>+Table1[[#This Row],[Auton ball picked up in our trench]]+Table1[[#This Row],[Auton Balls Picked Up in Mid]]+Table1[[#This Row],[Auton Balls Picked Up In Their Trench]]</f>
        <v>0</v>
      </c>
      <c r="J614" s="8">
        <f>+Table1[[#This Row],[Auton Scored High]]+Table1[[#This Row],[Auton Scored Low]]</f>
        <v>0</v>
      </c>
      <c r="K61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14" s="8">
        <f>Table1[[#This Row],[Balls Scored From Trench]]+Table1[[#This Row],[Balls Scored from Mid]]+Table1[[#This Row],[Balls Scored From Alliance zone]]</f>
        <v>0</v>
      </c>
      <c r="W614" s="8">
        <f>Table1[[#This Row],[balls scored high]]+Table1[[#This Row],[balls scored low]]</f>
        <v>0</v>
      </c>
      <c r="X614" s="8">
        <f>Table1[[#This Row],[Control Panel Spun Time]]+Table1[[#This Row],[Control Panel Color Time]]</f>
        <v>0</v>
      </c>
      <c r="Y614" s="8">
        <f>Table1[[#This Row],[Control Panels Spun]]+Table1[[#This Row],[Control Panel Color]]</f>
        <v>0</v>
      </c>
      <c r="Z61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14" s="17">
        <f>(Table1[[#This Row],[Climbed]]*weighting!$B$18)+(Table1[[#This Row],[Adjustable Climber]]*weighting!$B$19)+(Table1[[#This Row],[Lift other Robot]]*weighting!$B$20)+(Table1[[#This Row],[Balanced]]*weighting!$B$21)</f>
        <v>0</v>
      </c>
      <c r="AL614" s="8">
        <f>+Table1[[#This Row],[Endgame our score]]+Table1[[#This Row],[teleop our score]]+Table1[[#This Row],[auton our score]]</f>
        <v>0</v>
      </c>
      <c r="AM614" s="20">
        <f t="shared" si="27"/>
        <v>0</v>
      </c>
      <c r="AN614" s="20">
        <f t="shared" si="28"/>
        <v>0</v>
      </c>
      <c r="AO614" s="20">
        <f t="shared" si="29"/>
        <v>0</v>
      </c>
      <c r="AP614" s="20">
        <f>Table1[[#This Row],[balls scored]]+Table1[[#This Row],[auton balls scored]]</f>
        <v>0</v>
      </c>
      <c r="AQ614" s="20">
        <f>Table1[[#This Row],[balls scored high]]+Table1[[#This Row],[Auton Scored High]]</f>
        <v>0</v>
      </c>
      <c r="AR614" s="20">
        <f>Table1[[#This Row],[balls scored low]]+Table1[[#This Row],[Auton Scored Low]]</f>
        <v>0</v>
      </c>
      <c r="AS614" s="50">
        <f>IF(Table1[[#This Row],[Control Panel Spun Time]]&gt;0,1,0)</f>
        <v>0</v>
      </c>
      <c r="AT614" s="20">
        <f>IF(Table1[[#This Row],[Control Panel Color Time]]&gt;0,1,0)</f>
        <v>0</v>
      </c>
    </row>
    <row r="615" spans="1:46" s="2" customFormat="1" x14ac:dyDescent="0.25">
      <c r="A615"/>
      <c r="B615"/>
      <c r="C615"/>
      <c r="D615"/>
      <c r="E615"/>
      <c r="F615"/>
      <c r="G615"/>
      <c r="H615"/>
      <c r="I615" s="8">
        <f>+Table1[[#This Row],[Auton ball picked up in our trench]]+Table1[[#This Row],[Auton Balls Picked Up in Mid]]+Table1[[#This Row],[Auton Balls Picked Up In Their Trench]]</f>
        <v>0</v>
      </c>
      <c r="J615" s="8">
        <f>+Table1[[#This Row],[Auton Scored High]]+Table1[[#This Row],[Auton Scored Low]]</f>
        <v>0</v>
      </c>
      <c r="K61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15"/>
      <c r="M615"/>
      <c r="N615"/>
      <c r="O615"/>
      <c r="P615"/>
      <c r="Q615"/>
      <c r="R615"/>
      <c r="S615"/>
      <c r="T615"/>
      <c r="U615"/>
      <c r="V615" s="8">
        <f>Table1[[#This Row],[Balls Scored From Trench]]+Table1[[#This Row],[Balls Scored from Mid]]+Table1[[#This Row],[Balls Scored From Alliance zone]]</f>
        <v>0</v>
      </c>
      <c r="W615" s="8">
        <f>Table1[[#This Row],[balls scored high]]+Table1[[#This Row],[balls scored low]]</f>
        <v>0</v>
      </c>
      <c r="X615" s="8">
        <f>Table1[[#This Row],[Control Panel Spun Time]]+Table1[[#This Row],[Control Panel Color Time]]</f>
        <v>0</v>
      </c>
      <c r="Y615" s="8">
        <f>Table1[[#This Row],[Control Panels Spun]]+Table1[[#This Row],[Control Panel Color]]</f>
        <v>0</v>
      </c>
      <c r="Z61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15"/>
      <c r="AB615"/>
      <c r="AC615"/>
      <c r="AD615"/>
      <c r="AE615"/>
      <c r="AF615"/>
      <c r="AG615"/>
      <c r="AH615"/>
      <c r="AI615"/>
      <c r="AJ615"/>
      <c r="AK615" s="17">
        <f>(Table1[[#This Row],[Climbed]]*weighting!$B$18)+(Table1[[#This Row],[Adjustable Climber]]*weighting!$B$19)+(Table1[[#This Row],[Lift other Robot]]*weighting!$B$20)+(Table1[[#This Row],[Balanced]]*weighting!$B$21)</f>
        <v>0</v>
      </c>
      <c r="AL615" s="8">
        <f>+Table1[[#This Row],[Endgame our score]]+Table1[[#This Row],[teleop our score]]+Table1[[#This Row],[auton our score]]</f>
        <v>0</v>
      </c>
      <c r="AM615" s="20">
        <f t="shared" si="27"/>
        <v>0</v>
      </c>
      <c r="AN615" s="20">
        <f t="shared" si="28"/>
        <v>0</v>
      </c>
      <c r="AO615" s="20">
        <f t="shared" si="29"/>
        <v>0</v>
      </c>
      <c r="AP615" s="20">
        <f>Table1[[#This Row],[balls scored]]+Table1[[#This Row],[auton balls scored]]</f>
        <v>0</v>
      </c>
      <c r="AQ615" s="20">
        <f>Table1[[#This Row],[balls scored high]]+Table1[[#This Row],[Auton Scored High]]</f>
        <v>0</v>
      </c>
      <c r="AR615" s="20">
        <f>Table1[[#This Row],[balls scored low]]+Table1[[#This Row],[Auton Scored Low]]</f>
        <v>0</v>
      </c>
      <c r="AS615" s="50">
        <f>IF(Table1[[#This Row],[Control Panel Spun Time]]&gt;0,1,0)</f>
        <v>0</v>
      </c>
      <c r="AT615" s="20">
        <f>IF(Table1[[#This Row],[Control Panel Color Time]]&gt;0,1,0)</f>
        <v>0</v>
      </c>
    </row>
    <row r="616" spans="1:46" x14ac:dyDescent="0.25">
      <c r="A616"/>
      <c r="I616" s="8">
        <f>+Table1[[#This Row],[Auton ball picked up in our trench]]+Table1[[#This Row],[Auton Balls Picked Up in Mid]]+Table1[[#This Row],[Auton Balls Picked Up In Their Trench]]</f>
        <v>0</v>
      </c>
      <c r="J616" s="8">
        <f>+Table1[[#This Row],[Auton Scored High]]+Table1[[#This Row],[Auton Scored Low]]</f>
        <v>0</v>
      </c>
      <c r="K61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16" s="8">
        <f>Table1[[#This Row],[Balls Scored From Trench]]+Table1[[#This Row],[Balls Scored from Mid]]+Table1[[#This Row],[Balls Scored From Alliance zone]]</f>
        <v>0</v>
      </c>
      <c r="W616" s="8">
        <f>Table1[[#This Row],[balls scored high]]+Table1[[#This Row],[balls scored low]]</f>
        <v>0</v>
      </c>
      <c r="X616" s="8">
        <f>Table1[[#This Row],[Control Panel Spun Time]]+Table1[[#This Row],[Control Panel Color Time]]</f>
        <v>0</v>
      </c>
      <c r="Y616" s="8">
        <f>Table1[[#This Row],[Control Panels Spun]]+Table1[[#This Row],[Control Panel Color]]</f>
        <v>0</v>
      </c>
      <c r="Z61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16" s="17">
        <f>(Table1[[#This Row],[Climbed]]*weighting!$B$18)+(Table1[[#This Row],[Adjustable Climber]]*weighting!$B$19)+(Table1[[#This Row],[Lift other Robot]]*weighting!$B$20)+(Table1[[#This Row],[Balanced]]*weighting!$B$21)</f>
        <v>0</v>
      </c>
      <c r="AL616" s="8">
        <f>+Table1[[#This Row],[Endgame our score]]+Table1[[#This Row],[teleop our score]]+Table1[[#This Row],[auton our score]]</f>
        <v>0</v>
      </c>
      <c r="AM616" s="20">
        <f t="shared" si="27"/>
        <v>0</v>
      </c>
      <c r="AN616" s="20">
        <f t="shared" si="28"/>
        <v>0</v>
      </c>
      <c r="AO616" s="20">
        <f t="shared" si="29"/>
        <v>0</v>
      </c>
      <c r="AP616" s="20">
        <f>Table1[[#This Row],[balls scored]]+Table1[[#This Row],[auton balls scored]]</f>
        <v>0</v>
      </c>
      <c r="AQ616" s="20">
        <f>Table1[[#This Row],[balls scored high]]+Table1[[#This Row],[Auton Scored High]]</f>
        <v>0</v>
      </c>
      <c r="AR616" s="20">
        <f>Table1[[#This Row],[balls scored low]]+Table1[[#This Row],[Auton Scored Low]]</f>
        <v>0</v>
      </c>
      <c r="AS616" s="50">
        <f>IF(Table1[[#This Row],[Control Panel Spun Time]]&gt;0,1,0)</f>
        <v>0</v>
      </c>
      <c r="AT616" s="20">
        <f>IF(Table1[[#This Row],[Control Panel Color Time]]&gt;0,1,0)</f>
        <v>0</v>
      </c>
    </row>
    <row r="617" spans="1:46" s="2" customFormat="1" x14ac:dyDescent="0.25">
      <c r="A617"/>
      <c r="B617"/>
      <c r="C617"/>
      <c r="D617"/>
      <c r="E617"/>
      <c r="F617"/>
      <c r="G617"/>
      <c r="H617"/>
      <c r="I617" s="8">
        <f>+Table1[[#This Row],[Auton ball picked up in our trench]]+Table1[[#This Row],[Auton Balls Picked Up in Mid]]+Table1[[#This Row],[Auton Balls Picked Up In Their Trench]]</f>
        <v>0</v>
      </c>
      <c r="J617" s="8">
        <f>+Table1[[#This Row],[Auton Scored High]]+Table1[[#This Row],[Auton Scored Low]]</f>
        <v>0</v>
      </c>
      <c r="K61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17"/>
      <c r="M617"/>
      <c r="N617"/>
      <c r="O617"/>
      <c r="P617"/>
      <c r="Q617"/>
      <c r="R617"/>
      <c r="S617"/>
      <c r="T617"/>
      <c r="U617"/>
      <c r="V617" s="8">
        <f>Table1[[#This Row],[Balls Scored From Trench]]+Table1[[#This Row],[Balls Scored from Mid]]+Table1[[#This Row],[Balls Scored From Alliance zone]]</f>
        <v>0</v>
      </c>
      <c r="W617" s="8">
        <f>Table1[[#This Row],[balls scored high]]+Table1[[#This Row],[balls scored low]]</f>
        <v>0</v>
      </c>
      <c r="X617" s="8">
        <f>Table1[[#This Row],[Control Panel Spun Time]]+Table1[[#This Row],[Control Panel Color Time]]</f>
        <v>0</v>
      </c>
      <c r="Y617" s="8">
        <f>Table1[[#This Row],[Control Panels Spun]]+Table1[[#This Row],[Control Panel Color]]</f>
        <v>0</v>
      </c>
      <c r="Z61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17"/>
      <c r="AB617"/>
      <c r="AC617"/>
      <c r="AD617"/>
      <c r="AE617"/>
      <c r="AF617"/>
      <c r="AG617"/>
      <c r="AH617"/>
      <c r="AI617"/>
      <c r="AJ617"/>
      <c r="AK617" s="17">
        <f>(Table1[[#This Row],[Climbed]]*weighting!$B$18)+(Table1[[#This Row],[Adjustable Climber]]*weighting!$B$19)+(Table1[[#This Row],[Lift other Robot]]*weighting!$B$20)+(Table1[[#This Row],[Balanced]]*weighting!$B$21)</f>
        <v>0</v>
      </c>
      <c r="AL617" s="8">
        <f>+Table1[[#This Row],[Endgame our score]]+Table1[[#This Row],[teleop our score]]+Table1[[#This Row],[auton our score]]</f>
        <v>0</v>
      </c>
      <c r="AM617" s="20">
        <f t="shared" si="27"/>
        <v>0</v>
      </c>
      <c r="AN617" s="20">
        <f t="shared" si="28"/>
        <v>0</v>
      </c>
      <c r="AO617" s="20">
        <f t="shared" si="29"/>
        <v>0</v>
      </c>
      <c r="AP617" s="20">
        <f>Table1[[#This Row],[balls scored]]+Table1[[#This Row],[auton balls scored]]</f>
        <v>0</v>
      </c>
      <c r="AQ617" s="20">
        <f>Table1[[#This Row],[balls scored high]]+Table1[[#This Row],[Auton Scored High]]</f>
        <v>0</v>
      </c>
      <c r="AR617" s="20">
        <f>Table1[[#This Row],[balls scored low]]+Table1[[#This Row],[Auton Scored Low]]</f>
        <v>0</v>
      </c>
      <c r="AS617" s="50">
        <f>IF(Table1[[#This Row],[Control Panel Spun Time]]&gt;0,1,0)</f>
        <v>0</v>
      </c>
      <c r="AT617" s="20">
        <f>IF(Table1[[#This Row],[Control Panel Color Time]]&gt;0,1,0)</f>
        <v>0</v>
      </c>
    </row>
    <row r="618" spans="1:46" x14ac:dyDescent="0.25">
      <c r="A618"/>
      <c r="I618" s="8">
        <f>+Table1[[#This Row],[Auton ball picked up in our trench]]+Table1[[#This Row],[Auton Balls Picked Up in Mid]]+Table1[[#This Row],[Auton Balls Picked Up In Their Trench]]</f>
        <v>0</v>
      </c>
      <c r="J618" s="8">
        <f>+Table1[[#This Row],[Auton Scored High]]+Table1[[#This Row],[Auton Scored Low]]</f>
        <v>0</v>
      </c>
      <c r="K61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18" s="8">
        <f>Table1[[#This Row],[Balls Scored From Trench]]+Table1[[#This Row],[Balls Scored from Mid]]+Table1[[#This Row],[Balls Scored From Alliance zone]]</f>
        <v>0</v>
      </c>
      <c r="W618" s="8">
        <f>Table1[[#This Row],[balls scored high]]+Table1[[#This Row],[balls scored low]]</f>
        <v>0</v>
      </c>
      <c r="X618" s="8">
        <f>Table1[[#This Row],[Control Panel Spun Time]]+Table1[[#This Row],[Control Panel Color Time]]</f>
        <v>0</v>
      </c>
      <c r="Y618" s="8">
        <f>Table1[[#This Row],[Control Panels Spun]]+Table1[[#This Row],[Control Panel Color]]</f>
        <v>0</v>
      </c>
      <c r="Z61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18" s="17">
        <f>(Table1[[#This Row],[Climbed]]*weighting!$B$18)+(Table1[[#This Row],[Adjustable Climber]]*weighting!$B$19)+(Table1[[#This Row],[Lift other Robot]]*weighting!$B$20)+(Table1[[#This Row],[Balanced]]*weighting!$B$21)</f>
        <v>0</v>
      </c>
      <c r="AL618" s="8">
        <f>+Table1[[#This Row],[Endgame our score]]+Table1[[#This Row],[teleop our score]]+Table1[[#This Row],[auton our score]]</f>
        <v>0</v>
      </c>
      <c r="AM618" s="20">
        <f t="shared" si="27"/>
        <v>0</v>
      </c>
      <c r="AN618" s="20">
        <f t="shared" si="28"/>
        <v>0</v>
      </c>
      <c r="AO618" s="20">
        <f t="shared" si="29"/>
        <v>0</v>
      </c>
      <c r="AP618" s="20">
        <f>Table1[[#This Row],[balls scored]]+Table1[[#This Row],[auton balls scored]]</f>
        <v>0</v>
      </c>
      <c r="AQ618" s="20">
        <f>Table1[[#This Row],[balls scored high]]+Table1[[#This Row],[Auton Scored High]]</f>
        <v>0</v>
      </c>
      <c r="AR618" s="20">
        <f>Table1[[#This Row],[balls scored low]]+Table1[[#This Row],[Auton Scored Low]]</f>
        <v>0</v>
      </c>
      <c r="AS618" s="50">
        <f>IF(Table1[[#This Row],[Control Panel Spun Time]]&gt;0,1,0)</f>
        <v>0</v>
      </c>
      <c r="AT618" s="20">
        <f>IF(Table1[[#This Row],[Control Panel Color Time]]&gt;0,1,0)</f>
        <v>0</v>
      </c>
    </row>
    <row r="619" spans="1:46" s="2" customFormat="1" x14ac:dyDescent="0.25">
      <c r="A619"/>
      <c r="B619"/>
      <c r="C619"/>
      <c r="D619"/>
      <c r="E619"/>
      <c r="F619"/>
      <c r="G619"/>
      <c r="H619"/>
      <c r="I619" s="8">
        <f>+Table1[[#This Row],[Auton ball picked up in our trench]]+Table1[[#This Row],[Auton Balls Picked Up in Mid]]+Table1[[#This Row],[Auton Balls Picked Up In Their Trench]]</f>
        <v>0</v>
      </c>
      <c r="J619" s="8">
        <f>+Table1[[#This Row],[Auton Scored High]]+Table1[[#This Row],[Auton Scored Low]]</f>
        <v>0</v>
      </c>
      <c r="K61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19"/>
      <c r="M619"/>
      <c r="N619"/>
      <c r="O619"/>
      <c r="P619"/>
      <c r="Q619"/>
      <c r="R619"/>
      <c r="S619"/>
      <c r="T619"/>
      <c r="U619"/>
      <c r="V619" s="8">
        <f>Table1[[#This Row],[Balls Scored From Trench]]+Table1[[#This Row],[Balls Scored from Mid]]+Table1[[#This Row],[Balls Scored From Alliance zone]]</f>
        <v>0</v>
      </c>
      <c r="W619" s="8">
        <f>Table1[[#This Row],[balls scored high]]+Table1[[#This Row],[balls scored low]]</f>
        <v>0</v>
      </c>
      <c r="X619" s="8">
        <f>Table1[[#This Row],[Control Panel Spun Time]]+Table1[[#This Row],[Control Panel Color Time]]</f>
        <v>0</v>
      </c>
      <c r="Y619" s="8">
        <f>Table1[[#This Row],[Control Panels Spun]]+Table1[[#This Row],[Control Panel Color]]</f>
        <v>0</v>
      </c>
      <c r="Z61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19"/>
      <c r="AB619"/>
      <c r="AC619"/>
      <c r="AD619"/>
      <c r="AE619"/>
      <c r="AF619"/>
      <c r="AG619"/>
      <c r="AH619"/>
      <c r="AI619"/>
      <c r="AJ619"/>
      <c r="AK619" s="17">
        <f>(Table1[[#This Row],[Climbed]]*weighting!$B$18)+(Table1[[#This Row],[Adjustable Climber]]*weighting!$B$19)+(Table1[[#This Row],[Lift other Robot]]*weighting!$B$20)+(Table1[[#This Row],[Balanced]]*weighting!$B$21)</f>
        <v>0</v>
      </c>
      <c r="AL619" s="8">
        <f>+Table1[[#This Row],[Endgame our score]]+Table1[[#This Row],[teleop our score]]+Table1[[#This Row],[auton our score]]</f>
        <v>0</v>
      </c>
      <c r="AM619" s="20">
        <f t="shared" si="27"/>
        <v>0</v>
      </c>
      <c r="AN619" s="20">
        <f t="shared" si="28"/>
        <v>0</v>
      </c>
      <c r="AO619" s="20">
        <f t="shared" si="29"/>
        <v>0</v>
      </c>
      <c r="AP619" s="20">
        <f>Table1[[#This Row],[balls scored]]+Table1[[#This Row],[auton balls scored]]</f>
        <v>0</v>
      </c>
      <c r="AQ619" s="20">
        <f>Table1[[#This Row],[balls scored high]]+Table1[[#This Row],[Auton Scored High]]</f>
        <v>0</v>
      </c>
      <c r="AR619" s="20">
        <f>Table1[[#This Row],[balls scored low]]+Table1[[#This Row],[Auton Scored Low]]</f>
        <v>0</v>
      </c>
      <c r="AS619" s="50">
        <f>IF(Table1[[#This Row],[Control Panel Spun Time]]&gt;0,1,0)</f>
        <v>0</v>
      </c>
      <c r="AT619" s="20">
        <f>IF(Table1[[#This Row],[Control Panel Color Time]]&gt;0,1,0)</f>
        <v>0</v>
      </c>
    </row>
    <row r="620" spans="1:46" x14ac:dyDescent="0.25">
      <c r="A620"/>
      <c r="I620" s="8">
        <f>+Table1[[#This Row],[Auton ball picked up in our trench]]+Table1[[#This Row],[Auton Balls Picked Up in Mid]]+Table1[[#This Row],[Auton Balls Picked Up In Their Trench]]</f>
        <v>0</v>
      </c>
      <c r="J620" s="8">
        <f>+Table1[[#This Row],[Auton Scored High]]+Table1[[#This Row],[Auton Scored Low]]</f>
        <v>0</v>
      </c>
      <c r="K62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20" s="8">
        <f>Table1[[#This Row],[Balls Scored From Trench]]+Table1[[#This Row],[Balls Scored from Mid]]+Table1[[#This Row],[Balls Scored From Alliance zone]]</f>
        <v>0</v>
      </c>
      <c r="W620" s="8">
        <f>Table1[[#This Row],[balls scored high]]+Table1[[#This Row],[balls scored low]]</f>
        <v>0</v>
      </c>
      <c r="X620" s="8">
        <f>Table1[[#This Row],[Control Panel Spun Time]]+Table1[[#This Row],[Control Panel Color Time]]</f>
        <v>0</v>
      </c>
      <c r="Y620" s="8">
        <f>Table1[[#This Row],[Control Panels Spun]]+Table1[[#This Row],[Control Panel Color]]</f>
        <v>0</v>
      </c>
      <c r="Z62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20" s="17">
        <f>(Table1[[#This Row],[Climbed]]*weighting!$B$18)+(Table1[[#This Row],[Adjustable Climber]]*weighting!$B$19)+(Table1[[#This Row],[Lift other Robot]]*weighting!$B$20)+(Table1[[#This Row],[Balanced]]*weighting!$B$21)</f>
        <v>0</v>
      </c>
      <c r="AL620" s="8">
        <f>+Table1[[#This Row],[Endgame our score]]+Table1[[#This Row],[teleop our score]]+Table1[[#This Row],[auton our score]]</f>
        <v>0</v>
      </c>
      <c r="AM620" s="20">
        <f t="shared" si="27"/>
        <v>0</v>
      </c>
      <c r="AN620" s="20">
        <f t="shared" si="28"/>
        <v>0</v>
      </c>
      <c r="AO620" s="20">
        <f t="shared" si="29"/>
        <v>0</v>
      </c>
      <c r="AP620" s="20">
        <f>Table1[[#This Row],[balls scored]]+Table1[[#This Row],[auton balls scored]]</f>
        <v>0</v>
      </c>
      <c r="AQ620" s="20">
        <f>Table1[[#This Row],[balls scored high]]+Table1[[#This Row],[Auton Scored High]]</f>
        <v>0</v>
      </c>
      <c r="AR620" s="20">
        <f>Table1[[#This Row],[balls scored low]]+Table1[[#This Row],[Auton Scored Low]]</f>
        <v>0</v>
      </c>
      <c r="AS620" s="50">
        <f>IF(Table1[[#This Row],[Control Panel Spun Time]]&gt;0,1,0)</f>
        <v>0</v>
      </c>
      <c r="AT620" s="20">
        <f>IF(Table1[[#This Row],[Control Panel Color Time]]&gt;0,1,0)</f>
        <v>0</v>
      </c>
    </row>
    <row r="621" spans="1:46" s="2" customFormat="1" x14ac:dyDescent="0.25">
      <c r="A621"/>
      <c r="B621"/>
      <c r="C621"/>
      <c r="D621"/>
      <c r="E621"/>
      <c r="F621"/>
      <c r="G621"/>
      <c r="H621"/>
      <c r="I621" s="8">
        <f>+Table1[[#This Row],[Auton ball picked up in our trench]]+Table1[[#This Row],[Auton Balls Picked Up in Mid]]+Table1[[#This Row],[Auton Balls Picked Up In Their Trench]]</f>
        <v>0</v>
      </c>
      <c r="J621" s="8">
        <f>+Table1[[#This Row],[Auton Scored High]]+Table1[[#This Row],[Auton Scored Low]]</f>
        <v>0</v>
      </c>
      <c r="K62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21"/>
      <c r="M621"/>
      <c r="N621"/>
      <c r="O621"/>
      <c r="P621"/>
      <c r="Q621"/>
      <c r="R621"/>
      <c r="S621"/>
      <c r="T621"/>
      <c r="U621"/>
      <c r="V621" s="8">
        <f>Table1[[#This Row],[Balls Scored From Trench]]+Table1[[#This Row],[Balls Scored from Mid]]+Table1[[#This Row],[Balls Scored From Alliance zone]]</f>
        <v>0</v>
      </c>
      <c r="W621" s="8">
        <f>Table1[[#This Row],[balls scored high]]+Table1[[#This Row],[balls scored low]]</f>
        <v>0</v>
      </c>
      <c r="X621" s="8">
        <f>Table1[[#This Row],[Control Panel Spun Time]]+Table1[[#This Row],[Control Panel Color Time]]</f>
        <v>0</v>
      </c>
      <c r="Y621" s="8">
        <f>Table1[[#This Row],[Control Panels Spun]]+Table1[[#This Row],[Control Panel Color]]</f>
        <v>0</v>
      </c>
      <c r="Z62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21"/>
      <c r="AB621"/>
      <c r="AC621"/>
      <c r="AD621"/>
      <c r="AE621"/>
      <c r="AF621"/>
      <c r="AG621"/>
      <c r="AH621"/>
      <c r="AI621"/>
      <c r="AJ621"/>
      <c r="AK621" s="17">
        <f>(Table1[[#This Row],[Climbed]]*weighting!$B$18)+(Table1[[#This Row],[Adjustable Climber]]*weighting!$B$19)+(Table1[[#This Row],[Lift other Robot]]*weighting!$B$20)+(Table1[[#This Row],[Balanced]]*weighting!$B$21)</f>
        <v>0</v>
      </c>
      <c r="AL621" s="8">
        <f>+Table1[[#This Row],[Endgame our score]]+Table1[[#This Row],[teleop our score]]+Table1[[#This Row],[auton our score]]</f>
        <v>0</v>
      </c>
      <c r="AM621" s="20">
        <f t="shared" si="27"/>
        <v>0</v>
      </c>
      <c r="AN621" s="20">
        <f t="shared" si="28"/>
        <v>0</v>
      </c>
      <c r="AO621" s="20">
        <f t="shared" si="29"/>
        <v>0</v>
      </c>
      <c r="AP621" s="20">
        <f>Table1[[#This Row],[balls scored]]+Table1[[#This Row],[auton balls scored]]</f>
        <v>0</v>
      </c>
      <c r="AQ621" s="20">
        <f>Table1[[#This Row],[balls scored high]]+Table1[[#This Row],[Auton Scored High]]</f>
        <v>0</v>
      </c>
      <c r="AR621" s="20">
        <f>Table1[[#This Row],[balls scored low]]+Table1[[#This Row],[Auton Scored Low]]</f>
        <v>0</v>
      </c>
      <c r="AS621" s="50">
        <f>IF(Table1[[#This Row],[Control Panel Spun Time]]&gt;0,1,0)</f>
        <v>0</v>
      </c>
      <c r="AT621" s="20">
        <f>IF(Table1[[#This Row],[Control Panel Color Time]]&gt;0,1,0)</f>
        <v>0</v>
      </c>
    </row>
    <row r="622" spans="1:46" x14ac:dyDescent="0.25">
      <c r="A622"/>
      <c r="I622" s="8">
        <f>+Table1[[#This Row],[Auton ball picked up in our trench]]+Table1[[#This Row],[Auton Balls Picked Up in Mid]]+Table1[[#This Row],[Auton Balls Picked Up In Their Trench]]</f>
        <v>0</v>
      </c>
      <c r="J622" s="8">
        <f>+Table1[[#This Row],[Auton Scored High]]+Table1[[#This Row],[Auton Scored Low]]</f>
        <v>0</v>
      </c>
      <c r="K62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22" s="8">
        <f>Table1[[#This Row],[Balls Scored From Trench]]+Table1[[#This Row],[Balls Scored from Mid]]+Table1[[#This Row],[Balls Scored From Alliance zone]]</f>
        <v>0</v>
      </c>
      <c r="W622" s="8">
        <f>Table1[[#This Row],[balls scored high]]+Table1[[#This Row],[balls scored low]]</f>
        <v>0</v>
      </c>
      <c r="X622" s="8">
        <f>Table1[[#This Row],[Control Panel Spun Time]]+Table1[[#This Row],[Control Panel Color Time]]</f>
        <v>0</v>
      </c>
      <c r="Y622" s="8">
        <f>Table1[[#This Row],[Control Panels Spun]]+Table1[[#This Row],[Control Panel Color]]</f>
        <v>0</v>
      </c>
      <c r="Z62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22" s="17">
        <f>(Table1[[#This Row],[Climbed]]*weighting!$B$18)+(Table1[[#This Row],[Adjustable Climber]]*weighting!$B$19)+(Table1[[#This Row],[Lift other Robot]]*weighting!$B$20)+(Table1[[#This Row],[Balanced]]*weighting!$B$21)</f>
        <v>0</v>
      </c>
      <c r="AL622" s="8">
        <f>+Table1[[#This Row],[Endgame our score]]+Table1[[#This Row],[teleop our score]]+Table1[[#This Row],[auton our score]]</f>
        <v>0</v>
      </c>
      <c r="AM622" s="20">
        <f t="shared" si="27"/>
        <v>0</v>
      </c>
      <c r="AN622" s="20">
        <f t="shared" si="28"/>
        <v>0</v>
      </c>
      <c r="AO622" s="20">
        <f t="shared" si="29"/>
        <v>0</v>
      </c>
      <c r="AP622" s="20">
        <f>Table1[[#This Row],[balls scored]]+Table1[[#This Row],[auton balls scored]]</f>
        <v>0</v>
      </c>
      <c r="AQ622" s="20">
        <f>Table1[[#This Row],[balls scored high]]+Table1[[#This Row],[Auton Scored High]]</f>
        <v>0</v>
      </c>
      <c r="AR622" s="20">
        <f>Table1[[#This Row],[balls scored low]]+Table1[[#This Row],[Auton Scored Low]]</f>
        <v>0</v>
      </c>
      <c r="AS622" s="50">
        <f>IF(Table1[[#This Row],[Control Panel Spun Time]]&gt;0,1,0)</f>
        <v>0</v>
      </c>
      <c r="AT622" s="20">
        <f>IF(Table1[[#This Row],[Control Panel Color Time]]&gt;0,1,0)</f>
        <v>0</v>
      </c>
    </row>
    <row r="623" spans="1:46" s="2" customFormat="1" x14ac:dyDescent="0.25">
      <c r="A623"/>
      <c r="B623"/>
      <c r="C623"/>
      <c r="D623"/>
      <c r="E623"/>
      <c r="F623"/>
      <c r="G623"/>
      <c r="H623"/>
      <c r="I623" s="8">
        <f>+Table1[[#This Row],[Auton ball picked up in our trench]]+Table1[[#This Row],[Auton Balls Picked Up in Mid]]+Table1[[#This Row],[Auton Balls Picked Up In Their Trench]]</f>
        <v>0</v>
      </c>
      <c r="J623" s="8">
        <f>+Table1[[#This Row],[Auton Scored High]]+Table1[[#This Row],[Auton Scored Low]]</f>
        <v>0</v>
      </c>
      <c r="K62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23"/>
      <c r="M623"/>
      <c r="N623"/>
      <c r="O623"/>
      <c r="P623"/>
      <c r="Q623"/>
      <c r="R623"/>
      <c r="S623"/>
      <c r="T623"/>
      <c r="U623"/>
      <c r="V623" s="8">
        <f>Table1[[#This Row],[Balls Scored From Trench]]+Table1[[#This Row],[Balls Scored from Mid]]+Table1[[#This Row],[Balls Scored From Alliance zone]]</f>
        <v>0</v>
      </c>
      <c r="W623" s="8">
        <f>Table1[[#This Row],[balls scored high]]+Table1[[#This Row],[balls scored low]]</f>
        <v>0</v>
      </c>
      <c r="X623" s="8">
        <f>Table1[[#This Row],[Control Panel Spun Time]]+Table1[[#This Row],[Control Panel Color Time]]</f>
        <v>0</v>
      </c>
      <c r="Y623" s="8">
        <f>Table1[[#This Row],[Control Panels Spun]]+Table1[[#This Row],[Control Panel Color]]</f>
        <v>0</v>
      </c>
      <c r="Z62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23"/>
      <c r="AB623"/>
      <c r="AC623"/>
      <c r="AD623"/>
      <c r="AE623"/>
      <c r="AF623"/>
      <c r="AG623"/>
      <c r="AH623"/>
      <c r="AI623"/>
      <c r="AJ623"/>
      <c r="AK623" s="17">
        <f>(Table1[[#This Row],[Climbed]]*weighting!$B$18)+(Table1[[#This Row],[Adjustable Climber]]*weighting!$B$19)+(Table1[[#This Row],[Lift other Robot]]*weighting!$B$20)+(Table1[[#This Row],[Balanced]]*weighting!$B$21)</f>
        <v>0</v>
      </c>
      <c r="AL623" s="8">
        <f>+Table1[[#This Row],[Endgame our score]]+Table1[[#This Row],[teleop our score]]+Table1[[#This Row],[auton our score]]</f>
        <v>0</v>
      </c>
      <c r="AM623" s="20">
        <f t="shared" si="27"/>
        <v>0</v>
      </c>
      <c r="AN623" s="20">
        <f t="shared" si="28"/>
        <v>0</v>
      </c>
      <c r="AO623" s="20">
        <f t="shared" si="29"/>
        <v>0</v>
      </c>
      <c r="AP623" s="20">
        <f>Table1[[#This Row],[balls scored]]+Table1[[#This Row],[auton balls scored]]</f>
        <v>0</v>
      </c>
      <c r="AQ623" s="20">
        <f>Table1[[#This Row],[balls scored high]]+Table1[[#This Row],[Auton Scored High]]</f>
        <v>0</v>
      </c>
      <c r="AR623" s="20">
        <f>Table1[[#This Row],[balls scored low]]+Table1[[#This Row],[Auton Scored Low]]</f>
        <v>0</v>
      </c>
      <c r="AS623" s="50">
        <f>IF(Table1[[#This Row],[Control Panel Spun Time]]&gt;0,1,0)</f>
        <v>0</v>
      </c>
      <c r="AT623" s="20">
        <f>IF(Table1[[#This Row],[Control Panel Color Time]]&gt;0,1,0)</f>
        <v>0</v>
      </c>
    </row>
    <row r="624" spans="1:46" x14ac:dyDescent="0.25">
      <c r="A624"/>
      <c r="I624" s="8">
        <f>+Table1[[#This Row],[Auton ball picked up in our trench]]+Table1[[#This Row],[Auton Balls Picked Up in Mid]]+Table1[[#This Row],[Auton Balls Picked Up In Their Trench]]</f>
        <v>0</v>
      </c>
      <c r="J624" s="8">
        <f>+Table1[[#This Row],[Auton Scored High]]+Table1[[#This Row],[Auton Scored Low]]</f>
        <v>0</v>
      </c>
      <c r="K62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24" s="8">
        <f>Table1[[#This Row],[Balls Scored From Trench]]+Table1[[#This Row],[Balls Scored from Mid]]+Table1[[#This Row],[Balls Scored From Alliance zone]]</f>
        <v>0</v>
      </c>
      <c r="W624" s="8">
        <f>Table1[[#This Row],[balls scored high]]+Table1[[#This Row],[balls scored low]]</f>
        <v>0</v>
      </c>
      <c r="X624" s="8">
        <f>Table1[[#This Row],[Control Panel Spun Time]]+Table1[[#This Row],[Control Panel Color Time]]</f>
        <v>0</v>
      </c>
      <c r="Y624" s="8">
        <f>Table1[[#This Row],[Control Panels Spun]]+Table1[[#This Row],[Control Panel Color]]</f>
        <v>0</v>
      </c>
      <c r="Z62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24" s="17">
        <f>(Table1[[#This Row],[Climbed]]*weighting!$B$18)+(Table1[[#This Row],[Adjustable Climber]]*weighting!$B$19)+(Table1[[#This Row],[Lift other Robot]]*weighting!$B$20)+(Table1[[#This Row],[Balanced]]*weighting!$B$21)</f>
        <v>0</v>
      </c>
      <c r="AL624" s="8">
        <f>+Table1[[#This Row],[Endgame our score]]+Table1[[#This Row],[teleop our score]]+Table1[[#This Row],[auton our score]]</f>
        <v>0</v>
      </c>
      <c r="AM624" s="20">
        <f t="shared" si="27"/>
        <v>0</v>
      </c>
      <c r="AN624" s="20">
        <f t="shared" si="28"/>
        <v>0</v>
      </c>
      <c r="AO624" s="20">
        <f t="shared" si="29"/>
        <v>0</v>
      </c>
      <c r="AP624" s="20">
        <f>Table1[[#This Row],[balls scored]]+Table1[[#This Row],[auton balls scored]]</f>
        <v>0</v>
      </c>
      <c r="AQ624" s="20">
        <f>Table1[[#This Row],[balls scored high]]+Table1[[#This Row],[Auton Scored High]]</f>
        <v>0</v>
      </c>
      <c r="AR624" s="20">
        <f>Table1[[#This Row],[balls scored low]]+Table1[[#This Row],[Auton Scored Low]]</f>
        <v>0</v>
      </c>
      <c r="AS624" s="50">
        <f>IF(Table1[[#This Row],[Control Panel Spun Time]]&gt;0,1,0)</f>
        <v>0</v>
      </c>
      <c r="AT624" s="20">
        <f>IF(Table1[[#This Row],[Control Panel Color Time]]&gt;0,1,0)</f>
        <v>0</v>
      </c>
    </row>
    <row r="625" spans="1:46" s="2" customFormat="1" x14ac:dyDescent="0.25">
      <c r="A625"/>
      <c r="B625"/>
      <c r="C625"/>
      <c r="D625"/>
      <c r="E625"/>
      <c r="F625"/>
      <c r="G625"/>
      <c r="H625"/>
      <c r="I625" s="8">
        <f>+Table1[[#This Row],[Auton ball picked up in our trench]]+Table1[[#This Row],[Auton Balls Picked Up in Mid]]+Table1[[#This Row],[Auton Balls Picked Up In Their Trench]]</f>
        <v>0</v>
      </c>
      <c r="J625" s="8">
        <f>+Table1[[#This Row],[Auton Scored High]]+Table1[[#This Row],[Auton Scored Low]]</f>
        <v>0</v>
      </c>
      <c r="K62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25"/>
      <c r="M625"/>
      <c r="N625"/>
      <c r="O625"/>
      <c r="P625"/>
      <c r="Q625"/>
      <c r="R625"/>
      <c r="S625"/>
      <c r="T625"/>
      <c r="U625"/>
      <c r="V625" s="8">
        <f>Table1[[#This Row],[Balls Scored From Trench]]+Table1[[#This Row],[Balls Scored from Mid]]+Table1[[#This Row],[Balls Scored From Alliance zone]]</f>
        <v>0</v>
      </c>
      <c r="W625" s="8">
        <f>Table1[[#This Row],[balls scored high]]+Table1[[#This Row],[balls scored low]]</f>
        <v>0</v>
      </c>
      <c r="X625" s="8">
        <f>Table1[[#This Row],[Control Panel Spun Time]]+Table1[[#This Row],[Control Panel Color Time]]</f>
        <v>0</v>
      </c>
      <c r="Y625" s="8">
        <f>Table1[[#This Row],[Control Panels Spun]]+Table1[[#This Row],[Control Panel Color]]</f>
        <v>0</v>
      </c>
      <c r="Z62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25"/>
      <c r="AB625"/>
      <c r="AC625"/>
      <c r="AD625"/>
      <c r="AE625"/>
      <c r="AF625"/>
      <c r="AG625"/>
      <c r="AH625"/>
      <c r="AI625"/>
      <c r="AJ625"/>
      <c r="AK625" s="17">
        <f>(Table1[[#This Row],[Climbed]]*weighting!$B$18)+(Table1[[#This Row],[Adjustable Climber]]*weighting!$B$19)+(Table1[[#This Row],[Lift other Robot]]*weighting!$B$20)+(Table1[[#This Row],[Balanced]]*weighting!$B$21)</f>
        <v>0</v>
      </c>
      <c r="AL625" s="8">
        <f>+Table1[[#This Row],[Endgame our score]]+Table1[[#This Row],[teleop our score]]+Table1[[#This Row],[auton our score]]</f>
        <v>0</v>
      </c>
      <c r="AM625" s="20">
        <f t="shared" si="27"/>
        <v>0</v>
      </c>
      <c r="AN625" s="20">
        <f t="shared" si="28"/>
        <v>0</v>
      </c>
      <c r="AO625" s="20">
        <f t="shared" si="29"/>
        <v>0</v>
      </c>
      <c r="AP625" s="20">
        <f>Table1[[#This Row],[balls scored]]+Table1[[#This Row],[auton balls scored]]</f>
        <v>0</v>
      </c>
      <c r="AQ625" s="20">
        <f>Table1[[#This Row],[balls scored high]]+Table1[[#This Row],[Auton Scored High]]</f>
        <v>0</v>
      </c>
      <c r="AR625" s="20">
        <f>Table1[[#This Row],[balls scored low]]+Table1[[#This Row],[Auton Scored Low]]</f>
        <v>0</v>
      </c>
      <c r="AS625" s="50">
        <f>IF(Table1[[#This Row],[Control Panel Spun Time]]&gt;0,1,0)</f>
        <v>0</v>
      </c>
      <c r="AT625" s="20">
        <f>IF(Table1[[#This Row],[Control Panel Color Time]]&gt;0,1,0)</f>
        <v>0</v>
      </c>
    </row>
    <row r="626" spans="1:46" x14ac:dyDescent="0.25">
      <c r="A626"/>
      <c r="I626" s="8">
        <f>+Table1[[#This Row],[Auton ball picked up in our trench]]+Table1[[#This Row],[Auton Balls Picked Up in Mid]]+Table1[[#This Row],[Auton Balls Picked Up In Their Trench]]</f>
        <v>0</v>
      </c>
      <c r="J626" s="8">
        <f>+Table1[[#This Row],[Auton Scored High]]+Table1[[#This Row],[Auton Scored Low]]</f>
        <v>0</v>
      </c>
      <c r="K62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26" s="8">
        <f>Table1[[#This Row],[Balls Scored From Trench]]+Table1[[#This Row],[Balls Scored from Mid]]+Table1[[#This Row],[Balls Scored From Alliance zone]]</f>
        <v>0</v>
      </c>
      <c r="W626" s="8">
        <f>Table1[[#This Row],[balls scored high]]+Table1[[#This Row],[balls scored low]]</f>
        <v>0</v>
      </c>
      <c r="X626" s="8">
        <f>Table1[[#This Row],[Control Panel Spun Time]]+Table1[[#This Row],[Control Panel Color Time]]</f>
        <v>0</v>
      </c>
      <c r="Y626" s="8">
        <f>Table1[[#This Row],[Control Panels Spun]]+Table1[[#This Row],[Control Panel Color]]</f>
        <v>0</v>
      </c>
      <c r="Z62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26" s="17">
        <f>(Table1[[#This Row],[Climbed]]*weighting!$B$18)+(Table1[[#This Row],[Adjustable Climber]]*weighting!$B$19)+(Table1[[#This Row],[Lift other Robot]]*weighting!$B$20)+(Table1[[#This Row],[Balanced]]*weighting!$B$21)</f>
        <v>0</v>
      </c>
      <c r="AL626" s="8">
        <f>+Table1[[#This Row],[Endgame our score]]+Table1[[#This Row],[teleop our score]]+Table1[[#This Row],[auton our score]]</f>
        <v>0</v>
      </c>
      <c r="AM626" s="20">
        <f t="shared" si="27"/>
        <v>0</v>
      </c>
      <c r="AN626" s="20">
        <f t="shared" si="28"/>
        <v>0</v>
      </c>
      <c r="AO626" s="20">
        <f t="shared" si="29"/>
        <v>0</v>
      </c>
      <c r="AP626" s="20">
        <f>Table1[[#This Row],[balls scored]]+Table1[[#This Row],[auton balls scored]]</f>
        <v>0</v>
      </c>
      <c r="AQ626" s="20">
        <f>Table1[[#This Row],[balls scored high]]+Table1[[#This Row],[Auton Scored High]]</f>
        <v>0</v>
      </c>
      <c r="AR626" s="20">
        <f>Table1[[#This Row],[balls scored low]]+Table1[[#This Row],[Auton Scored Low]]</f>
        <v>0</v>
      </c>
      <c r="AS626" s="50">
        <f>IF(Table1[[#This Row],[Control Panel Spun Time]]&gt;0,1,0)</f>
        <v>0</v>
      </c>
      <c r="AT626" s="20">
        <f>IF(Table1[[#This Row],[Control Panel Color Time]]&gt;0,1,0)</f>
        <v>0</v>
      </c>
    </row>
    <row r="627" spans="1:46" s="2" customFormat="1" x14ac:dyDescent="0.25">
      <c r="A627"/>
      <c r="B627"/>
      <c r="C627"/>
      <c r="D627"/>
      <c r="E627"/>
      <c r="F627"/>
      <c r="G627"/>
      <c r="H627"/>
      <c r="I627" s="8">
        <f>+Table1[[#This Row],[Auton ball picked up in our trench]]+Table1[[#This Row],[Auton Balls Picked Up in Mid]]+Table1[[#This Row],[Auton Balls Picked Up In Their Trench]]</f>
        <v>0</v>
      </c>
      <c r="J627" s="8">
        <f>+Table1[[#This Row],[Auton Scored High]]+Table1[[#This Row],[Auton Scored Low]]</f>
        <v>0</v>
      </c>
      <c r="K62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27"/>
      <c r="M627"/>
      <c r="N627"/>
      <c r="O627"/>
      <c r="P627"/>
      <c r="Q627"/>
      <c r="R627"/>
      <c r="S627"/>
      <c r="T627"/>
      <c r="U627"/>
      <c r="V627" s="8">
        <f>Table1[[#This Row],[Balls Scored From Trench]]+Table1[[#This Row],[Balls Scored from Mid]]+Table1[[#This Row],[Balls Scored From Alliance zone]]</f>
        <v>0</v>
      </c>
      <c r="W627" s="8">
        <f>Table1[[#This Row],[balls scored high]]+Table1[[#This Row],[balls scored low]]</f>
        <v>0</v>
      </c>
      <c r="X627" s="8">
        <f>Table1[[#This Row],[Control Panel Spun Time]]+Table1[[#This Row],[Control Panel Color Time]]</f>
        <v>0</v>
      </c>
      <c r="Y627" s="8">
        <f>Table1[[#This Row],[Control Panels Spun]]+Table1[[#This Row],[Control Panel Color]]</f>
        <v>0</v>
      </c>
      <c r="Z62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27"/>
      <c r="AB627"/>
      <c r="AC627"/>
      <c r="AD627"/>
      <c r="AE627"/>
      <c r="AF627"/>
      <c r="AG627"/>
      <c r="AH627"/>
      <c r="AI627"/>
      <c r="AJ627"/>
      <c r="AK627" s="17">
        <f>(Table1[[#This Row],[Climbed]]*weighting!$B$18)+(Table1[[#This Row],[Adjustable Climber]]*weighting!$B$19)+(Table1[[#This Row],[Lift other Robot]]*weighting!$B$20)+(Table1[[#This Row],[Balanced]]*weighting!$B$21)</f>
        <v>0</v>
      </c>
      <c r="AL627" s="8">
        <f>+Table1[[#This Row],[Endgame our score]]+Table1[[#This Row],[teleop our score]]+Table1[[#This Row],[auton our score]]</f>
        <v>0</v>
      </c>
      <c r="AM627" s="20">
        <f t="shared" si="27"/>
        <v>0</v>
      </c>
      <c r="AN627" s="20">
        <f t="shared" si="28"/>
        <v>0</v>
      </c>
      <c r="AO627" s="20">
        <f t="shared" si="29"/>
        <v>0</v>
      </c>
      <c r="AP627" s="20">
        <f>Table1[[#This Row],[balls scored]]+Table1[[#This Row],[auton balls scored]]</f>
        <v>0</v>
      </c>
      <c r="AQ627" s="20">
        <f>Table1[[#This Row],[balls scored high]]+Table1[[#This Row],[Auton Scored High]]</f>
        <v>0</v>
      </c>
      <c r="AR627" s="20">
        <f>Table1[[#This Row],[balls scored low]]+Table1[[#This Row],[Auton Scored Low]]</f>
        <v>0</v>
      </c>
      <c r="AS627" s="50">
        <f>IF(Table1[[#This Row],[Control Panel Spun Time]]&gt;0,1,0)</f>
        <v>0</v>
      </c>
      <c r="AT627" s="20">
        <f>IF(Table1[[#This Row],[Control Panel Color Time]]&gt;0,1,0)</f>
        <v>0</v>
      </c>
    </row>
    <row r="628" spans="1:46" x14ac:dyDescent="0.25">
      <c r="A628"/>
      <c r="I628" s="8">
        <f>+Table1[[#This Row],[Auton ball picked up in our trench]]+Table1[[#This Row],[Auton Balls Picked Up in Mid]]+Table1[[#This Row],[Auton Balls Picked Up In Their Trench]]</f>
        <v>0</v>
      </c>
      <c r="J628" s="8">
        <f>+Table1[[#This Row],[Auton Scored High]]+Table1[[#This Row],[Auton Scored Low]]</f>
        <v>0</v>
      </c>
      <c r="K62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28" s="8">
        <f>Table1[[#This Row],[Balls Scored From Trench]]+Table1[[#This Row],[Balls Scored from Mid]]+Table1[[#This Row],[Balls Scored From Alliance zone]]</f>
        <v>0</v>
      </c>
      <c r="W628" s="8">
        <f>Table1[[#This Row],[balls scored high]]+Table1[[#This Row],[balls scored low]]</f>
        <v>0</v>
      </c>
      <c r="X628" s="8">
        <f>Table1[[#This Row],[Control Panel Spun Time]]+Table1[[#This Row],[Control Panel Color Time]]</f>
        <v>0</v>
      </c>
      <c r="Y628" s="8">
        <f>Table1[[#This Row],[Control Panels Spun]]+Table1[[#This Row],[Control Panel Color]]</f>
        <v>0</v>
      </c>
      <c r="Z62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28" s="17">
        <f>(Table1[[#This Row],[Climbed]]*weighting!$B$18)+(Table1[[#This Row],[Adjustable Climber]]*weighting!$B$19)+(Table1[[#This Row],[Lift other Robot]]*weighting!$B$20)+(Table1[[#This Row],[Balanced]]*weighting!$B$21)</f>
        <v>0</v>
      </c>
      <c r="AL628" s="8">
        <f>+Table1[[#This Row],[Endgame our score]]+Table1[[#This Row],[teleop our score]]+Table1[[#This Row],[auton our score]]</f>
        <v>0</v>
      </c>
      <c r="AM628" s="20">
        <f t="shared" si="27"/>
        <v>0</v>
      </c>
      <c r="AN628" s="20">
        <f t="shared" si="28"/>
        <v>0</v>
      </c>
      <c r="AO628" s="20">
        <f t="shared" si="29"/>
        <v>0</v>
      </c>
      <c r="AP628" s="20">
        <f>Table1[[#This Row],[balls scored]]+Table1[[#This Row],[auton balls scored]]</f>
        <v>0</v>
      </c>
      <c r="AQ628" s="20">
        <f>Table1[[#This Row],[balls scored high]]+Table1[[#This Row],[Auton Scored High]]</f>
        <v>0</v>
      </c>
      <c r="AR628" s="20">
        <f>Table1[[#This Row],[balls scored low]]+Table1[[#This Row],[Auton Scored Low]]</f>
        <v>0</v>
      </c>
      <c r="AS628" s="50">
        <f>IF(Table1[[#This Row],[Control Panel Spun Time]]&gt;0,1,0)</f>
        <v>0</v>
      </c>
      <c r="AT628" s="20">
        <f>IF(Table1[[#This Row],[Control Panel Color Time]]&gt;0,1,0)</f>
        <v>0</v>
      </c>
    </row>
    <row r="629" spans="1:46" s="2" customFormat="1" x14ac:dyDescent="0.25">
      <c r="A629"/>
      <c r="B629"/>
      <c r="C629"/>
      <c r="D629"/>
      <c r="E629"/>
      <c r="F629"/>
      <c r="G629"/>
      <c r="H629"/>
      <c r="I629" s="8">
        <f>+Table1[[#This Row],[Auton ball picked up in our trench]]+Table1[[#This Row],[Auton Balls Picked Up in Mid]]+Table1[[#This Row],[Auton Balls Picked Up In Their Trench]]</f>
        <v>0</v>
      </c>
      <c r="J629" s="8">
        <f>+Table1[[#This Row],[Auton Scored High]]+Table1[[#This Row],[Auton Scored Low]]</f>
        <v>0</v>
      </c>
      <c r="K62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29"/>
      <c r="M629"/>
      <c r="N629"/>
      <c r="O629"/>
      <c r="P629"/>
      <c r="Q629"/>
      <c r="R629"/>
      <c r="S629"/>
      <c r="T629"/>
      <c r="U629"/>
      <c r="V629" s="8">
        <f>Table1[[#This Row],[Balls Scored From Trench]]+Table1[[#This Row],[Balls Scored from Mid]]+Table1[[#This Row],[Balls Scored From Alliance zone]]</f>
        <v>0</v>
      </c>
      <c r="W629" s="8">
        <f>Table1[[#This Row],[balls scored high]]+Table1[[#This Row],[balls scored low]]</f>
        <v>0</v>
      </c>
      <c r="X629" s="8">
        <f>Table1[[#This Row],[Control Panel Spun Time]]+Table1[[#This Row],[Control Panel Color Time]]</f>
        <v>0</v>
      </c>
      <c r="Y629" s="8">
        <f>Table1[[#This Row],[Control Panels Spun]]+Table1[[#This Row],[Control Panel Color]]</f>
        <v>0</v>
      </c>
      <c r="Z62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29"/>
      <c r="AB629"/>
      <c r="AC629"/>
      <c r="AD629"/>
      <c r="AE629"/>
      <c r="AF629"/>
      <c r="AG629"/>
      <c r="AH629"/>
      <c r="AI629"/>
      <c r="AJ629"/>
      <c r="AK629" s="17">
        <f>(Table1[[#This Row],[Climbed]]*weighting!$B$18)+(Table1[[#This Row],[Adjustable Climber]]*weighting!$B$19)+(Table1[[#This Row],[Lift other Robot]]*weighting!$B$20)+(Table1[[#This Row],[Balanced]]*weighting!$B$21)</f>
        <v>0</v>
      </c>
      <c r="AL629" s="8">
        <f>+Table1[[#This Row],[Endgame our score]]+Table1[[#This Row],[teleop our score]]+Table1[[#This Row],[auton our score]]</f>
        <v>0</v>
      </c>
      <c r="AM629" s="20">
        <f t="shared" si="27"/>
        <v>0</v>
      </c>
      <c r="AN629" s="20">
        <f t="shared" si="28"/>
        <v>0</v>
      </c>
      <c r="AO629" s="20">
        <f t="shared" si="29"/>
        <v>0</v>
      </c>
      <c r="AP629" s="20">
        <f>Table1[[#This Row],[balls scored]]+Table1[[#This Row],[auton balls scored]]</f>
        <v>0</v>
      </c>
      <c r="AQ629" s="20">
        <f>Table1[[#This Row],[balls scored high]]+Table1[[#This Row],[Auton Scored High]]</f>
        <v>0</v>
      </c>
      <c r="AR629" s="20">
        <f>Table1[[#This Row],[balls scored low]]+Table1[[#This Row],[Auton Scored Low]]</f>
        <v>0</v>
      </c>
      <c r="AS629" s="50">
        <f>IF(Table1[[#This Row],[Control Panel Spun Time]]&gt;0,1,0)</f>
        <v>0</v>
      </c>
      <c r="AT629" s="20">
        <f>IF(Table1[[#This Row],[Control Panel Color Time]]&gt;0,1,0)</f>
        <v>0</v>
      </c>
    </row>
    <row r="630" spans="1:46" x14ac:dyDescent="0.25">
      <c r="A630"/>
      <c r="I630" s="8">
        <f>+Table1[[#This Row],[Auton ball picked up in our trench]]+Table1[[#This Row],[Auton Balls Picked Up in Mid]]+Table1[[#This Row],[Auton Balls Picked Up In Their Trench]]</f>
        <v>0</v>
      </c>
      <c r="J630" s="8">
        <f>+Table1[[#This Row],[Auton Scored High]]+Table1[[#This Row],[Auton Scored Low]]</f>
        <v>0</v>
      </c>
      <c r="K63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30" s="8">
        <f>Table1[[#This Row],[Balls Scored From Trench]]+Table1[[#This Row],[Balls Scored from Mid]]+Table1[[#This Row],[Balls Scored From Alliance zone]]</f>
        <v>0</v>
      </c>
      <c r="W630" s="8">
        <f>Table1[[#This Row],[balls scored high]]+Table1[[#This Row],[balls scored low]]</f>
        <v>0</v>
      </c>
      <c r="X630" s="8">
        <f>Table1[[#This Row],[Control Panel Spun Time]]+Table1[[#This Row],[Control Panel Color Time]]</f>
        <v>0</v>
      </c>
      <c r="Y630" s="8">
        <f>Table1[[#This Row],[Control Panels Spun]]+Table1[[#This Row],[Control Panel Color]]</f>
        <v>0</v>
      </c>
      <c r="Z63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30" s="17">
        <f>(Table1[[#This Row],[Climbed]]*weighting!$B$18)+(Table1[[#This Row],[Adjustable Climber]]*weighting!$B$19)+(Table1[[#This Row],[Lift other Robot]]*weighting!$B$20)+(Table1[[#This Row],[Balanced]]*weighting!$B$21)</f>
        <v>0</v>
      </c>
      <c r="AL630" s="8">
        <f>+Table1[[#This Row],[Endgame our score]]+Table1[[#This Row],[teleop our score]]+Table1[[#This Row],[auton our score]]</f>
        <v>0</v>
      </c>
      <c r="AM630" s="20">
        <f t="shared" si="27"/>
        <v>0</v>
      </c>
      <c r="AN630" s="20">
        <f t="shared" si="28"/>
        <v>0</v>
      </c>
      <c r="AO630" s="20">
        <f t="shared" si="29"/>
        <v>0</v>
      </c>
      <c r="AP630" s="20">
        <f>Table1[[#This Row],[balls scored]]+Table1[[#This Row],[auton balls scored]]</f>
        <v>0</v>
      </c>
      <c r="AQ630" s="20">
        <f>Table1[[#This Row],[balls scored high]]+Table1[[#This Row],[Auton Scored High]]</f>
        <v>0</v>
      </c>
      <c r="AR630" s="20">
        <f>Table1[[#This Row],[balls scored low]]+Table1[[#This Row],[Auton Scored Low]]</f>
        <v>0</v>
      </c>
      <c r="AS630" s="50">
        <f>IF(Table1[[#This Row],[Control Panel Spun Time]]&gt;0,1,0)</f>
        <v>0</v>
      </c>
      <c r="AT630" s="20">
        <f>IF(Table1[[#This Row],[Control Panel Color Time]]&gt;0,1,0)</f>
        <v>0</v>
      </c>
    </row>
    <row r="631" spans="1:46" s="2" customFormat="1" x14ac:dyDescent="0.25">
      <c r="A631"/>
      <c r="B631"/>
      <c r="C631"/>
      <c r="D631"/>
      <c r="E631"/>
      <c r="F631"/>
      <c r="G631"/>
      <c r="H631"/>
      <c r="I631" s="8">
        <f>+Table1[[#This Row],[Auton ball picked up in our trench]]+Table1[[#This Row],[Auton Balls Picked Up in Mid]]+Table1[[#This Row],[Auton Balls Picked Up In Their Trench]]</f>
        <v>0</v>
      </c>
      <c r="J631" s="8">
        <f>+Table1[[#This Row],[Auton Scored High]]+Table1[[#This Row],[Auton Scored Low]]</f>
        <v>0</v>
      </c>
      <c r="K63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31"/>
      <c r="M631"/>
      <c r="N631"/>
      <c r="O631"/>
      <c r="P631"/>
      <c r="Q631"/>
      <c r="R631"/>
      <c r="S631"/>
      <c r="T631"/>
      <c r="U631"/>
      <c r="V631" s="8">
        <f>Table1[[#This Row],[Balls Scored From Trench]]+Table1[[#This Row],[Balls Scored from Mid]]+Table1[[#This Row],[Balls Scored From Alliance zone]]</f>
        <v>0</v>
      </c>
      <c r="W631" s="8">
        <f>Table1[[#This Row],[balls scored high]]+Table1[[#This Row],[balls scored low]]</f>
        <v>0</v>
      </c>
      <c r="X631" s="8">
        <f>Table1[[#This Row],[Control Panel Spun Time]]+Table1[[#This Row],[Control Panel Color Time]]</f>
        <v>0</v>
      </c>
      <c r="Y631" s="8">
        <f>Table1[[#This Row],[Control Panels Spun]]+Table1[[#This Row],[Control Panel Color]]</f>
        <v>0</v>
      </c>
      <c r="Z63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31"/>
      <c r="AB631"/>
      <c r="AC631"/>
      <c r="AD631"/>
      <c r="AE631"/>
      <c r="AF631"/>
      <c r="AG631"/>
      <c r="AH631"/>
      <c r="AI631"/>
      <c r="AJ631"/>
      <c r="AK631" s="17">
        <f>(Table1[[#This Row],[Climbed]]*weighting!$B$18)+(Table1[[#This Row],[Adjustable Climber]]*weighting!$B$19)+(Table1[[#This Row],[Lift other Robot]]*weighting!$B$20)+(Table1[[#This Row],[Balanced]]*weighting!$B$21)</f>
        <v>0</v>
      </c>
      <c r="AL631" s="8">
        <f>+Table1[[#This Row],[Endgame our score]]+Table1[[#This Row],[teleop our score]]+Table1[[#This Row],[auton our score]]</f>
        <v>0</v>
      </c>
      <c r="AM631" s="20">
        <f t="shared" si="27"/>
        <v>0</v>
      </c>
      <c r="AN631" s="20">
        <f t="shared" si="28"/>
        <v>0</v>
      </c>
      <c r="AO631" s="20">
        <f t="shared" si="29"/>
        <v>0</v>
      </c>
      <c r="AP631" s="20">
        <f>Table1[[#This Row],[balls scored]]+Table1[[#This Row],[auton balls scored]]</f>
        <v>0</v>
      </c>
      <c r="AQ631" s="20">
        <f>Table1[[#This Row],[balls scored high]]+Table1[[#This Row],[Auton Scored High]]</f>
        <v>0</v>
      </c>
      <c r="AR631" s="20">
        <f>Table1[[#This Row],[balls scored low]]+Table1[[#This Row],[Auton Scored Low]]</f>
        <v>0</v>
      </c>
      <c r="AS631" s="50">
        <f>IF(Table1[[#This Row],[Control Panel Spun Time]]&gt;0,1,0)</f>
        <v>0</v>
      </c>
      <c r="AT631" s="20">
        <f>IF(Table1[[#This Row],[Control Panel Color Time]]&gt;0,1,0)</f>
        <v>0</v>
      </c>
    </row>
    <row r="632" spans="1:46" x14ac:dyDescent="0.25">
      <c r="A632"/>
      <c r="I632" s="8">
        <f>+Table1[[#This Row],[Auton ball picked up in our trench]]+Table1[[#This Row],[Auton Balls Picked Up in Mid]]+Table1[[#This Row],[Auton Balls Picked Up In Their Trench]]</f>
        <v>0</v>
      </c>
      <c r="J632" s="8">
        <f>+Table1[[#This Row],[Auton Scored High]]+Table1[[#This Row],[Auton Scored Low]]</f>
        <v>0</v>
      </c>
      <c r="K63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32" s="8">
        <f>Table1[[#This Row],[Balls Scored From Trench]]+Table1[[#This Row],[Balls Scored from Mid]]+Table1[[#This Row],[Balls Scored From Alliance zone]]</f>
        <v>0</v>
      </c>
      <c r="W632" s="8">
        <f>Table1[[#This Row],[balls scored high]]+Table1[[#This Row],[balls scored low]]</f>
        <v>0</v>
      </c>
      <c r="X632" s="8">
        <f>Table1[[#This Row],[Control Panel Spun Time]]+Table1[[#This Row],[Control Panel Color Time]]</f>
        <v>0</v>
      </c>
      <c r="Y632" s="8">
        <f>Table1[[#This Row],[Control Panels Spun]]+Table1[[#This Row],[Control Panel Color]]</f>
        <v>0</v>
      </c>
      <c r="Z63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32" s="17">
        <f>(Table1[[#This Row],[Climbed]]*weighting!$B$18)+(Table1[[#This Row],[Adjustable Climber]]*weighting!$B$19)+(Table1[[#This Row],[Lift other Robot]]*weighting!$B$20)+(Table1[[#This Row],[Balanced]]*weighting!$B$21)</f>
        <v>0</v>
      </c>
      <c r="AL632" s="8">
        <f>+Table1[[#This Row],[Endgame our score]]+Table1[[#This Row],[teleop our score]]+Table1[[#This Row],[auton our score]]</f>
        <v>0</v>
      </c>
      <c r="AM632" s="20">
        <f t="shared" si="27"/>
        <v>0</v>
      </c>
      <c r="AN632" s="20">
        <f t="shared" si="28"/>
        <v>0</v>
      </c>
      <c r="AO632" s="20">
        <f t="shared" si="29"/>
        <v>0</v>
      </c>
      <c r="AP632" s="20">
        <f>Table1[[#This Row],[balls scored]]+Table1[[#This Row],[auton balls scored]]</f>
        <v>0</v>
      </c>
      <c r="AQ632" s="20">
        <f>Table1[[#This Row],[balls scored high]]+Table1[[#This Row],[Auton Scored High]]</f>
        <v>0</v>
      </c>
      <c r="AR632" s="20">
        <f>Table1[[#This Row],[balls scored low]]+Table1[[#This Row],[Auton Scored Low]]</f>
        <v>0</v>
      </c>
      <c r="AS632" s="50">
        <f>IF(Table1[[#This Row],[Control Panel Spun Time]]&gt;0,1,0)</f>
        <v>0</v>
      </c>
      <c r="AT632" s="20">
        <f>IF(Table1[[#This Row],[Control Panel Color Time]]&gt;0,1,0)</f>
        <v>0</v>
      </c>
    </row>
    <row r="633" spans="1:46" s="2" customFormat="1" x14ac:dyDescent="0.25">
      <c r="A633"/>
      <c r="B633"/>
      <c r="C633"/>
      <c r="D633"/>
      <c r="E633"/>
      <c r="F633"/>
      <c r="G633"/>
      <c r="H633"/>
      <c r="I633" s="8">
        <f>+Table1[[#This Row],[Auton ball picked up in our trench]]+Table1[[#This Row],[Auton Balls Picked Up in Mid]]+Table1[[#This Row],[Auton Balls Picked Up In Their Trench]]</f>
        <v>0</v>
      </c>
      <c r="J633" s="8">
        <f>+Table1[[#This Row],[Auton Scored High]]+Table1[[#This Row],[Auton Scored Low]]</f>
        <v>0</v>
      </c>
      <c r="K63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33"/>
      <c r="M633"/>
      <c r="N633"/>
      <c r="O633"/>
      <c r="P633"/>
      <c r="Q633"/>
      <c r="R633"/>
      <c r="S633"/>
      <c r="T633"/>
      <c r="U633"/>
      <c r="V633" s="8">
        <f>Table1[[#This Row],[Balls Scored From Trench]]+Table1[[#This Row],[Balls Scored from Mid]]+Table1[[#This Row],[Balls Scored From Alliance zone]]</f>
        <v>0</v>
      </c>
      <c r="W633" s="8">
        <f>Table1[[#This Row],[balls scored high]]+Table1[[#This Row],[balls scored low]]</f>
        <v>0</v>
      </c>
      <c r="X633" s="8">
        <f>Table1[[#This Row],[Control Panel Spun Time]]+Table1[[#This Row],[Control Panel Color Time]]</f>
        <v>0</v>
      </c>
      <c r="Y633" s="8">
        <f>Table1[[#This Row],[Control Panels Spun]]+Table1[[#This Row],[Control Panel Color]]</f>
        <v>0</v>
      </c>
      <c r="Z63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33"/>
      <c r="AB633"/>
      <c r="AC633"/>
      <c r="AD633"/>
      <c r="AE633"/>
      <c r="AF633"/>
      <c r="AG633"/>
      <c r="AH633"/>
      <c r="AI633"/>
      <c r="AJ633"/>
      <c r="AK633" s="17">
        <f>(Table1[[#This Row],[Climbed]]*weighting!$B$18)+(Table1[[#This Row],[Adjustable Climber]]*weighting!$B$19)+(Table1[[#This Row],[Lift other Robot]]*weighting!$B$20)+(Table1[[#This Row],[Balanced]]*weighting!$B$21)</f>
        <v>0</v>
      </c>
      <c r="AL633" s="8">
        <f>+Table1[[#This Row],[Endgame our score]]+Table1[[#This Row],[teleop our score]]+Table1[[#This Row],[auton our score]]</f>
        <v>0</v>
      </c>
      <c r="AM633" s="20">
        <f t="shared" si="27"/>
        <v>0</v>
      </c>
      <c r="AN633" s="20">
        <f t="shared" si="28"/>
        <v>0</v>
      </c>
      <c r="AO633" s="20">
        <f t="shared" si="29"/>
        <v>0</v>
      </c>
      <c r="AP633" s="20">
        <f>Table1[[#This Row],[balls scored]]+Table1[[#This Row],[auton balls scored]]</f>
        <v>0</v>
      </c>
      <c r="AQ633" s="20">
        <f>Table1[[#This Row],[balls scored high]]+Table1[[#This Row],[Auton Scored High]]</f>
        <v>0</v>
      </c>
      <c r="AR633" s="20">
        <f>Table1[[#This Row],[balls scored low]]+Table1[[#This Row],[Auton Scored Low]]</f>
        <v>0</v>
      </c>
      <c r="AS633" s="50">
        <f>IF(Table1[[#This Row],[Control Panel Spun Time]]&gt;0,1,0)</f>
        <v>0</v>
      </c>
      <c r="AT633" s="20">
        <f>IF(Table1[[#This Row],[Control Panel Color Time]]&gt;0,1,0)</f>
        <v>0</v>
      </c>
    </row>
    <row r="634" spans="1:46" x14ac:dyDescent="0.25">
      <c r="A634"/>
      <c r="I634" s="8">
        <f>+Table1[[#This Row],[Auton ball picked up in our trench]]+Table1[[#This Row],[Auton Balls Picked Up in Mid]]+Table1[[#This Row],[Auton Balls Picked Up In Their Trench]]</f>
        <v>0</v>
      </c>
      <c r="J634" s="8">
        <f>+Table1[[#This Row],[Auton Scored High]]+Table1[[#This Row],[Auton Scored Low]]</f>
        <v>0</v>
      </c>
      <c r="K63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34" s="8">
        <f>Table1[[#This Row],[Balls Scored From Trench]]+Table1[[#This Row],[Balls Scored from Mid]]+Table1[[#This Row],[Balls Scored From Alliance zone]]</f>
        <v>0</v>
      </c>
      <c r="W634" s="8">
        <f>Table1[[#This Row],[balls scored high]]+Table1[[#This Row],[balls scored low]]</f>
        <v>0</v>
      </c>
      <c r="X634" s="8">
        <f>Table1[[#This Row],[Control Panel Spun Time]]+Table1[[#This Row],[Control Panel Color Time]]</f>
        <v>0</v>
      </c>
      <c r="Y634" s="8">
        <f>Table1[[#This Row],[Control Panels Spun]]+Table1[[#This Row],[Control Panel Color]]</f>
        <v>0</v>
      </c>
      <c r="Z63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34" s="17">
        <f>(Table1[[#This Row],[Climbed]]*weighting!$B$18)+(Table1[[#This Row],[Adjustable Climber]]*weighting!$B$19)+(Table1[[#This Row],[Lift other Robot]]*weighting!$B$20)+(Table1[[#This Row],[Balanced]]*weighting!$B$21)</f>
        <v>0</v>
      </c>
      <c r="AL634" s="8">
        <f>+Table1[[#This Row],[Endgame our score]]+Table1[[#This Row],[teleop our score]]+Table1[[#This Row],[auton our score]]</f>
        <v>0</v>
      </c>
      <c r="AM634" s="20">
        <f t="shared" si="27"/>
        <v>0</v>
      </c>
      <c r="AN634" s="20">
        <f t="shared" si="28"/>
        <v>0</v>
      </c>
      <c r="AO634" s="20">
        <f t="shared" si="29"/>
        <v>0</v>
      </c>
      <c r="AP634" s="20">
        <f>Table1[[#This Row],[balls scored]]+Table1[[#This Row],[auton balls scored]]</f>
        <v>0</v>
      </c>
      <c r="AQ634" s="20">
        <f>Table1[[#This Row],[balls scored high]]+Table1[[#This Row],[Auton Scored High]]</f>
        <v>0</v>
      </c>
      <c r="AR634" s="20">
        <f>Table1[[#This Row],[balls scored low]]+Table1[[#This Row],[Auton Scored Low]]</f>
        <v>0</v>
      </c>
      <c r="AS634" s="50">
        <f>IF(Table1[[#This Row],[Control Panel Spun Time]]&gt;0,1,0)</f>
        <v>0</v>
      </c>
      <c r="AT634" s="20">
        <f>IF(Table1[[#This Row],[Control Panel Color Time]]&gt;0,1,0)</f>
        <v>0</v>
      </c>
    </row>
    <row r="635" spans="1:46" s="2" customFormat="1" x14ac:dyDescent="0.25">
      <c r="A635"/>
      <c r="B635"/>
      <c r="C635"/>
      <c r="D635"/>
      <c r="E635"/>
      <c r="F635"/>
      <c r="G635"/>
      <c r="H635"/>
      <c r="I635" s="8">
        <f>+Table1[[#This Row],[Auton ball picked up in our trench]]+Table1[[#This Row],[Auton Balls Picked Up in Mid]]+Table1[[#This Row],[Auton Balls Picked Up In Their Trench]]</f>
        <v>0</v>
      </c>
      <c r="J635" s="8">
        <f>+Table1[[#This Row],[Auton Scored High]]+Table1[[#This Row],[Auton Scored Low]]</f>
        <v>0</v>
      </c>
      <c r="K63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35"/>
      <c r="M635"/>
      <c r="N635"/>
      <c r="O635"/>
      <c r="P635"/>
      <c r="Q635"/>
      <c r="R635"/>
      <c r="S635"/>
      <c r="T635"/>
      <c r="U635"/>
      <c r="V635" s="8">
        <f>Table1[[#This Row],[Balls Scored From Trench]]+Table1[[#This Row],[Balls Scored from Mid]]+Table1[[#This Row],[Balls Scored From Alliance zone]]</f>
        <v>0</v>
      </c>
      <c r="W635" s="8">
        <f>Table1[[#This Row],[balls scored high]]+Table1[[#This Row],[balls scored low]]</f>
        <v>0</v>
      </c>
      <c r="X635" s="8">
        <f>Table1[[#This Row],[Control Panel Spun Time]]+Table1[[#This Row],[Control Panel Color Time]]</f>
        <v>0</v>
      </c>
      <c r="Y635" s="8">
        <f>Table1[[#This Row],[Control Panels Spun]]+Table1[[#This Row],[Control Panel Color]]</f>
        <v>0</v>
      </c>
      <c r="Z63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35"/>
      <c r="AB635"/>
      <c r="AC635"/>
      <c r="AD635"/>
      <c r="AE635"/>
      <c r="AF635"/>
      <c r="AG635"/>
      <c r="AH635"/>
      <c r="AI635"/>
      <c r="AJ635"/>
      <c r="AK635" s="17">
        <f>(Table1[[#This Row],[Climbed]]*weighting!$B$18)+(Table1[[#This Row],[Adjustable Climber]]*weighting!$B$19)+(Table1[[#This Row],[Lift other Robot]]*weighting!$B$20)+(Table1[[#This Row],[Balanced]]*weighting!$B$21)</f>
        <v>0</v>
      </c>
      <c r="AL635" s="8">
        <f>+Table1[[#This Row],[Endgame our score]]+Table1[[#This Row],[teleop our score]]+Table1[[#This Row],[auton our score]]</f>
        <v>0</v>
      </c>
      <c r="AM635" s="20">
        <f t="shared" si="27"/>
        <v>0</v>
      </c>
      <c r="AN635" s="20">
        <f t="shared" si="28"/>
        <v>0</v>
      </c>
      <c r="AO635" s="20">
        <f t="shared" si="29"/>
        <v>0</v>
      </c>
      <c r="AP635" s="20">
        <f>Table1[[#This Row],[balls scored]]+Table1[[#This Row],[auton balls scored]]</f>
        <v>0</v>
      </c>
      <c r="AQ635" s="20">
        <f>Table1[[#This Row],[balls scored high]]+Table1[[#This Row],[Auton Scored High]]</f>
        <v>0</v>
      </c>
      <c r="AR635" s="20">
        <f>Table1[[#This Row],[balls scored low]]+Table1[[#This Row],[Auton Scored Low]]</f>
        <v>0</v>
      </c>
      <c r="AS635" s="50">
        <f>IF(Table1[[#This Row],[Control Panel Spun Time]]&gt;0,1,0)</f>
        <v>0</v>
      </c>
      <c r="AT635" s="20">
        <f>IF(Table1[[#This Row],[Control Panel Color Time]]&gt;0,1,0)</f>
        <v>0</v>
      </c>
    </row>
    <row r="636" spans="1:46" x14ac:dyDescent="0.25">
      <c r="A636"/>
      <c r="I636" s="8">
        <f>+Table1[[#This Row],[Auton ball picked up in our trench]]+Table1[[#This Row],[Auton Balls Picked Up in Mid]]+Table1[[#This Row],[Auton Balls Picked Up In Their Trench]]</f>
        <v>0</v>
      </c>
      <c r="J636" s="8">
        <f>+Table1[[#This Row],[Auton Scored High]]+Table1[[#This Row],[Auton Scored Low]]</f>
        <v>0</v>
      </c>
      <c r="K63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36" s="8">
        <f>Table1[[#This Row],[Balls Scored From Trench]]+Table1[[#This Row],[Balls Scored from Mid]]+Table1[[#This Row],[Balls Scored From Alliance zone]]</f>
        <v>0</v>
      </c>
      <c r="W636" s="8">
        <f>Table1[[#This Row],[balls scored high]]+Table1[[#This Row],[balls scored low]]</f>
        <v>0</v>
      </c>
      <c r="X636" s="8">
        <f>Table1[[#This Row],[Control Panel Spun Time]]+Table1[[#This Row],[Control Panel Color Time]]</f>
        <v>0</v>
      </c>
      <c r="Y636" s="8">
        <f>Table1[[#This Row],[Control Panels Spun]]+Table1[[#This Row],[Control Panel Color]]</f>
        <v>0</v>
      </c>
      <c r="Z63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36" s="17">
        <f>(Table1[[#This Row],[Climbed]]*weighting!$B$18)+(Table1[[#This Row],[Adjustable Climber]]*weighting!$B$19)+(Table1[[#This Row],[Lift other Robot]]*weighting!$B$20)+(Table1[[#This Row],[Balanced]]*weighting!$B$21)</f>
        <v>0</v>
      </c>
      <c r="AL636" s="8">
        <f>+Table1[[#This Row],[Endgame our score]]+Table1[[#This Row],[teleop our score]]+Table1[[#This Row],[auton our score]]</f>
        <v>0</v>
      </c>
      <c r="AM636" s="20">
        <f t="shared" si="27"/>
        <v>0</v>
      </c>
      <c r="AN636" s="20">
        <f t="shared" si="28"/>
        <v>0</v>
      </c>
      <c r="AO636" s="20">
        <f t="shared" si="29"/>
        <v>0</v>
      </c>
      <c r="AP636" s="20">
        <f>Table1[[#This Row],[balls scored]]+Table1[[#This Row],[auton balls scored]]</f>
        <v>0</v>
      </c>
      <c r="AQ636" s="20">
        <f>Table1[[#This Row],[balls scored high]]+Table1[[#This Row],[Auton Scored High]]</f>
        <v>0</v>
      </c>
      <c r="AR636" s="20">
        <f>Table1[[#This Row],[balls scored low]]+Table1[[#This Row],[Auton Scored Low]]</f>
        <v>0</v>
      </c>
      <c r="AS636" s="50">
        <f>IF(Table1[[#This Row],[Control Panel Spun Time]]&gt;0,1,0)</f>
        <v>0</v>
      </c>
      <c r="AT636" s="20">
        <f>IF(Table1[[#This Row],[Control Panel Color Time]]&gt;0,1,0)</f>
        <v>0</v>
      </c>
    </row>
    <row r="637" spans="1:46" s="2" customFormat="1" x14ac:dyDescent="0.25">
      <c r="A637"/>
      <c r="B637"/>
      <c r="C637"/>
      <c r="D637"/>
      <c r="E637"/>
      <c r="F637"/>
      <c r="G637"/>
      <c r="H637"/>
      <c r="I637" s="8">
        <f>+Table1[[#This Row],[Auton ball picked up in our trench]]+Table1[[#This Row],[Auton Balls Picked Up in Mid]]+Table1[[#This Row],[Auton Balls Picked Up In Their Trench]]</f>
        <v>0</v>
      </c>
      <c r="J637" s="8">
        <f>+Table1[[#This Row],[Auton Scored High]]+Table1[[#This Row],[Auton Scored Low]]</f>
        <v>0</v>
      </c>
      <c r="K63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37"/>
      <c r="M637"/>
      <c r="N637"/>
      <c r="O637"/>
      <c r="P637"/>
      <c r="Q637"/>
      <c r="R637"/>
      <c r="S637"/>
      <c r="T637"/>
      <c r="U637"/>
      <c r="V637" s="8">
        <f>Table1[[#This Row],[Balls Scored From Trench]]+Table1[[#This Row],[Balls Scored from Mid]]+Table1[[#This Row],[Balls Scored From Alliance zone]]</f>
        <v>0</v>
      </c>
      <c r="W637" s="8">
        <f>Table1[[#This Row],[balls scored high]]+Table1[[#This Row],[balls scored low]]</f>
        <v>0</v>
      </c>
      <c r="X637" s="8">
        <f>Table1[[#This Row],[Control Panel Spun Time]]+Table1[[#This Row],[Control Panel Color Time]]</f>
        <v>0</v>
      </c>
      <c r="Y637" s="8">
        <f>Table1[[#This Row],[Control Panels Spun]]+Table1[[#This Row],[Control Panel Color]]</f>
        <v>0</v>
      </c>
      <c r="Z63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37"/>
      <c r="AB637"/>
      <c r="AC637"/>
      <c r="AD637"/>
      <c r="AE637"/>
      <c r="AF637"/>
      <c r="AG637"/>
      <c r="AH637"/>
      <c r="AI637"/>
      <c r="AJ637"/>
      <c r="AK637" s="17">
        <f>(Table1[[#This Row],[Climbed]]*weighting!$B$18)+(Table1[[#This Row],[Adjustable Climber]]*weighting!$B$19)+(Table1[[#This Row],[Lift other Robot]]*weighting!$B$20)+(Table1[[#This Row],[Balanced]]*weighting!$B$21)</f>
        <v>0</v>
      </c>
      <c r="AL637" s="8">
        <f>+Table1[[#This Row],[Endgame our score]]+Table1[[#This Row],[teleop our score]]+Table1[[#This Row],[auton our score]]</f>
        <v>0</v>
      </c>
      <c r="AM637" s="20">
        <f t="shared" si="27"/>
        <v>0</v>
      </c>
      <c r="AN637" s="20">
        <f t="shared" si="28"/>
        <v>0</v>
      </c>
      <c r="AO637" s="20">
        <f t="shared" si="29"/>
        <v>0</v>
      </c>
      <c r="AP637" s="20">
        <f>Table1[[#This Row],[balls scored]]+Table1[[#This Row],[auton balls scored]]</f>
        <v>0</v>
      </c>
      <c r="AQ637" s="20">
        <f>Table1[[#This Row],[balls scored high]]+Table1[[#This Row],[Auton Scored High]]</f>
        <v>0</v>
      </c>
      <c r="AR637" s="20">
        <f>Table1[[#This Row],[balls scored low]]+Table1[[#This Row],[Auton Scored Low]]</f>
        <v>0</v>
      </c>
      <c r="AS637" s="50">
        <f>IF(Table1[[#This Row],[Control Panel Spun Time]]&gt;0,1,0)</f>
        <v>0</v>
      </c>
      <c r="AT637" s="20">
        <f>IF(Table1[[#This Row],[Control Panel Color Time]]&gt;0,1,0)</f>
        <v>0</v>
      </c>
    </row>
    <row r="638" spans="1:46" x14ac:dyDescent="0.25">
      <c r="A638"/>
      <c r="I638" s="8">
        <f>+Table1[[#This Row],[Auton ball picked up in our trench]]+Table1[[#This Row],[Auton Balls Picked Up in Mid]]+Table1[[#This Row],[Auton Balls Picked Up In Their Trench]]</f>
        <v>0</v>
      </c>
      <c r="J638" s="8">
        <f>+Table1[[#This Row],[Auton Scored High]]+Table1[[#This Row],[Auton Scored Low]]</f>
        <v>0</v>
      </c>
      <c r="K63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38" s="8">
        <f>Table1[[#This Row],[Balls Scored From Trench]]+Table1[[#This Row],[Balls Scored from Mid]]+Table1[[#This Row],[Balls Scored From Alliance zone]]</f>
        <v>0</v>
      </c>
      <c r="W638" s="8">
        <f>Table1[[#This Row],[balls scored high]]+Table1[[#This Row],[balls scored low]]</f>
        <v>0</v>
      </c>
      <c r="X638" s="8">
        <f>Table1[[#This Row],[Control Panel Spun Time]]+Table1[[#This Row],[Control Panel Color Time]]</f>
        <v>0</v>
      </c>
      <c r="Y638" s="8">
        <f>Table1[[#This Row],[Control Panels Spun]]+Table1[[#This Row],[Control Panel Color]]</f>
        <v>0</v>
      </c>
      <c r="Z63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38" s="17">
        <f>(Table1[[#This Row],[Climbed]]*weighting!$B$18)+(Table1[[#This Row],[Adjustable Climber]]*weighting!$B$19)+(Table1[[#This Row],[Lift other Robot]]*weighting!$B$20)+(Table1[[#This Row],[Balanced]]*weighting!$B$21)</f>
        <v>0</v>
      </c>
      <c r="AL638" s="8">
        <f>+Table1[[#This Row],[Endgame our score]]+Table1[[#This Row],[teleop our score]]+Table1[[#This Row],[auton our score]]</f>
        <v>0</v>
      </c>
      <c r="AM638" s="20">
        <f t="shared" si="27"/>
        <v>0</v>
      </c>
      <c r="AN638" s="20">
        <f t="shared" si="28"/>
        <v>0</v>
      </c>
      <c r="AO638" s="20">
        <f t="shared" si="29"/>
        <v>0</v>
      </c>
      <c r="AP638" s="20">
        <f>Table1[[#This Row],[balls scored]]+Table1[[#This Row],[auton balls scored]]</f>
        <v>0</v>
      </c>
      <c r="AQ638" s="20">
        <f>Table1[[#This Row],[balls scored high]]+Table1[[#This Row],[Auton Scored High]]</f>
        <v>0</v>
      </c>
      <c r="AR638" s="20">
        <f>Table1[[#This Row],[balls scored low]]+Table1[[#This Row],[Auton Scored Low]]</f>
        <v>0</v>
      </c>
      <c r="AS638" s="50">
        <f>IF(Table1[[#This Row],[Control Panel Spun Time]]&gt;0,1,0)</f>
        <v>0</v>
      </c>
      <c r="AT638" s="20">
        <f>IF(Table1[[#This Row],[Control Panel Color Time]]&gt;0,1,0)</f>
        <v>0</v>
      </c>
    </row>
    <row r="639" spans="1:46" s="2" customFormat="1" x14ac:dyDescent="0.25">
      <c r="A639"/>
      <c r="B639"/>
      <c r="C639"/>
      <c r="D639"/>
      <c r="E639"/>
      <c r="F639"/>
      <c r="G639"/>
      <c r="H639"/>
      <c r="I639" s="8">
        <f>+Table1[[#This Row],[Auton ball picked up in our trench]]+Table1[[#This Row],[Auton Balls Picked Up in Mid]]+Table1[[#This Row],[Auton Balls Picked Up In Their Trench]]</f>
        <v>0</v>
      </c>
      <c r="J639" s="8">
        <f>+Table1[[#This Row],[Auton Scored High]]+Table1[[#This Row],[Auton Scored Low]]</f>
        <v>0</v>
      </c>
      <c r="K63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39"/>
      <c r="M639"/>
      <c r="N639"/>
      <c r="O639"/>
      <c r="P639"/>
      <c r="Q639"/>
      <c r="R639"/>
      <c r="S639"/>
      <c r="T639"/>
      <c r="U639"/>
      <c r="V639" s="8">
        <f>Table1[[#This Row],[Balls Scored From Trench]]+Table1[[#This Row],[Balls Scored from Mid]]+Table1[[#This Row],[Balls Scored From Alliance zone]]</f>
        <v>0</v>
      </c>
      <c r="W639" s="8">
        <f>Table1[[#This Row],[balls scored high]]+Table1[[#This Row],[balls scored low]]</f>
        <v>0</v>
      </c>
      <c r="X639" s="8">
        <f>Table1[[#This Row],[Control Panel Spun Time]]+Table1[[#This Row],[Control Panel Color Time]]</f>
        <v>0</v>
      </c>
      <c r="Y639" s="8">
        <f>Table1[[#This Row],[Control Panels Spun]]+Table1[[#This Row],[Control Panel Color]]</f>
        <v>0</v>
      </c>
      <c r="Z63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39"/>
      <c r="AB639"/>
      <c r="AC639"/>
      <c r="AD639"/>
      <c r="AE639"/>
      <c r="AF639"/>
      <c r="AG639"/>
      <c r="AH639"/>
      <c r="AI639"/>
      <c r="AJ639"/>
      <c r="AK639" s="17">
        <f>(Table1[[#This Row],[Climbed]]*weighting!$B$18)+(Table1[[#This Row],[Adjustable Climber]]*weighting!$B$19)+(Table1[[#This Row],[Lift other Robot]]*weighting!$B$20)+(Table1[[#This Row],[Balanced]]*weighting!$B$21)</f>
        <v>0</v>
      </c>
      <c r="AL639" s="8">
        <f>+Table1[[#This Row],[Endgame our score]]+Table1[[#This Row],[teleop our score]]+Table1[[#This Row],[auton our score]]</f>
        <v>0</v>
      </c>
      <c r="AM639" s="20">
        <f t="shared" si="27"/>
        <v>0</v>
      </c>
      <c r="AN639" s="20">
        <f t="shared" si="28"/>
        <v>0</v>
      </c>
      <c r="AO639" s="20">
        <f t="shared" si="29"/>
        <v>0</v>
      </c>
      <c r="AP639" s="20">
        <f>Table1[[#This Row],[balls scored]]+Table1[[#This Row],[auton balls scored]]</f>
        <v>0</v>
      </c>
      <c r="AQ639" s="20">
        <f>Table1[[#This Row],[balls scored high]]+Table1[[#This Row],[Auton Scored High]]</f>
        <v>0</v>
      </c>
      <c r="AR639" s="20">
        <f>Table1[[#This Row],[balls scored low]]+Table1[[#This Row],[Auton Scored Low]]</f>
        <v>0</v>
      </c>
      <c r="AS639" s="50">
        <f>IF(Table1[[#This Row],[Control Panel Spun Time]]&gt;0,1,0)</f>
        <v>0</v>
      </c>
      <c r="AT639" s="20">
        <f>IF(Table1[[#This Row],[Control Panel Color Time]]&gt;0,1,0)</f>
        <v>0</v>
      </c>
    </row>
    <row r="640" spans="1:46" x14ac:dyDescent="0.25">
      <c r="A640"/>
      <c r="I640" s="8">
        <f>+Table1[[#This Row],[Auton ball picked up in our trench]]+Table1[[#This Row],[Auton Balls Picked Up in Mid]]+Table1[[#This Row],[Auton Balls Picked Up In Their Trench]]</f>
        <v>0</v>
      </c>
      <c r="J640" s="8">
        <f>+Table1[[#This Row],[Auton Scored High]]+Table1[[#This Row],[Auton Scored Low]]</f>
        <v>0</v>
      </c>
      <c r="K64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40" s="8">
        <f>Table1[[#This Row],[Balls Scored From Trench]]+Table1[[#This Row],[Balls Scored from Mid]]+Table1[[#This Row],[Balls Scored From Alliance zone]]</f>
        <v>0</v>
      </c>
      <c r="W640" s="8">
        <f>Table1[[#This Row],[balls scored high]]+Table1[[#This Row],[balls scored low]]</f>
        <v>0</v>
      </c>
      <c r="X640" s="8">
        <f>Table1[[#This Row],[Control Panel Spun Time]]+Table1[[#This Row],[Control Panel Color Time]]</f>
        <v>0</v>
      </c>
      <c r="Y640" s="8">
        <f>Table1[[#This Row],[Control Panels Spun]]+Table1[[#This Row],[Control Panel Color]]</f>
        <v>0</v>
      </c>
      <c r="Z64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40" s="17">
        <f>(Table1[[#This Row],[Climbed]]*weighting!$B$18)+(Table1[[#This Row],[Adjustable Climber]]*weighting!$B$19)+(Table1[[#This Row],[Lift other Robot]]*weighting!$B$20)+(Table1[[#This Row],[Balanced]]*weighting!$B$21)</f>
        <v>0</v>
      </c>
      <c r="AL640" s="8">
        <f>+Table1[[#This Row],[Endgame our score]]+Table1[[#This Row],[teleop our score]]+Table1[[#This Row],[auton our score]]</f>
        <v>0</v>
      </c>
      <c r="AM640" s="20">
        <f t="shared" si="27"/>
        <v>0</v>
      </c>
      <c r="AN640" s="20">
        <f t="shared" si="28"/>
        <v>0</v>
      </c>
      <c r="AO640" s="20">
        <f t="shared" si="29"/>
        <v>0</v>
      </c>
      <c r="AP640" s="20">
        <f>Table1[[#This Row],[balls scored]]+Table1[[#This Row],[auton balls scored]]</f>
        <v>0</v>
      </c>
      <c r="AQ640" s="20">
        <f>Table1[[#This Row],[balls scored high]]+Table1[[#This Row],[Auton Scored High]]</f>
        <v>0</v>
      </c>
      <c r="AR640" s="20">
        <f>Table1[[#This Row],[balls scored low]]+Table1[[#This Row],[Auton Scored Low]]</f>
        <v>0</v>
      </c>
      <c r="AS640" s="50">
        <f>IF(Table1[[#This Row],[Control Panel Spun Time]]&gt;0,1,0)</f>
        <v>0</v>
      </c>
      <c r="AT640" s="20">
        <f>IF(Table1[[#This Row],[Control Panel Color Time]]&gt;0,1,0)</f>
        <v>0</v>
      </c>
    </row>
    <row r="641" spans="1:46" s="2" customFormat="1" x14ac:dyDescent="0.25">
      <c r="A641"/>
      <c r="B641"/>
      <c r="C641"/>
      <c r="D641"/>
      <c r="E641"/>
      <c r="F641"/>
      <c r="G641"/>
      <c r="H641"/>
      <c r="I641" s="8">
        <f>+Table1[[#This Row],[Auton ball picked up in our trench]]+Table1[[#This Row],[Auton Balls Picked Up in Mid]]+Table1[[#This Row],[Auton Balls Picked Up In Their Trench]]</f>
        <v>0</v>
      </c>
      <c r="J641" s="8">
        <f>+Table1[[#This Row],[Auton Scored High]]+Table1[[#This Row],[Auton Scored Low]]</f>
        <v>0</v>
      </c>
      <c r="K64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41"/>
      <c r="M641"/>
      <c r="N641"/>
      <c r="O641"/>
      <c r="P641"/>
      <c r="Q641"/>
      <c r="R641"/>
      <c r="S641"/>
      <c r="T641"/>
      <c r="U641"/>
      <c r="V641" s="8">
        <f>Table1[[#This Row],[Balls Scored From Trench]]+Table1[[#This Row],[Balls Scored from Mid]]+Table1[[#This Row],[Balls Scored From Alliance zone]]</f>
        <v>0</v>
      </c>
      <c r="W641" s="8">
        <f>Table1[[#This Row],[balls scored high]]+Table1[[#This Row],[balls scored low]]</f>
        <v>0</v>
      </c>
      <c r="X641" s="8">
        <f>Table1[[#This Row],[Control Panel Spun Time]]+Table1[[#This Row],[Control Panel Color Time]]</f>
        <v>0</v>
      </c>
      <c r="Y641" s="8">
        <f>Table1[[#This Row],[Control Panels Spun]]+Table1[[#This Row],[Control Panel Color]]</f>
        <v>0</v>
      </c>
      <c r="Z64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41"/>
      <c r="AB641"/>
      <c r="AC641"/>
      <c r="AD641"/>
      <c r="AE641"/>
      <c r="AF641"/>
      <c r="AG641"/>
      <c r="AH641"/>
      <c r="AI641"/>
      <c r="AJ641"/>
      <c r="AK641" s="17">
        <f>(Table1[[#This Row],[Climbed]]*weighting!$B$18)+(Table1[[#This Row],[Adjustable Climber]]*weighting!$B$19)+(Table1[[#This Row],[Lift other Robot]]*weighting!$B$20)+(Table1[[#This Row],[Balanced]]*weighting!$B$21)</f>
        <v>0</v>
      </c>
      <c r="AL641" s="8">
        <f>+Table1[[#This Row],[Endgame our score]]+Table1[[#This Row],[teleop our score]]+Table1[[#This Row],[auton our score]]</f>
        <v>0</v>
      </c>
      <c r="AM641" s="20">
        <f t="shared" si="27"/>
        <v>0</v>
      </c>
      <c r="AN641" s="20">
        <f t="shared" si="28"/>
        <v>0</v>
      </c>
      <c r="AO641" s="20">
        <f t="shared" si="29"/>
        <v>0</v>
      </c>
      <c r="AP641" s="20">
        <f>Table1[[#This Row],[balls scored]]+Table1[[#This Row],[auton balls scored]]</f>
        <v>0</v>
      </c>
      <c r="AQ641" s="20">
        <f>Table1[[#This Row],[balls scored high]]+Table1[[#This Row],[Auton Scored High]]</f>
        <v>0</v>
      </c>
      <c r="AR641" s="20">
        <f>Table1[[#This Row],[balls scored low]]+Table1[[#This Row],[Auton Scored Low]]</f>
        <v>0</v>
      </c>
      <c r="AS641" s="50">
        <f>IF(Table1[[#This Row],[Control Panel Spun Time]]&gt;0,1,0)</f>
        <v>0</v>
      </c>
      <c r="AT641" s="20">
        <f>IF(Table1[[#This Row],[Control Panel Color Time]]&gt;0,1,0)</f>
        <v>0</v>
      </c>
    </row>
    <row r="642" spans="1:46" x14ac:dyDescent="0.25">
      <c r="A642"/>
      <c r="I642" s="8">
        <f>+Table1[[#This Row],[Auton ball picked up in our trench]]+Table1[[#This Row],[Auton Balls Picked Up in Mid]]+Table1[[#This Row],[Auton Balls Picked Up In Their Trench]]</f>
        <v>0</v>
      </c>
      <c r="J642" s="8">
        <f>+Table1[[#This Row],[Auton Scored High]]+Table1[[#This Row],[Auton Scored Low]]</f>
        <v>0</v>
      </c>
      <c r="K64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42" s="8">
        <f>Table1[[#This Row],[Balls Scored From Trench]]+Table1[[#This Row],[Balls Scored from Mid]]+Table1[[#This Row],[Balls Scored From Alliance zone]]</f>
        <v>0</v>
      </c>
      <c r="W642" s="8">
        <f>Table1[[#This Row],[balls scored high]]+Table1[[#This Row],[balls scored low]]</f>
        <v>0</v>
      </c>
      <c r="X642" s="8">
        <f>Table1[[#This Row],[Control Panel Spun Time]]+Table1[[#This Row],[Control Panel Color Time]]</f>
        <v>0</v>
      </c>
      <c r="Y642" s="8">
        <f>Table1[[#This Row],[Control Panels Spun]]+Table1[[#This Row],[Control Panel Color]]</f>
        <v>0</v>
      </c>
      <c r="Z64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42" s="17">
        <f>(Table1[[#This Row],[Climbed]]*weighting!$B$18)+(Table1[[#This Row],[Adjustable Climber]]*weighting!$B$19)+(Table1[[#This Row],[Lift other Robot]]*weighting!$B$20)+(Table1[[#This Row],[Balanced]]*weighting!$B$21)</f>
        <v>0</v>
      </c>
      <c r="AL642" s="8">
        <f>+Table1[[#This Row],[Endgame our score]]+Table1[[#This Row],[teleop our score]]+Table1[[#This Row],[auton our score]]</f>
        <v>0</v>
      </c>
      <c r="AM642" s="20">
        <f t="shared" ref="AM642:AM702" si="30">IF(B642=1,1,0)</f>
        <v>0</v>
      </c>
      <c r="AN642" s="20">
        <f t="shared" ref="AN642:AN702" si="31">IF(B642=2,1,0)</f>
        <v>0</v>
      </c>
      <c r="AO642" s="20">
        <f t="shared" ref="AO642:AO702" si="32">IF(B642=3,1,0)</f>
        <v>0</v>
      </c>
      <c r="AP642" s="20">
        <f>Table1[[#This Row],[balls scored]]+Table1[[#This Row],[auton balls scored]]</f>
        <v>0</v>
      </c>
      <c r="AQ642" s="20">
        <f>Table1[[#This Row],[balls scored high]]+Table1[[#This Row],[Auton Scored High]]</f>
        <v>0</v>
      </c>
      <c r="AR642" s="20">
        <f>Table1[[#This Row],[balls scored low]]+Table1[[#This Row],[Auton Scored Low]]</f>
        <v>0</v>
      </c>
      <c r="AS642" s="50">
        <f>IF(Table1[[#This Row],[Control Panel Spun Time]]&gt;0,1,0)</f>
        <v>0</v>
      </c>
      <c r="AT642" s="20">
        <f>IF(Table1[[#This Row],[Control Panel Color Time]]&gt;0,1,0)</f>
        <v>0</v>
      </c>
    </row>
    <row r="643" spans="1:46" s="2" customFormat="1" x14ac:dyDescent="0.25">
      <c r="A643"/>
      <c r="B643"/>
      <c r="C643"/>
      <c r="D643"/>
      <c r="E643"/>
      <c r="F643"/>
      <c r="G643"/>
      <c r="H643"/>
      <c r="I643" s="8">
        <f>+Table1[[#This Row],[Auton ball picked up in our trench]]+Table1[[#This Row],[Auton Balls Picked Up in Mid]]+Table1[[#This Row],[Auton Balls Picked Up In Their Trench]]</f>
        <v>0</v>
      </c>
      <c r="J643" s="8">
        <f>+Table1[[#This Row],[Auton Scored High]]+Table1[[#This Row],[Auton Scored Low]]</f>
        <v>0</v>
      </c>
      <c r="K64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43"/>
      <c r="M643"/>
      <c r="N643"/>
      <c r="O643"/>
      <c r="P643"/>
      <c r="Q643"/>
      <c r="R643"/>
      <c r="S643"/>
      <c r="T643"/>
      <c r="U643"/>
      <c r="V643" s="8">
        <f>Table1[[#This Row],[Balls Scored From Trench]]+Table1[[#This Row],[Balls Scored from Mid]]+Table1[[#This Row],[Balls Scored From Alliance zone]]</f>
        <v>0</v>
      </c>
      <c r="W643" s="8">
        <f>Table1[[#This Row],[balls scored high]]+Table1[[#This Row],[balls scored low]]</f>
        <v>0</v>
      </c>
      <c r="X643" s="8">
        <f>Table1[[#This Row],[Control Panel Spun Time]]+Table1[[#This Row],[Control Panel Color Time]]</f>
        <v>0</v>
      </c>
      <c r="Y643" s="8">
        <f>Table1[[#This Row],[Control Panels Spun]]+Table1[[#This Row],[Control Panel Color]]</f>
        <v>0</v>
      </c>
      <c r="Z64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43"/>
      <c r="AB643"/>
      <c r="AC643"/>
      <c r="AD643"/>
      <c r="AE643"/>
      <c r="AF643"/>
      <c r="AG643"/>
      <c r="AH643"/>
      <c r="AI643"/>
      <c r="AJ643"/>
      <c r="AK643" s="17">
        <f>(Table1[[#This Row],[Climbed]]*weighting!$B$18)+(Table1[[#This Row],[Adjustable Climber]]*weighting!$B$19)+(Table1[[#This Row],[Lift other Robot]]*weighting!$B$20)+(Table1[[#This Row],[Balanced]]*weighting!$B$21)</f>
        <v>0</v>
      </c>
      <c r="AL643" s="8">
        <f>+Table1[[#This Row],[Endgame our score]]+Table1[[#This Row],[teleop our score]]+Table1[[#This Row],[auton our score]]</f>
        <v>0</v>
      </c>
      <c r="AM643" s="20">
        <f t="shared" si="30"/>
        <v>0</v>
      </c>
      <c r="AN643" s="20">
        <f t="shared" si="31"/>
        <v>0</v>
      </c>
      <c r="AO643" s="20">
        <f t="shared" si="32"/>
        <v>0</v>
      </c>
      <c r="AP643" s="20">
        <f>Table1[[#This Row],[balls scored]]+Table1[[#This Row],[auton balls scored]]</f>
        <v>0</v>
      </c>
      <c r="AQ643" s="20">
        <f>Table1[[#This Row],[balls scored high]]+Table1[[#This Row],[Auton Scored High]]</f>
        <v>0</v>
      </c>
      <c r="AR643" s="20">
        <f>Table1[[#This Row],[balls scored low]]+Table1[[#This Row],[Auton Scored Low]]</f>
        <v>0</v>
      </c>
      <c r="AS643" s="50">
        <f>IF(Table1[[#This Row],[Control Panel Spun Time]]&gt;0,1,0)</f>
        <v>0</v>
      </c>
      <c r="AT643" s="20">
        <f>IF(Table1[[#This Row],[Control Panel Color Time]]&gt;0,1,0)</f>
        <v>0</v>
      </c>
    </row>
    <row r="644" spans="1:46" x14ac:dyDescent="0.25">
      <c r="A644"/>
      <c r="I644" s="8">
        <f>+Table1[[#This Row],[Auton ball picked up in our trench]]+Table1[[#This Row],[Auton Balls Picked Up in Mid]]+Table1[[#This Row],[Auton Balls Picked Up In Their Trench]]</f>
        <v>0</v>
      </c>
      <c r="J644" s="8">
        <f>+Table1[[#This Row],[Auton Scored High]]+Table1[[#This Row],[Auton Scored Low]]</f>
        <v>0</v>
      </c>
      <c r="K64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44" s="8">
        <f>Table1[[#This Row],[Balls Scored From Trench]]+Table1[[#This Row],[Balls Scored from Mid]]+Table1[[#This Row],[Balls Scored From Alliance zone]]</f>
        <v>0</v>
      </c>
      <c r="W644" s="8">
        <f>Table1[[#This Row],[balls scored high]]+Table1[[#This Row],[balls scored low]]</f>
        <v>0</v>
      </c>
      <c r="X644" s="8">
        <f>Table1[[#This Row],[Control Panel Spun Time]]+Table1[[#This Row],[Control Panel Color Time]]</f>
        <v>0</v>
      </c>
      <c r="Y644" s="8">
        <f>Table1[[#This Row],[Control Panels Spun]]+Table1[[#This Row],[Control Panel Color]]</f>
        <v>0</v>
      </c>
      <c r="Z64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44" s="17">
        <f>(Table1[[#This Row],[Climbed]]*weighting!$B$18)+(Table1[[#This Row],[Adjustable Climber]]*weighting!$B$19)+(Table1[[#This Row],[Lift other Robot]]*weighting!$B$20)+(Table1[[#This Row],[Balanced]]*weighting!$B$21)</f>
        <v>0</v>
      </c>
      <c r="AL644" s="8">
        <f>+Table1[[#This Row],[Endgame our score]]+Table1[[#This Row],[teleop our score]]+Table1[[#This Row],[auton our score]]</f>
        <v>0</v>
      </c>
      <c r="AM644" s="20">
        <f t="shared" si="30"/>
        <v>0</v>
      </c>
      <c r="AN644" s="20">
        <f t="shared" si="31"/>
        <v>0</v>
      </c>
      <c r="AO644" s="20">
        <f t="shared" si="32"/>
        <v>0</v>
      </c>
      <c r="AP644" s="20">
        <f>Table1[[#This Row],[balls scored]]+Table1[[#This Row],[auton balls scored]]</f>
        <v>0</v>
      </c>
      <c r="AQ644" s="20">
        <f>Table1[[#This Row],[balls scored high]]+Table1[[#This Row],[Auton Scored High]]</f>
        <v>0</v>
      </c>
      <c r="AR644" s="20">
        <f>Table1[[#This Row],[balls scored low]]+Table1[[#This Row],[Auton Scored Low]]</f>
        <v>0</v>
      </c>
      <c r="AS644" s="50">
        <f>IF(Table1[[#This Row],[Control Panel Spun Time]]&gt;0,1,0)</f>
        <v>0</v>
      </c>
      <c r="AT644" s="20">
        <f>IF(Table1[[#This Row],[Control Panel Color Time]]&gt;0,1,0)</f>
        <v>0</v>
      </c>
    </row>
    <row r="645" spans="1:46" s="2" customFormat="1" x14ac:dyDescent="0.25">
      <c r="A645"/>
      <c r="B645"/>
      <c r="C645"/>
      <c r="D645"/>
      <c r="E645"/>
      <c r="F645"/>
      <c r="G645"/>
      <c r="H645"/>
      <c r="I645" s="8">
        <f>+Table1[[#This Row],[Auton ball picked up in our trench]]+Table1[[#This Row],[Auton Balls Picked Up in Mid]]+Table1[[#This Row],[Auton Balls Picked Up In Their Trench]]</f>
        <v>0</v>
      </c>
      <c r="J645" s="8">
        <f>+Table1[[#This Row],[Auton Scored High]]+Table1[[#This Row],[Auton Scored Low]]</f>
        <v>0</v>
      </c>
      <c r="K64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45"/>
      <c r="M645"/>
      <c r="N645"/>
      <c r="O645"/>
      <c r="P645"/>
      <c r="Q645"/>
      <c r="R645"/>
      <c r="S645"/>
      <c r="T645"/>
      <c r="U645"/>
      <c r="V645" s="8">
        <f>Table1[[#This Row],[Balls Scored From Trench]]+Table1[[#This Row],[Balls Scored from Mid]]+Table1[[#This Row],[Balls Scored From Alliance zone]]</f>
        <v>0</v>
      </c>
      <c r="W645" s="8">
        <f>Table1[[#This Row],[balls scored high]]+Table1[[#This Row],[balls scored low]]</f>
        <v>0</v>
      </c>
      <c r="X645" s="8">
        <f>Table1[[#This Row],[Control Panel Spun Time]]+Table1[[#This Row],[Control Panel Color Time]]</f>
        <v>0</v>
      </c>
      <c r="Y645" s="8">
        <f>Table1[[#This Row],[Control Panels Spun]]+Table1[[#This Row],[Control Panel Color]]</f>
        <v>0</v>
      </c>
      <c r="Z64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45"/>
      <c r="AB645"/>
      <c r="AC645"/>
      <c r="AD645"/>
      <c r="AE645"/>
      <c r="AF645"/>
      <c r="AG645"/>
      <c r="AH645"/>
      <c r="AI645"/>
      <c r="AJ645"/>
      <c r="AK645" s="17">
        <f>(Table1[[#This Row],[Climbed]]*weighting!$B$18)+(Table1[[#This Row],[Adjustable Climber]]*weighting!$B$19)+(Table1[[#This Row],[Lift other Robot]]*weighting!$B$20)+(Table1[[#This Row],[Balanced]]*weighting!$B$21)</f>
        <v>0</v>
      </c>
      <c r="AL645" s="8">
        <f>+Table1[[#This Row],[Endgame our score]]+Table1[[#This Row],[teleop our score]]+Table1[[#This Row],[auton our score]]</f>
        <v>0</v>
      </c>
      <c r="AM645" s="20">
        <f t="shared" si="30"/>
        <v>0</v>
      </c>
      <c r="AN645" s="20">
        <f t="shared" si="31"/>
        <v>0</v>
      </c>
      <c r="AO645" s="20">
        <f t="shared" si="32"/>
        <v>0</v>
      </c>
      <c r="AP645" s="20">
        <f>Table1[[#This Row],[balls scored]]+Table1[[#This Row],[auton balls scored]]</f>
        <v>0</v>
      </c>
      <c r="AQ645" s="20">
        <f>Table1[[#This Row],[balls scored high]]+Table1[[#This Row],[Auton Scored High]]</f>
        <v>0</v>
      </c>
      <c r="AR645" s="20">
        <f>Table1[[#This Row],[balls scored low]]+Table1[[#This Row],[Auton Scored Low]]</f>
        <v>0</v>
      </c>
      <c r="AS645" s="50">
        <f>IF(Table1[[#This Row],[Control Panel Spun Time]]&gt;0,1,0)</f>
        <v>0</v>
      </c>
      <c r="AT645" s="20">
        <f>IF(Table1[[#This Row],[Control Panel Color Time]]&gt;0,1,0)</f>
        <v>0</v>
      </c>
    </row>
    <row r="646" spans="1:46" x14ac:dyDescent="0.25">
      <c r="A646"/>
      <c r="I646" s="8">
        <f>+Table1[[#This Row],[Auton ball picked up in our trench]]+Table1[[#This Row],[Auton Balls Picked Up in Mid]]+Table1[[#This Row],[Auton Balls Picked Up In Their Trench]]</f>
        <v>0</v>
      </c>
      <c r="J646" s="8">
        <f>+Table1[[#This Row],[Auton Scored High]]+Table1[[#This Row],[Auton Scored Low]]</f>
        <v>0</v>
      </c>
      <c r="K64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46" s="8">
        <f>Table1[[#This Row],[Balls Scored From Trench]]+Table1[[#This Row],[Balls Scored from Mid]]+Table1[[#This Row],[Balls Scored From Alliance zone]]</f>
        <v>0</v>
      </c>
      <c r="W646" s="8">
        <f>Table1[[#This Row],[balls scored high]]+Table1[[#This Row],[balls scored low]]</f>
        <v>0</v>
      </c>
      <c r="X646" s="8">
        <f>Table1[[#This Row],[Control Panel Spun Time]]+Table1[[#This Row],[Control Panel Color Time]]</f>
        <v>0</v>
      </c>
      <c r="Y646" s="8">
        <f>Table1[[#This Row],[Control Panels Spun]]+Table1[[#This Row],[Control Panel Color]]</f>
        <v>0</v>
      </c>
      <c r="Z64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46" s="17">
        <f>(Table1[[#This Row],[Climbed]]*weighting!$B$18)+(Table1[[#This Row],[Adjustable Climber]]*weighting!$B$19)+(Table1[[#This Row],[Lift other Robot]]*weighting!$B$20)+(Table1[[#This Row],[Balanced]]*weighting!$B$21)</f>
        <v>0</v>
      </c>
      <c r="AL646" s="8">
        <f>+Table1[[#This Row],[Endgame our score]]+Table1[[#This Row],[teleop our score]]+Table1[[#This Row],[auton our score]]</f>
        <v>0</v>
      </c>
      <c r="AM646" s="20">
        <f t="shared" si="30"/>
        <v>0</v>
      </c>
      <c r="AN646" s="20">
        <f t="shared" si="31"/>
        <v>0</v>
      </c>
      <c r="AO646" s="20">
        <f t="shared" si="32"/>
        <v>0</v>
      </c>
      <c r="AP646" s="20">
        <f>Table1[[#This Row],[balls scored]]+Table1[[#This Row],[auton balls scored]]</f>
        <v>0</v>
      </c>
      <c r="AQ646" s="20">
        <f>Table1[[#This Row],[balls scored high]]+Table1[[#This Row],[Auton Scored High]]</f>
        <v>0</v>
      </c>
      <c r="AR646" s="20">
        <f>Table1[[#This Row],[balls scored low]]+Table1[[#This Row],[Auton Scored Low]]</f>
        <v>0</v>
      </c>
      <c r="AS646" s="50">
        <f>IF(Table1[[#This Row],[Control Panel Spun Time]]&gt;0,1,0)</f>
        <v>0</v>
      </c>
      <c r="AT646" s="20">
        <f>IF(Table1[[#This Row],[Control Panel Color Time]]&gt;0,1,0)</f>
        <v>0</v>
      </c>
    </row>
    <row r="647" spans="1:46" s="2" customFormat="1" x14ac:dyDescent="0.25">
      <c r="A647"/>
      <c r="B647"/>
      <c r="C647"/>
      <c r="D647"/>
      <c r="E647"/>
      <c r="F647"/>
      <c r="G647"/>
      <c r="H647"/>
      <c r="I647" s="8">
        <f>+Table1[[#This Row],[Auton ball picked up in our trench]]+Table1[[#This Row],[Auton Balls Picked Up in Mid]]+Table1[[#This Row],[Auton Balls Picked Up In Their Trench]]</f>
        <v>0</v>
      </c>
      <c r="J647" s="8">
        <f>+Table1[[#This Row],[Auton Scored High]]+Table1[[#This Row],[Auton Scored Low]]</f>
        <v>0</v>
      </c>
      <c r="K64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47"/>
      <c r="M647"/>
      <c r="N647"/>
      <c r="O647"/>
      <c r="P647"/>
      <c r="Q647"/>
      <c r="R647"/>
      <c r="S647"/>
      <c r="T647"/>
      <c r="U647"/>
      <c r="V647" s="8">
        <f>Table1[[#This Row],[Balls Scored From Trench]]+Table1[[#This Row],[Balls Scored from Mid]]+Table1[[#This Row],[Balls Scored From Alliance zone]]</f>
        <v>0</v>
      </c>
      <c r="W647" s="8">
        <f>Table1[[#This Row],[balls scored high]]+Table1[[#This Row],[balls scored low]]</f>
        <v>0</v>
      </c>
      <c r="X647" s="8">
        <f>Table1[[#This Row],[Control Panel Spun Time]]+Table1[[#This Row],[Control Panel Color Time]]</f>
        <v>0</v>
      </c>
      <c r="Y647" s="8">
        <f>Table1[[#This Row],[Control Panels Spun]]+Table1[[#This Row],[Control Panel Color]]</f>
        <v>0</v>
      </c>
      <c r="Z64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47"/>
      <c r="AB647"/>
      <c r="AC647"/>
      <c r="AD647"/>
      <c r="AE647"/>
      <c r="AF647"/>
      <c r="AG647"/>
      <c r="AH647"/>
      <c r="AI647"/>
      <c r="AJ647"/>
      <c r="AK647" s="17">
        <f>(Table1[[#This Row],[Climbed]]*weighting!$B$18)+(Table1[[#This Row],[Adjustable Climber]]*weighting!$B$19)+(Table1[[#This Row],[Lift other Robot]]*weighting!$B$20)+(Table1[[#This Row],[Balanced]]*weighting!$B$21)</f>
        <v>0</v>
      </c>
      <c r="AL647" s="8">
        <f>+Table1[[#This Row],[Endgame our score]]+Table1[[#This Row],[teleop our score]]+Table1[[#This Row],[auton our score]]</f>
        <v>0</v>
      </c>
      <c r="AM647" s="20">
        <f t="shared" si="30"/>
        <v>0</v>
      </c>
      <c r="AN647" s="20">
        <f t="shared" si="31"/>
        <v>0</v>
      </c>
      <c r="AO647" s="20">
        <f t="shared" si="32"/>
        <v>0</v>
      </c>
      <c r="AP647" s="20">
        <f>Table1[[#This Row],[balls scored]]+Table1[[#This Row],[auton balls scored]]</f>
        <v>0</v>
      </c>
      <c r="AQ647" s="20">
        <f>Table1[[#This Row],[balls scored high]]+Table1[[#This Row],[Auton Scored High]]</f>
        <v>0</v>
      </c>
      <c r="AR647" s="20">
        <f>Table1[[#This Row],[balls scored low]]+Table1[[#This Row],[Auton Scored Low]]</f>
        <v>0</v>
      </c>
      <c r="AS647" s="50">
        <f>IF(Table1[[#This Row],[Control Panel Spun Time]]&gt;0,1,0)</f>
        <v>0</v>
      </c>
      <c r="AT647" s="20">
        <f>IF(Table1[[#This Row],[Control Panel Color Time]]&gt;0,1,0)</f>
        <v>0</v>
      </c>
    </row>
    <row r="648" spans="1:46" x14ac:dyDescent="0.25">
      <c r="A648"/>
      <c r="I648" s="8">
        <f>+Table1[[#This Row],[Auton ball picked up in our trench]]+Table1[[#This Row],[Auton Balls Picked Up in Mid]]+Table1[[#This Row],[Auton Balls Picked Up In Their Trench]]</f>
        <v>0</v>
      </c>
      <c r="J648" s="8">
        <f>+Table1[[#This Row],[Auton Scored High]]+Table1[[#This Row],[Auton Scored Low]]</f>
        <v>0</v>
      </c>
      <c r="K64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48" s="8">
        <f>Table1[[#This Row],[Balls Scored From Trench]]+Table1[[#This Row],[Balls Scored from Mid]]+Table1[[#This Row],[Balls Scored From Alliance zone]]</f>
        <v>0</v>
      </c>
      <c r="W648" s="8">
        <f>Table1[[#This Row],[balls scored high]]+Table1[[#This Row],[balls scored low]]</f>
        <v>0</v>
      </c>
      <c r="X648" s="8">
        <f>Table1[[#This Row],[Control Panel Spun Time]]+Table1[[#This Row],[Control Panel Color Time]]</f>
        <v>0</v>
      </c>
      <c r="Y648" s="8">
        <f>Table1[[#This Row],[Control Panels Spun]]+Table1[[#This Row],[Control Panel Color]]</f>
        <v>0</v>
      </c>
      <c r="Z64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48" s="17">
        <f>(Table1[[#This Row],[Climbed]]*weighting!$B$18)+(Table1[[#This Row],[Adjustable Climber]]*weighting!$B$19)+(Table1[[#This Row],[Lift other Robot]]*weighting!$B$20)+(Table1[[#This Row],[Balanced]]*weighting!$B$21)</f>
        <v>0</v>
      </c>
      <c r="AL648" s="8">
        <f>+Table1[[#This Row],[Endgame our score]]+Table1[[#This Row],[teleop our score]]+Table1[[#This Row],[auton our score]]</f>
        <v>0</v>
      </c>
      <c r="AM648" s="20">
        <f t="shared" si="30"/>
        <v>0</v>
      </c>
      <c r="AN648" s="20">
        <f t="shared" si="31"/>
        <v>0</v>
      </c>
      <c r="AO648" s="20">
        <f t="shared" si="32"/>
        <v>0</v>
      </c>
      <c r="AP648" s="20">
        <f>Table1[[#This Row],[balls scored]]+Table1[[#This Row],[auton balls scored]]</f>
        <v>0</v>
      </c>
      <c r="AQ648" s="20">
        <f>Table1[[#This Row],[balls scored high]]+Table1[[#This Row],[Auton Scored High]]</f>
        <v>0</v>
      </c>
      <c r="AR648" s="20">
        <f>Table1[[#This Row],[balls scored low]]+Table1[[#This Row],[Auton Scored Low]]</f>
        <v>0</v>
      </c>
      <c r="AS648" s="50">
        <f>IF(Table1[[#This Row],[Control Panel Spun Time]]&gt;0,1,0)</f>
        <v>0</v>
      </c>
      <c r="AT648" s="20">
        <f>IF(Table1[[#This Row],[Control Panel Color Time]]&gt;0,1,0)</f>
        <v>0</v>
      </c>
    </row>
    <row r="649" spans="1:46" s="2" customFormat="1" x14ac:dyDescent="0.25">
      <c r="A649"/>
      <c r="B649"/>
      <c r="C649"/>
      <c r="D649"/>
      <c r="E649"/>
      <c r="F649"/>
      <c r="G649"/>
      <c r="H649"/>
      <c r="I649" s="8">
        <f>+Table1[[#This Row],[Auton ball picked up in our trench]]+Table1[[#This Row],[Auton Balls Picked Up in Mid]]+Table1[[#This Row],[Auton Balls Picked Up In Their Trench]]</f>
        <v>0</v>
      </c>
      <c r="J649" s="8">
        <f>+Table1[[#This Row],[Auton Scored High]]+Table1[[#This Row],[Auton Scored Low]]</f>
        <v>0</v>
      </c>
      <c r="K64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49"/>
      <c r="M649"/>
      <c r="N649"/>
      <c r="O649"/>
      <c r="P649"/>
      <c r="Q649"/>
      <c r="R649"/>
      <c r="S649"/>
      <c r="T649"/>
      <c r="U649"/>
      <c r="V649" s="8">
        <f>Table1[[#This Row],[Balls Scored From Trench]]+Table1[[#This Row],[Balls Scored from Mid]]+Table1[[#This Row],[Balls Scored From Alliance zone]]</f>
        <v>0</v>
      </c>
      <c r="W649" s="8">
        <f>Table1[[#This Row],[balls scored high]]+Table1[[#This Row],[balls scored low]]</f>
        <v>0</v>
      </c>
      <c r="X649" s="8">
        <f>Table1[[#This Row],[Control Panel Spun Time]]+Table1[[#This Row],[Control Panel Color Time]]</f>
        <v>0</v>
      </c>
      <c r="Y649" s="8">
        <f>Table1[[#This Row],[Control Panels Spun]]+Table1[[#This Row],[Control Panel Color]]</f>
        <v>0</v>
      </c>
      <c r="Z64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49"/>
      <c r="AB649"/>
      <c r="AC649"/>
      <c r="AD649"/>
      <c r="AE649"/>
      <c r="AF649"/>
      <c r="AG649"/>
      <c r="AH649"/>
      <c r="AI649"/>
      <c r="AJ649"/>
      <c r="AK649" s="17">
        <f>(Table1[[#This Row],[Climbed]]*weighting!$B$18)+(Table1[[#This Row],[Adjustable Climber]]*weighting!$B$19)+(Table1[[#This Row],[Lift other Robot]]*weighting!$B$20)+(Table1[[#This Row],[Balanced]]*weighting!$B$21)</f>
        <v>0</v>
      </c>
      <c r="AL649" s="8">
        <f>+Table1[[#This Row],[Endgame our score]]+Table1[[#This Row],[teleop our score]]+Table1[[#This Row],[auton our score]]</f>
        <v>0</v>
      </c>
      <c r="AM649" s="20">
        <f t="shared" si="30"/>
        <v>0</v>
      </c>
      <c r="AN649" s="20">
        <f t="shared" si="31"/>
        <v>0</v>
      </c>
      <c r="AO649" s="20">
        <f t="shared" si="32"/>
        <v>0</v>
      </c>
      <c r="AP649" s="20">
        <f>Table1[[#This Row],[balls scored]]+Table1[[#This Row],[auton balls scored]]</f>
        <v>0</v>
      </c>
      <c r="AQ649" s="20">
        <f>Table1[[#This Row],[balls scored high]]+Table1[[#This Row],[Auton Scored High]]</f>
        <v>0</v>
      </c>
      <c r="AR649" s="20">
        <f>Table1[[#This Row],[balls scored low]]+Table1[[#This Row],[Auton Scored Low]]</f>
        <v>0</v>
      </c>
      <c r="AS649" s="50">
        <f>IF(Table1[[#This Row],[Control Panel Spun Time]]&gt;0,1,0)</f>
        <v>0</v>
      </c>
      <c r="AT649" s="20">
        <f>IF(Table1[[#This Row],[Control Panel Color Time]]&gt;0,1,0)</f>
        <v>0</v>
      </c>
    </row>
    <row r="650" spans="1:46" x14ac:dyDescent="0.25">
      <c r="A650"/>
      <c r="I650" s="8">
        <f>+Table1[[#This Row],[Auton ball picked up in our trench]]+Table1[[#This Row],[Auton Balls Picked Up in Mid]]+Table1[[#This Row],[Auton Balls Picked Up In Their Trench]]</f>
        <v>0</v>
      </c>
      <c r="J650" s="8">
        <f>+Table1[[#This Row],[Auton Scored High]]+Table1[[#This Row],[Auton Scored Low]]</f>
        <v>0</v>
      </c>
      <c r="K65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50" s="8">
        <f>Table1[[#This Row],[Balls Scored From Trench]]+Table1[[#This Row],[Balls Scored from Mid]]+Table1[[#This Row],[Balls Scored From Alliance zone]]</f>
        <v>0</v>
      </c>
      <c r="W650" s="8">
        <f>Table1[[#This Row],[balls scored high]]+Table1[[#This Row],[balls scored low]]</f>
        <v>0</v>
      </c>
      <c r="X650" s="8">
        <f>Table1[[#This Row],[Control Panel Spun Time]]+Table1[[#This Row],[Control Panel Color Time]]</f>
        <v>0</v>
      </c>
      <c r="Y650" s="8">
        <f>Table1[[#This Row],[Control Panels Spun]]+Table1[[#This Row],[Control Panel Color]]</f>
        <v>0</v>
      </c>
      <c r="Z65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50" s="17">
        <f>(Table1[[#This Row],[Climbed]]*weighting!$B$18)+(Table1[[#This Row],[Adjustable Climber]]*weighting!$B$19)+(Table1[[#This Row],[Lift other Robot]]*weighting!$B$20)+(Table1[[#This Row],[Balanced]]*weighting!$B$21)</f>
        <v>0</v>
      </c>
      <c r="AL650" s="8">
        <f>+Table1[[#This Row],[Endgame our score]]+Table1[[#This Row],[teleop our score]]+Table1[[#This Row],[auton our score]]</f>
        <v>0</v>
      </c>
      <c r="AM650" s="20">
        <f t="shared" si="30"/>
        <v>0</v>
      </c>
      <c r="AN650" s="20">
        <f t="shared" si="31"/>
        <v>0</v>
      </c>
      <c r="AO650" s="20">
        <f t="shared" si="32"/>
        <v>0</v>
      </c>
      <c r="AP650" s="20">
        <f>Table1[[#This Row],[balls scored]]+Table1[[#This Row],[auton balls scored]]</f>
        <v>0</v>
      </c>
      <c r="AQ650" s="20">
        <f>Table1[[#This Row],[balls scored high]]+Table1[[#This Row],[Auton Scored High]]</f>
        <v>0</v>
      </c>
      <c r="AR650" s="20">
        <f>Table1[[#This Row],[balls scored low]]+Table1[[#This Row],[Auton Scored Low]]</f>
        <v>0</v>
      </c>
      <c r="AS650" s="50">
        <f>IF(Table1[[#This Row],[Control Panel Spun Time]]&gt;0,1,0)</f>
        <v>0</v>
      </c>
      <c r="AT650" s="20">
        <f>IF(Table1[[#This Row],[Control Panel Color Time]]&gt;0,1,0)</f>
        <v>0</v>
      </c>
    </row>
    <row r="651" spans="1:46" s="2" customFormat="1" x14ac:dyDescent="0.25">
      <c r="A651"/>
      <c r="B651"/>
      <c r="C651"/>
      <c r="D651"/>
      <c r="E651"/>
      <c r="F651"/>
      <c r="G651"/>
      <c r="H651"/>
      <c r="I651" s="8">
        <f>+Table1[[#This Row],[Auton ball picked up in our trench]]+Table1[[#This Row],[Auton Balls Picked Up in Mid]]+Table1[[#This Row],[Auton Balls Picked Up In Their Trench]]</f>
        <v>0</v>
      </c>
      <c r="J651" s="8">
        <f>+Table1[[#This Row],[Auton Scored High]]+Table1[[#This Row],[Auton Scored Low]]</f>
        <v>0</v>
      </c>
      <c r="K65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51"/>
      <c r="M651"/>
      <c r="N651"/>
      <c r="O651"/>
      <c r="P651"/>
      <c r="Q651"/>
      <c r="R651"/>
      <c r="S651"/>
      <c r="T651"/>
      <c r="U651"/>
      <c r="V651" s="8">
        <f>Table1[[#This Row],[Balls Scored From Trench]]+Table1[[#This Row],[Balls Scored from Mid]]+Table1[[#This Row],[Balls Scored From Alliance zone]]</f>
        <v>0</v>
      </c>
      <c r="W651" s="8">
        <f>Table1[[#This Row],[balls scored high]]+Table1[[#This Row],[balls scored low]]</f>
        <v>0</v>
      </c>
      <c r="X651" s="8">
        <f>Table1[[#This Row],[Control Panel Spun Time]]+Table1[[#This Row],[Control Panel Color Time]]</f>
        <v>0</v>
      </c>
      <c r="Y651" s="8">
        <f>Table1[[#This Row],[Control Panels Spun]]+Table1[[#This Row],[Control Panel Color]]</f>
        <v>0</v>
      </c>
      <c r="Z65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51"/>
      <c r="AB651"/>
      <c r="AC651"/>
      <c r="AD651"/>
      <c r="AE651"/>
      <c r="AF651"/>
      <c r="AG651"/>
      <c r="AH651"/>
      <c r="AI651"/>
      <c r="AJ651"/>
      <c r="AK651" s="17">
        <f>(Table1[[#This Row],[Climbed]]*weighting!$B$18)+(Table1[[#This Row],[Adjustable Climber]]*weighting!$B$19)+(Table1[[#This Row],[Lift other Robot]]*weighting!$B$20)+(Table1[[#This Row],[Balanced]]*weighting!$B$21)</f>
        <v>0</v>
      </c>
      <c r="AL651" s="8">
        <f>+Table1[[#This Row],[Endgame our score]]+Table1[[#This Row],[teleop our score]]+Table1[[#This Row],[auton our score]]</f>
        <v>0</v>
      </c>
      <c r="AM651" s="20">
        <f t="shared" si="30"/>
        <v>0</v>
      </c>
      <c r="AN651" s="20">
        <f t="shared" si="31"/>
        <v>0</v>
      </c>
      <c r="AO651" s="20">
        <f t="shared" si="32"/>
        <v>0</v>
      </c>
      <c r="AP651" s="20">
        <f>Table1[[#This Row],[balls scored]]+Table1[[#This Row],[auton balls scored]]</f>
        <v>0</v>
      </c>
      <c r="AQ651" s="20">
        <f>Table1[[#This Row],[balls scored high]]+Table1[[#This Row],[Auton Scored High]]</f>
        <v>0</v>
      </c>
      <c r="AR651" s="20">
        <f>Table1[[#This Row],[balls scored low]]+Table1[[#This Row],[Auton Scored Low]]</f>
        <v>0</v>
      </c>
      <c r="AS651" s="50">
        <f>IF(Table1[[#This Row],[Control Panel Spun Time]]&gt;0,1,0)</f>
        <v>0</v>
      </c>
      <c r="AT651" s="20">
        <f>IF(Table1[[#This Row],[Control Panel Color Time]]&gt;0,1,0)</f>
        <v>0</v>
      </c>
    </row>
    <row r="652" spans="1:46" x14ac:dyDescent="0.25">
      <c r="A652"/>
      <c r="I652" s="8">
        <f>+Table1[[#This Row],[Auton ball picked up in our trench]]+Table1[[#This Row],[Auton Balls Picked Up in Mid]]+Table1[[#This Row],[Auton Balls Picked Up In Their Trench]]</f>
        <v>0</v>
      </c>
      <c r="J652" s="8">
        <f>+Table1[[#This Row],[Auton Scored High]]+Table1[[#This Row],[Auton Scored Low]]</f>
        <v>0</v>
      </c>
      <c r="K65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52" s="8">
        <f>Table1[[#This Row],[Balls Scored From Trench]]+Table1[[#This Row],[Balls Scored from Mid]]+Table1[[#This Row],[Balls Scored From Alliance zone]]</f>
        <v>0</v>
      </c>
      <c r="W652" s="8">
        <f>Table1[[#This Row],[balls scored high]]+Table1[[#This Row],[balls scored low]]</f>
        <v>0</v>
      </c>
      <c r="X652" s="8">
        <f>Table1[[#This Row],[Control Panel Spun Time]]+Table1[[#This Row],[Control Panel Color Time]]</f>
        <v>0</v>
      </c>
      <c r="Y652" s="8">
        <f>Table1[[#This Row],[Control Panels Spun]]+Table1[[#This Row],[Control Panel Color]]</f>
        <v>0</v>
      </c>
      <c r="Z65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52" s="17">
        <f>(Table1[[#This Row],[Climbed]]*weighting!$B$18)+(Table1[[#This Row],[Adjustable Climber]]*weighting!$B$19)+(Table1[[#This Row],[Lift other Robot]]*weighting!$B$20)+(Table1[[#This Row],[Balanced]]*weighting!$B$21)</f>
        <v>0</v>
      </c>
      <c r="AL652" s="8">
        <f>+Table1[[#This Row],[Endgame our score]]+Table1[[#This Row],[teleop our score]]+Table1[[#This Row],[auton our score]]</f>
        <v>0</v>
      </c>
      <c r="AM652" s="20">
        <f t="shared" si="30"/>
        <v>0</v>
      </c>
      <c r="AN652" s="20">
        <f t="shared" si="31"/>
        <v>0</v>
      </c>
      <c r="AO652" s="20">
        <f t="shared" si="32"/>
        <v>0</v>
      </c>
      <c r="AP652" s="20">
        <f>Table1[[#This Row],[balls scored]]+Table1[[#This Row],[auton balls scored]]</f>
        <v>0</v>
      </c>
      <c r="AQ652" s="20">
        <f>Table1[[#This Row],[balls scored high]]+Table1[[#This Row],[Auton Scored High]]</f>
        <v>0</v>
      </c>
      <c r="AR652" s="20">
        <f>Table1[[#This Row],[balls scored low]]+Table1[[#This Row],[Auton Scored Low]]</f>
        <v>0</v>
      </c>
      <c r="AS652" s="50">
        <f>IF(Table1[[#This Row],[Control Panel Spun Time]]&gt;0,1,0)</f>
        <v>0</v>
      </c>
      <c r="AT652" s="20">
        <f>IF(Table1[[#This Row],[Control Panel Color Time]]&gt;0,1,0)</f>
        <v>0</v>
      </c>
    </row>
    <row r="653" spans="1:46" s="2" customFormat="1" x14ac:dyDescent="0.25">
      <c r="A653"/>
      <c r="B653"/>
      <c r="C653"/>
      <c r="D653"/>
      <c r="E653"/>
      <c r="F653"/>
      <c r="G653"/>
      <c r="H653"/>
      <c r="I653" s="8">
        <f>+Table1[[#This Row],[Auton ball picked up in our trench]]+Table1[[#This Row],[Auton Balls Picked Up in Mid]]+Table1[[#This Row],[Auton Balls Picked Up In Their Trench]]</f>
        <v>0</v>
      </c>
      <c r="J653" s="8">
        <f>+Table1[[#This Row],[Auton Scored High]]+Table1[[#This Row],[Auton Scored Low]]</f>
        <v>0</v>
      </c>
      <c r="K65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53"/>
      <c r="M653"/>
      <c r="N653"/>
      <c r="O653"/>
      <c r="P653"/>
      <c r="Q653"/>
      <c r="R653"/>
      <c r="S653"/>
      <c r="T653"/>
      <c r="U653"/>
      <c r="V653" s="8">
        <f>Table1[[#This Row],[Balls Scored From Trench]]+Table1[[#This Row],[Balls Scored from Mid]]+Table1[[#This Row],[Balls Scored From Alliance zone]]</f>
        <v>0</v>
      </c>
      <c r="W653" s="8">
        <f>Table1[[#This Row],[balls scored high]]+Table1[[#This Row],[balls scored low]]</f>
        <v>0</v>
      </c>
      <c r="X653" s="8">
        <f>Table1[[#This Row],[Control Panel Spun Time]]+Table1[[#This Row],[Control Panel Color Time]]</f>
        <v>0</v>
      </c>
      <c r="Y653" s="8">
        <f>Table1[[#This Row],[Control Panels Spun]]+Table1[[#This Row],[Control Panel Color]]</f>
        <v>0</v>
      </c>
      <c r="Z65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53"/>
      <c r="AB653"/>
      <c r="AC653"/>
      <c r="AD653"/>
      <c r="AE653"/>
      <c r="AF653"/>
      <c r="AG653"/>
      <c r="AH653"/>
      <c r="AI653"/>
      <c r="AJ653"/>
      <c r="AK653" s="17">
        <f>(Table1[[#This Row],[Climbed]]*weighting!$B$18)+(Table1[[#This Row],[Adjustable Climber]]*weighting!$B$19)+(Table1[[#This Row],[Lift other Robot]]*weighting!$B$20)+(Table1[[#This Row],[Balanced]]*weighting!$B$21)</f>
        <v>0</v>
      </c>
      <c r="AL653" s="8">
        <f>+Table1[[#This Row],[Endgame our score]]+Table1[[#This Row],[teleop our score]]+Table1[[#This Row],[auton our score]]</f>
        <v>0</v>
      </c>
      <c r="AM653" s="20">
        <f t="shared" si="30"/>
        <v>0</v>
      </c>
      <c r="AN653" s="20">
        <f t="shared" si="31"/>
        <v>0</v>
      </c>
      <c r="AO653" s="20">
        <f t="shared" si="32"/>
        <v>0</v>
      </c>
      <c r="AP653" s="20">
        <f>Table1[[#This Row],[balls scored]]+Table1[[#This Row],[auton balls scored]]</f>
        <v>0</v>
      </c>
      <c r="AQ653" s="20">
        <f>Table1[[#This Row],[balls scored high]]+Table1[[#This Row],[Auton Scored High]]</f>
        <v>0</v>
      </c>
      <c r="AR653" s="20">
        <f>Table1[[#This Row],[balls scored low]]+Table1[[#This Row],[Auton Scored Low]]</f>
        <v>0</v>
      </c>
      <c r="AS653" s="50">
        <f>IF(Table1[[#This Row],[Control Panel Spun Time]]&gt;0,1,0)</f>
        <v>0</v>
      </c>
      <c r="AT653" s="20">
        <f>IF(Table1[[#This Row],[Control Panel Color Time]]&gt;0,1,0)</f>
        <v>0</v>
      </c>
    </row>
    <row r="654" spans="1:46" x14ac:dyDescent="0.25">
      <c r="A654"/>
      <c r="I654" s="8">
        <f>+Table1[[#This Row],[Auton ball picked up in our trench]]+Table1[[#This Row],[Auton Balls Picked Up in Mid]]+Table1[[#This Row],[Auton Balls Picked Up In Their Trench]]</f>
        <v>0</v>
      </c>
      <c r="J654" s="8">
        <f>+Table1[[#This Row],[Auton Scored High]]+Table1[[#This Row],[Auton Scored Low]]</f>
        <v>0</v>
      </c>
      <c r="K65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54" s="8">
        <f>Table1[[#This Row],[Balls Scored From Trench]]+Table1[[#This Row],[Balls Scored from Mid]]+Table1[[#This Row],[Balls Scored From Alliance zone]]</f>
        <v>0</v>
      </c>
      <c r="W654" s="8">
        <f>Table1[[#This Row],[balls scored high]]+Table1[[#This Row],[balls scored low]]</f>
        <v>0</v>
      </c>
      <c r="X654" s="8">
        <f>Table1[[#This Row],[Control Panel Spun Time]]+Table1[[#This Row],[Control Panel Color Time]]</f>
        <v>0</v>
      </c>
      <c r="Y654" s="8">
        <f>Table1[[#This Row],[Control Panels Spun]]+Table1[[#This Row],[Control Panel Color]]</f>
        <v>0</v>
      </c>
      <c r="Z65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54" s="17">
        <f>(Table1[[#This Row],[Climbed]]*weighting!$B$18)+(Table1[[#This Row],[Adjustable Climber]]*weighting!$B$19)+(Table1[[#This Row],[Lift other Robot]]*weighting!$B$20)+(Table1[[#This Row],[Balanced]]*weighting!$B$21)</f>
        <v>0</v>
      </c>
      <c r="AL654" s="8">
        <f>+Table1[[#This Row],[Endgame our score]]+Table1[[#This Row],[teleop our score]]+Table1[[#This Row],[auton our score]]</f>
        <v>0</v>
      </c>
      <c r="AM654" s="20">
        <f t="shared" si="30"/>
        <v>0</v>
      </c>
      <c r="AN654" s="20">
        <f t="shared" si="31"/>
        <v>0</v>
      </c>
      <c r="AO654" s="20">
        <f t="shared" si="32"/>
        <v>0</v>
      </c>
      <c r="AP654" s="20">
        <f>Table1[[#This Row],[balls scored]]+Table1[[#This Row],[auton balls scored]]</f>
        <v>0</v>
      </c>
      <c r="AQ654" s="20">
        <f>Table1[[#This Row],[balls scored high]]+Table1[[#This Row],[Auton Scored High]]</f>
        <v>0</v>
      </c>
      <c r="AR654" s="20">
        <f>Table1[[#This Row],[balls scored low]]+Table1[[#This Row],[Auton Scored Low]]</f>
        <v>0</v>
      </c>
      <c r="AS654" s="50">
        <f>IF(Table1[[#This Row],[Control Panel Spun Time]]&gt;0,1,0)</f>
        <v>0</v>
      </c>
      <c r="AT654" s="20">
        <f>IF(Table1[[#This Row],[Control Panel Color Time]]&gt;0,1,0)</f>
        <v>0</v>
      </c>
    </row>
    <row r="655" spans="1:46" s="2" customFormat="1" x14ac:dyDescent="0.25">
      <c r="A655"/>
      <c r="B655"/>
      <c r="C655"/>
      <c r="D655"/>
      <c r="E655"/>
      <c r="F655"/>
      <c r="G655"/>
      <c r="H655"/>
      <c r="I655" s="8">
        <f>+Table1[[#This Row],[Auton ball picked up in our trench]]+Table1[[#This Row],[Auton Balls Picked Up in Mid]]+Table1[[#This Row],[Auton Balls Picked Up In Their Trench]]</f>
        <v>0</v>
      </c>
      <c r="J655" s="8">
        <f>+Table1[[#This Row],[Auton Scored High]]+Table1[[#This Row],[Auton Scored Low]]</f>
        <v>0</v>
      </c>
      <c r="K65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55"/>
      <c r="M655"/>
      <c r="N655"/>
      <c r="O655"/>
      <c r="P655"/>
      <c r="Q655"/>
      <c r="R655"/>
      <c r="S655"/>
      <c r="T655"/>
      <c r="U655"/>
      <c r="V655" s="8">
        <f>Table1[[#This Row],[Balls Scored From Trench]]+Table1[[#This Row],[Balls Scored from Mid]]+Table1[[#This Row],[Balls Scored From Alliance zone]]</f>
        <v>0</v>
      </c>
      <c r="W655" s="8">
        <f>Table1[[#This Row],[balls scored high]]+Table1[[#This Row],[balls scored low]]</f>
        <v>0</v>
      </c>
      <c r="X655" s="8">
        <f>Table1[[#This Row],[Control Panel Spun Time]]+Table1[[#This Row],[Control Panel Color Time]]</f>
        <v>0</v>
      </c>
      <c r="Y655" s="8">
        <f>Table1[[#This Row],[Control Panels Spun]]+Table1[[#This Row],[Control Panel Color]]</f>
        <v>0</v>
      </c>
      <c r="Z65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55"/>
      <c r="AB655"/>
      <c r="AC655"/>
      <c r="AD655"/>
      <c r="AE655"/>
      <c r="AF655"/>
      <c r="AG655"/>
      <c r="AH655"/>
      <c r="AI655"/>
      <c r="AJ655"/>
      <c r="AK655" s="17">
        <f>(Table1[[#This Row],[Climbed]]*weighting!$B$18)+(Table1[[#This Row],[Adjustable Climber]]*weighting!$B$19)+(Table1[[#This Row],[Lift other Robot]]*weighting!$B$20)+(Table1[[#This Row],[Balanced]]*weighting!$B$21)</f>
        <v>0</v>
      </c>
      <c r="AL655" s="8">
        <f>+Table1[[#This Row],[Endgame our score]]+Table1[[#This Row],[teleop our score]]+Table1[[#This Row],[auton our score]]</f>
        <v>0</v>
      </c>
      <c r="AM655" s="20">
        <f t="shared" si="30"/>
        <v>0</v>
      </c>
      <c r="AN655" s="20">
        <f t="shared" si="31"/>
        <v>0</v>
      </c>
      <c r="AO655" s="20">
        <f t="shared" si="32"/>
        <v>0</v>
      </c>
      <c r="AP655" s="20">
        <f>Table1[[#This Row],[balls scored]]+Table1[[#This Row],[auton balls scored]]</f>
        <v>0</v>
      </c>
      <c r="AQ655" s="20">
        <f>Table1[[#This Row],[balls scored high]]+Table1[[#This Row],[Auton Scored High]]</f>
        <v>0</v>
      </c>
      <c r="AR655" s="20">
        <f>Table1[[#This Row],[balls scored low]]+Table1[[#This Row],[Auton Scored Low]]</f>
        <v>0</v>
      </c>
      <c r="AS655" s="50">
        <f>IF(Table1[[#This Row],[Control Panel Spun Time]]&gt;0,1,0)</f>
        <v>0</v>
      </c>
      <c r="AT655" s="20">
        <f>IF(Table1[[#This Row],[Control Panel Color Time]]&gt;0,1,0)</f>
        <v>0</v>
      </c>
    </row>
    <row r="656" spans="1:46" x14ac:dyDescent="0.25">
      <c r="A656"/>
      <c r="I656" s="8">
        <f>+Table1[[#This Row],[Auton ball picked up in our trench]]+Table1[[#This Row],[Auton Balls Picked Up in Mid]]+Table1[[#This Row],[Auton Balls Picked Up In Their Trench]]</f>
        <v>0</v>
      </c>
      <c r="J656" s="8">
        <f>+Table1[[#This Row],[Auton Scored High]]+Table1[[#This Row],[Auton Scored Low]]</f>
        <v>0</v>
      </c>
      <c r="K65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56" s="8">
        <f>Table1[[#This Row],[Balls Scored From Trench]]+Table1[[#This Row],[Balls Scored from Mid]]+Table1[[#This Row],[Balls Scored From Alliance zone]]</f>
        <v>0</v>
      </c>
      <c r="W656" s="8">
        <f>Table1[[#This Row],[balls scored high]]+Table1[[#This Row],[balls scored low]]</f>
        <v>0</v>
      </c>
      <c r="X656" s="8">
        <f>Table1[[#This Row],[Control Panel Spun Time]]+Table1[[#This Row],[Control Panel Color Time]]</f>
        <v>0</v>
      </c>
      <c r="Y656" s="8">
        <f>Table1[[#This Row],[Control Panels Spun]]+Table1[[#This Row],[Control Panel Color]]</f>
        <v>0</v>
      </c>
      <c r="Z65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56" s="17">
        <f>(Table1[[#This Row],[Climbed]]*weighting!$B$18)+(Table1[[#This Row],[Adjustable Climber]]*weighting!$B$19)+(Table1[[#This Row],[Lift other Robot]]*weighting!$B$20)+(Table1[[#This Row],[Balanced]]*weighting!$B$21)</f>
        <v>0</v>
      </c>
      <c r="AL656" s="8">
        <f>+Table1[[#This Row],[Endgame our score]]+Table1[[#This Row],[teleop our score]]+Table1[[#This Row],[auton our score]]</f>
        <v>0</v>
      </c>
      <c r="AM656" s="20">
        <f t="shared" si="30"/>
        <v>0</v>
      </c>
      <c r="AN656" s="20">
        <f t="shared" si="31"/>
        <v>0</v>
      </c>
      <c r="AO656" s="20">
        <f t="shared" si="32"/>
        <v>0</v>
      </c>
      <c r="AP656" s="20">
        <f>Table1[[#This Row],[balls scored]]+Table1[[#This Row],[auton balls scored]]</f>
        <v>0</v>
      </c>
      <c r="AQ656" s="20">
        <f>Table1[[#This Row],[balls scored high]]+Table1[[#This Row],[Auton Scored High]]</f>
        <v>0</v>
      </c>
      <c r="AR656" s="20">
        <f>Table1[[#This Row],[balls scored low]]+Table1[[#This Row],[Auton Scored Low]]</f>
        <v>0</v>
      </c>
      <c r="AS656" s="50">
        <f>IF(Table1[[#This Row],[Control Panel Spun Time]]&gt;0,1,0)</f>
        <v>0</v>
      </c>
      <c r="AT656" s="20">
        <f>IF(Table1[[#This Row],[Control Panel Color Time]]&gt;0,1,0)</f>
        <v>0</v>
      </c>
    </row>
    <row r="657" spans="1:46" s="2" customFormat="1" x14ac:dyDescent="0.25">
      <c r="A657"/>
      <c r="B657"/>
      <c r="C657"/>
      <c r="D657"/>
      <c r="E657"/>
      <c r="F657"/>
      <c r="G657"/>
      <c r="H657"/>
      <c r="I657" s="8">
        <f>+Table1[[#This Row],[Auton ball picked up in our trench]]+Table1[[#This Row],[Auton Balls Picked Up in Mid]]+Table1[[#This Row],[Auton Balls Picked Up In Their Trench]]</f>
        <v>0</v>
      </c>
      <c r="J657" s="8">
        <f>+Table1[[#This Row],[Auton Scored High]]+Table1[[#This Row],[Auton Scored Low]]</f>
        <v>0</v>
      </c>
      <c r="K65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57"/>
      <c r="M657"/>
      <c r="N657"/>
      <c r="O657"/>
      <c r="P657"/>
      <c r="Q657"/>
      <c r="R657"/>
      <c r="S657"/>
      <c r="T657"/>
      <c r="U657"/>
      <c r="V657" s="8">
        <f>Table1[[#This Row],[Balls Scored From Trench]]+Table1[[#This Row],[Balls Scored from Mid]]+Table1[[#This Row],[Balls Scored From Alliance zone]]</f>
        <v>0</v>
      </c>
      <c r="W657" s="8">
        <f>Table1[[#This Row],[balls scored high]]+Table1[[#This Row],[balls scored low]]</f>
        <v>0</v>
      </c>
      <c r="X657" s="8">
        <f>Table1[[#This Row],[Control Panel Spun Time]]+Table1[[#This Row],[Control Panel Color Time]]</f>
        <v>0</v>
      </c>
      <c r="Y657" s="8">
        <f>Table1[[#This Row],[Control Panels Spun]]+Table1[[#This Row],[Control Panel Color]]</f>
        <v>0</v>
      </c>
      <c r="Z65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57"/>
      <c r="AB657"/>
      <c r="AC657"/>
      <c r="AD657"/>
      <c r="AE657"/>
      <c r="AF657"/>
      <c r="AG657"/>
      <c r="AH657"/>
      <c r="AI657"/>
      <c r="AJ657"/>
      <c r="AK657" s="17">
        <f>(Table1[[#This Row],[Climbed]]*weighting!$B$18)+(Table1[[#This Row],[Adjustable Climber]]*weighting!$B$19)+(Table1[[#This Row],[Lift other Robot]]*weighting!$B$20)+(Table1[[#This Row],[Balanced]]*weighting!$B$21)</f>
        <v>0</v>
      </c>
      <c r="AL657" s="8">
        <f>+Table1[[#This Row],[Endgame our score]]+Table1[[#This Row],[teleop our score]]+Table1[[#This Row],[auton our score]]</f>
        <v>0</v>
      </c>
      <c r="AM657" s="20">
        <f t="shared" si="30"/>
        <v>0</v>
      </c>
      <c r="AN657" s="20">
        <f t="shared" si="31"/>
        <v>0</v>
      </c>
      <c r="AO657" s="20">
        <f t="shared" si="32"/>
        <v>0</v>
      </c>
      <c r="AP657" s="20">
        <f>Table1[[#This Row],[balls scored]]+Table1[[#This Row],[auton balls scored]]</f>
        <v>0</v>
      </c>
      <c r="AQ657" s="20">
        <f>Table1[[#This Row],[balls scored high]]+Table1[[#This Row],[Auton Scored High]]</f>
        <v>0</v>
      </c>
      <c r="AR657" s="20">
        <f>Table1[[#This Row],[balls scored low]]+Table1[[#This Row],[Auton Scored Low]]</f>
        <v>0</v>
      </c>
      <c r="AS657" s="50">
        <f>IF(Table1[[#This Row],[Control Panel Spun Time]]&gt;0,1,0)</f>
        <v>0</v>
      </c>
      <c r="AT657" s="20">
        <f>IF(Table1[[#This Row],[Control Panel Color Time]]&gt;0,1,0)</f>
        <v>0</v>
      </c>
    </row>
    <row r="658" spans="1:46" x14ac:dyDescent="0.25">
      <c r="A658"/>
      <c r="I658" s="8">
        <f>+Table1[[#This Row],[Auton ball picked up in our trench]]+Table1[[#This Row],[Auton Balls Picked Up in Mid]]+Table1[[#This Row],[Auton Balls Picked Up In Their Trench]]</f>
        <v>0</v>
      </c>
      <c r="J658" s="8">
        <f>+Table1[[#This Row],[Auton Scored High]]+Table1[[#This Row],[Auton Scored Low]]</f>
        <v>0</v>
      </c>
      <c r="K65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58" s="8">
        <f>Table1[[#This Row],[Balls Scored From Trench]]+Table1[[#This Row],[Balls Scored from Mid]]+Table1[[#This Row],[Balls Scored From Alliance zone]]</f>
        <v>0</v>
      </c>
      <c r="W658" s="8">
        <f>Table1[[#This Row],[balls scored high]]+Table1[[#This Row],[balls scored low]]</f>
        <v>0</v>
      </c>
      <c r="X658" s="8">
        <f>Table1[[#This Row],[Control Panel Spun Time]]+Table1[[#This Row],[Control Panel Color Time]]</f>
        <v>0</v>
      </c>
      <c r="Y658" s="8">
        <f>Table1[[#This Row],[Control Panels Spun]]+Table1[[#This Row],[Control Panel Color]]</f>
        <v>0</v>
      </c>
      <c r="Z65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58" s="17">
        <f>(Table1[[#This Row],[Climbed]]*weighting!$B$18)+(Table1[[#This Row],[Adjustable Climber]]*weighting!$B$19)+(Table1[[#This Row],[Lift other Robot]]*weighting!$B$20)+(Table1[[#This Row],[Balanced]]*weighting!$B$21)</f>
        <v>0</v>
      </c>
      <c r="AL658" s="8">
        <f>+Table1[[#This Row],[Endgame our score]]+Table1[[#This Row],[teleop our score]]+Table1[[#This Row],[auton our score]]</f>
        <v>0</v>
      </c>
      <c r="AM658" s="20">
        <f t="shared" si="30"/>
        <v>0</v>
      </c>
      <c r="AN658" s="20">
        <f t="shared" si="31"/>
        <v>0</v>
      </c>
      <c r="AO658" s="20">
        <f t="shared" si="32"/>
        <v>0</v>
      </c>
      <c r="AP658" s="20">
        <f>Table1[[#This Row],[balls scored]]+Table1[[#This Row],[auton balls scored]]</f>
        <v>0</v>
      </c>
      <c r="AQ658" s="20">
        <f>Table1[[#This Row],[balls scored high]]+Table1[[#This Row],[Auton Scored High]]</f>
        <v>0</v>
      </c>
      <c r="AR658" s="20">
        <f>Table1[[#This Row],[balls scored low]]+Table1[[#This Row],[Auton Scored Low]]</f>
        <v>0</v>
      </c>
      <c r="AS658" s="50">
        <f>IF(Table1[[#This Row],[Control Panel Spun Time]]&gt;0,1,0)</f>
        <v>0</v>
      </c>
      <c r="AT658" s="20">
        <f>IF(Table1[[#This Row],[Control Panel Color Time]]&gt;0,1,0)</f>
        <v>0</v>
      </c>
    </row>
    <row r="659" spans="1:46" s="2" customFormat="1" x14ac:dyDescent="0.25">
      <c r="A659"/>
      <c r="B659"/>
      <c r="C659"/>
      <c r="D659"/>
      <c r="E659"/>
      <c r="F659"/>
      <c r="G659"/>
      <c r="H659"/>
      <c r="I659" s="8">
        <f>+Table1[[#This Row],[Auton ball picked up in our trench]]+Table1[[#This Row],[Auton Balls Picked Up in Mid]]+Table1[[#This Row],[Auton Balls Picked Up In Their Trench]]</f>
        <v>0</v>
      </c>
      <c r="J659" s="8">
        <f>+Table1[[#This Row],[Auton Scored High]]+Table1[[#This Row],[Auton Scored Low]]</f>
        <v>0</v>
      </c>
      <c r="K65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59"/>
      <c r="M659"/>
      <c r="N659"/>
      <c r="O659"/>
      <c r="P659"/>
      <c r="Q659"/>
      <c r="R659"/>
      <c r="S659"/>
      <c r="T659"/>
      <c r="U659"/>
      <c r="V659" s="8">
        <f>Table1[[#This Row],[Balls Scored From Trench]]+Table1[[#This Row],[Balls Scored from Mid]]+Table1[[#This Row],[Balls Scored From Alliance zone]]</f>
        <v>0</v>
      </c>
      <c r="W659" s="8">
        <f>Table1[[#This Row],[balls scored high]]+Table1[[#This Row],[balls scored low]]</f>
        <v>0</v>
      </c>
      <c r="X659" s="8">
        <f>Table1[[#This Row],[Control Panel Spun Time]]+Table1[[#This Row],[Control Panel Color Time]]</f>
        <v>0</v>
      </c>
      <c r="Y659" s="8">
        <f>Table1[[#This Row],[Control Panels Spun]]+Table1[[#This Row],[Control Panel Color]]</f>
        <v>0</v>
      </c>
      <c r="Z65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59"/>
      <c r="AB659"/>
      <c r="AC659"/>
      <c r="AD659"/>
      <c r="AE659"/>
      <c r="AF659"/>
      <c r="AG659"/>
      <c r="AH659"/>
      <c r="AI659"/>
      <c r="AJ659"/>
      <c r="AK659" s="17">
        <f>(Table1[[#This Row],[Climbed]]*weighting!$B$18)+(Table1[[#This Row],[Adjustable Climber]]*weighting!$B$19)+(Table1[[#This Row],[Lift other Robot]]*weighting!$B$20)+(Table1[[#This Row],[Balanced]]*weighting!$B$21)</f>
        <v>0</v>
      </c>
      <c r="AL659" s="8">
        <f>+Table1[[#This Row],[Endgame our score]]+Table1[[#This Row],[teleop our score]]+Table1[[#This Row],[auton our score]]</f>
        <v>0</v>
      </c>
      <c r="AM659" s="20">
        <f t="shared" si="30"/>
        <v>0</v>
      </c>
      <c r="AN659" s="20">
        <f t="shared" si="31"/>
        <v>0</v>
      </c>
      <c r="AO659" s="20">
        <f t="shared" si="32"/>
        <v>0</v>
      </c>
      <c r="AP659" s="20">
        <f>Table1[[#This Row],[balls scored]]+Table1[[#This Row],[auton balls scored]]</f>
        <v>0</v>
      </c>
      <c r="AQ659" s="20">
        <f>Table1[[#This Row],[balls scored high]]+Table1[[#This Row],[Auton Scored High]]</f>
        <v>0</v>
      </c>
      <c r="AR659" s="20">
        <f>Table1[[#This Row],[balls scored low]]+Table1[[#This Row],[Auton Scored Low]]</f>
        <v>0</v>
      </c>
      <c r="AS659" s="50">
        <f>IF(Table1[[#This Row],[Control Panel Spun Time]]&gt;0,1,0)</f>
        <v>0</v>
      </c>
      <c r="AT659" s="20">
        <f>IF(Table1[[#This Row],[Control Panel Color Time]]&gt;0,1,0)</f>
        <v>0</v>
      </c>
    </row>
    <row r="660" spans="1:46" x14ac:dyDescent="0.25">
      <c r="A660"/>
      <c r="I660" s="8">
        <f>+Table1[[#This Row],[Auton ball picked up in our trench]]+Table1[[#This Row],[Auton Balls Picked Up in Mid]]+Table1[[#This Row],[Auton Balls Picked Up In Their Trench]]</f>
        <v>0</v>
      </c>
      <c r="J660" s="8">
        <f>+Table1[[#This Row],[Auton Scored High]]+Table1[[#This Row],[Auton Scored Low]]</f>
        <v>0</v>
      </c>
      <c r="K66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60" s="8">
        <f>Table1[[#This Row],[Balls Scored From Trench]]+Table1[[#This Row],[Balls Scored from Mid]]+Table1[[#This Row],[Balls Scored From Alliance zone]]</f>
        <v>0</v>
      </c>
      <c r="W660" s="8">
        <f>Table1[[#This Row],[balls scored high]]+Table1[[#This Row],[balls scored low]]</f>
        <v>0</v>
      </c>
      <c r="X660" s="8">
        <f>Table1[[#This Row],[Control Panel Spun Time]]+Table1[[#This Row],[Control Panel Color Time]]</f>
        <v>0</v>
      </c>
      <c r="Y660" s="8">
        <f>Table1[[#This Row],[Control Panels Spun]]+Table1[[#This Row],[Control Panel Color]]</f>
        <v>0</v>
      </c>
      <c r="Z66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60" s="17">
        <f>(Table1[[#This Row],[Climbed]]*weighting!$B$18)+(Table1[[#This Row],[Adjustable Climber]]*weighting!$B$19)+(Table1[[#This Row],[Lift other Robot]]*weighting!$B$20)+(Table1[[#This Row],[Balanced]]*weighting!$B$21)</f>
        <v>0</v>
      </c>
      <c r="AL660" s="8">
        <f>+Table1[[#This Row],[Endgame our score]]+Table1[[#This Row],[teleop our score]]+Table1[[#This Row],[auton our score]]</f>
        <v>0</v>
      </c>
      <c r="AM660" s="20">
        <f t="shared" si="30"/>
        <v>0</v>
      </c>
      <c r="AN660" s="20">
        <f t="shared" si="31"/>
        <v>0</v>
      </c>
      <c r="AO660" s="20">
        <f t="shared" si="32"/>
        <v>0</v>
      </c>
      <c r="AP660" s="20">
        <f>Table1[[#This Row],[balls scored]]+Table1[[#This Row],[auton balls scored]]</f>
        <v>0</v>
      </c>
      <c r="AQ660" s="20">
        <f>Table1[[#This Row],[balls scored high]]+Table1[[#This Row],[Auton Scored High]]</f>
        <v>0</v>
      </c>
      <c r="AR660" s="20">
        <f>Table1[[#This Row],[balls scored low]]+Table1[[#This Row],[Auton Scored Low]]</f>
        <v>0</v>
      </c>
      <c r="AS660" s="50">
        <f>IF(Table1[[#This Row],[Control Panel Spun Time]]&gt;0,1,0)</f>
        <v>0</v>
      </c>
      <c r="AT660" s="20">
        <f>IF(Table1[[#This Row],[Control Panel Color Time]]&gt;0,1,0)</f>
        <v>0</v>
      </c>
    </row>
    <row r="661" spans="1:46" s="2" customFormat="1" x14ac:dyDescent="0.25">
      <c r="A661"/>
      <c r="B661"/>
      <c r="C661"/>
      <c r="D661"/>
      <c r="E661"/>
      <c r="F661"/>
      <c r="G661"/>
      <c r="H661"/>
      <c r="I661" s="8">
        <f>+Table1[[#This Row],[Auton ball picked up in our trench]]+Table1[[#This Row],[Auton Balls Picked Up in Mid]]+Table1[[#This Row],[Auton Balls Picked Up In Their Trench]]</f>
        <v>0</v>
      </c>
      <c r="J661" s="8">
        <f>+Table1[[#This Row],[Auton Scored High]]+Table1[[#This Row],[Auton Scored Low]]</f>
        <v>0</v>
      </c>
      <c r="K66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61"/>
      <c r="M661"/>
      <c r="N661"/>
      <c r="O661"/>
      <c r="P661"/>
      <c r="Q661"/>
      <c r="R661"/>
      <c r="S661"/>
      <c r="T661"/>
      <c r="U661"/>
      <c r="V661" s="8">
        <f>Table1[[#This Row],[Balls Scored From Trench]]+Table1[[#This Row],[Balls Scored from Mid]]+Table1[[#This Row],[Balls Scored From Alliance zone]]</f>
        <v>0</v>
      </c>
      <c r="W661" s="8">
        <f>Table1[[#This Row],[balls scored high]]+Table1[[#This Row],[balls scored low]]</f>
        <v>0</v>
      </c>
      <c r="X661" s="8">
        <f>Table1[[#This Row],[Control Panel Spun Time]]+Table1[[#This Row],[Control Panel Color Time]]</f>
        <v>0</v>
      </c>
      <c r="Y661" s="8">
        <f>Table1[[#This Row],[Control Panels Spun]]+Table1[[#This Row],[Control Panel Color]]</f>
        <v>0</v>
      </c>
      <c r="Z66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61"/>
      <c r="AB661"/>
      <c r="AC661"/>
      <c r="AD661"/>
      <c r="AE661"/>
      <c r="AF661"/>
      <c r="AG661"/>
      <c r="AH661"/>
      <c r="AI661"/>
      <c r="AJ661"/>
      <c r="AK661" s="17">
        <f>(Table1[[#This Row],[Climbed]]*weighting!$B$18)+(Table1[[#This Row],[Adjustable Climber]]*weighting!$B$19)+(Table1[[#This Row],[Lift other Robot]]*weighting!$B$20)+(Table1[[#This Row],[Balanced]]*weighting!$B$21)</f>
        <v>0</v>
      </c>
      <c r="AL661" s="8">
        <f>+Table1[[#This Row],[Endgame our score]]+Table1[[#This Row],[teleop our score]]+Table1[[#This Row],[auton our score]]</f>
        <v>0</v>
      </c>
      <c r="AM661" s="20">
        <f t="shared" si="30"/>
        <v>0</v>
      </c>
      <c r="AN661" s="20">
        <f t="shared" si="31"/>
        <v>0</v>
      </c>
      <c r="AO661" s="20">
        <f t="shared" si="32"/>
        <v>0</v>
      </c>
      <c r="AP661" s="20">
        <f>Table1[[#This Row],[balls scored]]+Table1[[#This Row],[auton balls scored]]</f>
        <v>0</v>
      </c>
      <c r="AQ661" s="20">
        <f>Table1[[#This Row],[balls scored high]]+Table1[[#This Row],[Auton Scored High]]</f>
        <v>0</v>
      </c>
      <c r="AR661" s="20">
        <f>Table1[[#This Row],[balls scored low]]+Table1[[#This Row],[Auton Scored Low]]</f>
        <v>0</v>
      </c>
      <c r="AS661" s="50">
        <f>IF(Table1[[#This Row],[Control Panel Spun Time]]&gt;0,1,0)</f>
        <v>0</v>
      </c>
      <c r="AT661" s="20">
        <f>IF(Table1[[#This Row],[Control Panel Color Time]]&gt;0,1,0)</f>
        <v>0</v>
      </c>
    </row>
    <row r="662" spans="1:46" x14ac:dyDescent="0.25">
      <c r="A662"/>
      <c r="I662" s="8">
        <f>+Table1[[#This Row],[Auton ball picked up in our trench]]+Table1[[#This Row],[Auton Balls Picked Up in Mid]]+Table1[[#This Row],[Auton Balls Picked Up In Their Trench]]</f>
        <v>0</v>
      </c>
      <c r="J662" s="8">
        <f>+Table1[[#This Row],[Auton Scored High]]+Table1[[#This Row],[Auton Scored Low]]</f>
        <v>0</v>
      </c>
      <c r="K66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62" s="8">
        <f>Table1[[#This Row],[Balls Scored From Trench]]+Table1[[#This Row],[Balls Scored from Mid]]+Table1[[#This Row],[Balls Scored From Alliance zone]]</f>
        <v>0</v>
      </c>
      <c r="W662" s="8">
        <f>Table1[[#This Row],[balls scored high]]+Table1[[#This Row],[balls scored low]]</f>
        <v>0</v>
      </c>
      <c r="X662" s="8">
        <f>Table1[[#This Row],[Control Panel Spun Time]]+Table1[[#This Row],[Control Panel Color Time]]</f>
        <v>0</v>
      </c>
      <c r="Y662" s="8">
        <f>Table1[[#This Row],[Control Panels Spun]]+Table1[[#This Row],[Control Panel Color]]</f>
        <v>0</v>
      </c>
      <c r="Z66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62" s="17">
        <f>(Table1[[#This Row],[Climbed]]*weighting!$B$18)+(Table1[[#This Row],[Adjustable Climber]]*weighting!$B$19)+(Table1[[#This Row],[Lift other Robot]]*weighting!$B$20)+(Table1[[#This Row],[Balanced]]*weighting!$B$21)</f>
        <v>0</v>
      </c>
      <c r="AL662" s="8">
        <f>+Table1[[#This Row],[Endgame our score]]+Table1[[#This Row],[teleop our score]]+Table1[[#This Row],[auton our score]]</f>
        <v>0</v>
      </c>
      <c r="AM662" s="20">
        <f t="shared" si="30"/>
        <v>0</v>
      </c>
      <c r="AN662" s="20">
        <f t="shared" si="31"/>
        <v>0</v>
      </c>
      <c r="AO662" s="20">
        <f t="shared" si="32"/>
        <v>0</v>
      </c>
      <c r="AP662" s="20">
        <f>Table1[[#This Row],[balls scored]]+Table1[[#This Row],[auton balls scored]]</f>
        <v>0</v>
      </c>
      <c r="AQ662" s="20">
        <f>Table1[[#This Row],[balls scored high]]+Table1[[#This Row],[Auton Scored High]]</f>
        <v>0</v>
      </c>
      <c r="AR662" s="20">
        <f>Table1[[#This Row],[balls scored low]]+Table1[[#This Row],[Auton Scored Low]]</f>
        <v>0</v>
      </c>
      <c r="AS662" s="50">
        <f>IF(Table1[[#This Row],[Control Panel Spun Time]]&gt;0,1,0)</f>
        <v>0</v>
      </c>
      <c r="AT662" s="20">
        <f>IF(Table1[[#This Row],[Control Panel Color Time]]&gt;0,1,0)</f>
        <v>0</v>
      </c>
    </row>
    <row r="663" spans="1:46" s="2" customFormat="1" x14ac:dyDescent="0.25">
      <c r="A663"/>
      <c r="B663"/>
      <c r="C663"/>
      <c r="D663"/>
      <c r="E663"/>
      <c r="F663"/>
      <c r="G663"/>
      <c r="H663"/>
      <c r="I663" s="8">
        <f>+Table1[[#This Row],[Auton ball picked up in our trench]]+Table1[[#This Row],[Auton Balls Picked Up in Mid]]+Table1[[#This Row],[Auton Balls Picked Up In Their Trench]]</f>
        <v>0</v>
      </c>
      <c r="J663" s="8">
        <f>+Table1[[#This Row],[Auton Scored High]]+Table1[[#This Row],[Auton Scored Low]]</f>
        <v>0</v>
      </c>
      <c r="K66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63"/>
      <c r="M663"/>
      <c r="N663"/>
      <c r="O663"/>
      <c r="P663"/>
      <c r="Q663"/>
      <c r="R663"/>
      <c r="S663"/>
      <c r="T663"/>
      <c r="U663"/>
      <c r="V663" s="8">
        <f>Table1[[#This Row],[Balls Scored From Trench]]+Table1[[#This Row],[Balls Scored from Mid]]+Table1[[#This Row],[Balls Scored From Alliance zone]]</f>
        <v>0</v>
      </c>
      <c r="W663" s="8">
        <f>Table1[[#This Row],[balls scored high]]+Table1[[#This Row],[balls scored low]]</f>
        <v>0</v>
      </c>
      <c r="X663" s="8">
        <f>Table1[[#This Row],[Control Panel Spun Time]]+Table1[[#This Row],[Control Panel Color Time]]</f>
        <v>0</v>
      </c>
      <c r="Y663" s="8">
        <f>Table1[[#This Row],[Control Panels Spun]]+Table1[[#This Row],[Control Panel Color]]</f>
        <v>0</v>
      </c>
      <c r="Z66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63"/>
      <c r="AB663"/>
      <c r="AC663"/>
      <c r="AD663"/>
      <c r="AE663"/>
      <c r="AF663"/>
      <c r="AG663"/>
      <c r="AH663"/>
      <c r="AI663"/>
      <c r="AJ663"/>
      <c r="AK663" s="17">
        <f>(Table1[[#This Row],[Climbed]]*weighting!$B$18)+(Table1[[#This Row],[Adjustable Climber]]*weighting!$B$19)+(Table1[[#This Row],[Lift other Robot]]*weighting!$B$20)+(Table1[[#This Row],[Balanced]]*weighting!$B$21)</f>
        <v>0</v>
      </c>
      <c r="AL663" s="8">
        <f>+Table1[[#This Row],[Endgame our score]]+Table1[[#This Row],[teleop our score]]+Table1[[#This Row],[auton our score]]</f>
        <v>0</v>
      </c>
      <c r="AM663" s="20">
        <f t="shared" si="30"/>
        <v>0</v>
      </c>
      <c r="AN663" s="20">
        <f t="shared" si="31"/>
        <v>0</v>
      </c>
      <c r="AO663" s="20">
        <f t="shared" si="32"/>
        <v>0</v>
      </c>
      <c r="AP663" s="20">
        <f>Table1[[#This Row],[balls scored]]+Table1[[#This Row],[auton balls scored]]</f>
        <v>0</v>
      </c>
      <c r="AQ663" s="20">
        <f>Table1[[#This Row],[balls scored high]]+Table1[[#This Row],[Auton Scored High]]</f>
        <v>0</v>
      </c>
      <c r="AR663" s="20">
        <f>Table1[[#This Row],[balls scored low]]+Table1[[#This Row],[Auton Scored Low]]</f>
        <v>0</v>
      </c>
      <c r="AS663" s="50">
        <f>IF(Table1[[#This Row],[Control Panel Spun Time]]&gt;0,1,0)</f>
        <v>0</v>
      </c>
      <c r="AT663" s="20">
        <f>IF(Table1[[#This Row],[Control Panel Color Time]]&gt;0,1,0)</f>
        <v>0</v>
      </c>
    </row>
    <row r="664" spans="1:46" x14ac:dyDescent="0.25">
      <c r="A664"/>
      <c r="I664" s="8">
        <f>+Table1[[#This Row],[Auton ball picked up in our trench]]+Table1[[#This Row],[Auton Balls Picked Up in Mid]]+Table1[[#This Row],[Auton Balls Picked Up In Their Trench]]</f>
        <v>0</v>
      </c>
      <c r="J664" s="8">
        <f>+Table1[[#This Row],[Auton Scored High]]+Table1[[#This Row],[Auton Scored Low]]</f>
        <v>0</v>
      </c>
      <c r="K66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64" s="8">
        <f>Table1[[#This Row],[Balls Scored From Trench]]+Table1[[#This Row],[Balls Scored from Mid]]+Table1[[#This Row],[Balls Scored From Alliance zone]]</f>
        <v>0</v>
      </c>
      <c r="W664" s="8">
        <f>Table1[[#This Row],[balls scored high]]+Table1[[#This Row],[balls scored low]]</f>
        <v>0</v>
      </c>
      <c r="X664" s="8">
        <f>Table1[[#This Row],[Control Panel Spun Time]]+Table1[[#This Row],[Control Panel Color Time]]</f>
        <v>0</v>
      </c>
      <c r="Y664" s="8">
        <f>Table1[[#This Row],[Control Panels Spun]]+Table1[[#This Row],[Control Panel Color]]</f>
        <v>0</v>
      </c>
      <c r="Z66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64" s="17">
        <f>(Table1[[#This Row],[Climbed]]*weighting!$B$18)+(Table1[[#This Row],[Adjustable Climber]]*weighting!$B$19)+(Table1[[#This Row],[Lift other Robot]]*weighting!$B$20)+(Table1[[#This Row],[Balanced]]*weighting!$B$21)</f>
        <v>0</v>
      </c>
      <c r="AL664" s="8">
        <f>+Table1[[#This Row],[Endgame our score]]+Table1[[#This Row],[teleop our score]]+Table1[[#This Row],[auton our score]]</f>
        <v>0</v>
      </c>
      <c r="AM664" s="20">
        <f t="shared" si="30"/>
        <v>0</v>
      </c>
      <c r="AN664" s="20">
        <f t="shared" si="31"/>
        <v>0</v>
      </c>
      <c r="AO664" s="20">
        <f t="shared" si="32"/>
        <v>0</v>
      </c>
      <c r="AP664" s="20">
        <f>Table1[[#This Row],[balls scored]]+Table1[[#This Row],[auton balls scored]]</f>
        <v>0</v>
      </c>
      <c r="AQ664" s="20">
        <f>Table1[[#This Row],[balls scored high]]+Table1[[#This Row],[Auton Scored High]]</f>
        <v>0</v>
      </c>
      <c r="AR664" s="20">
        <f>Table1[[#This Row],[balls scored low]]+Table1[[#This Row],[Auton Scored Low]]</f>
        <v>0</v>
      </c>
      <c r="AS664" s="50">
        <f>IF(Table1[[#This Row],[Control Panel Spun Time]]&gt;0,1,0)</f>
        <v>0</v>
      </c>
      <c r="AT664" s="20">
        <f>IF(Table1[[#This Row],[Control Panel Color Time]]&gt;0,1,0)</f>
        <v>0</v>
      </c>
    </row>
    <row r="665" spans="1:46" s="2" customFormat="1" x14ac:dyDescent="0.25">
      <c r="A665"/>
      <c r="B665"/>
      <c r="C665"/>
      <c r="D665"/>
      <c r="E665"/>
      <c r="F665"/>
      <c r="G665"/>
      <c r="H665"/>
      <c r="I665" s="8">
        <f>+Table1[[#This Row],[Auton ball picked up in our trench]]+Table1[[#This Row],[Auton Balls Picked Up in Mid]]+Table1[[#This Row],[Auton Balls Picked Up In Their Trench]]</f>
        <v>0</v>
      </c>
      <c r="J665" s="8">
        <f>+Table1[[#This Row],[Auton Scored High]]+Table1[[#This Row],[Auton Scored Low]]</f>
        <v>0</v>
      </c>
      <c r="K66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65"/>
      <c r="M665"/>
      <c r="N665"/>
      <c r="O665"/>
      <c r="P665"/>
      <c r="Q665"/>
      <c r="R665"/>
      <c r="S665"/>
      <c r="T665"/>
      <c r="U665"/>
      <c r="V665" s="8">
        <f>Table1[[#This Row],[Balls Scored From Trench]]+Table1[[#This Row],[Balls Scored from Mid]]+Table1[[#This Row],[Balls Scored From Alliance zone]]</f>
        <v>0</v>
      </c>
      <c r="W665" s="8">
        <f>Table1[[#This Row],[balls scored high]]+Table1[[#This Row],[balls scored low]]</f>
        <v>0</v>
      </c>
      <c r="X665" s="8">
        <f>Table1[[#This Row],[Control Panel Spun Time]]+Table1[[#This Row],[Control Panel Color Time]]</f>
        <v>0</v>
      </c>
      <c r="Y665" s="8">
        <f>Table1[[#This Row],[Control Panels Spun]]+Table1[[#This Row],[Control Panel Color]]</f>
        <v>0</v>
      </c>
      <c r="Z66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65"/>
      <c r="AB665"/>
      <c r="AC665"/>
      <c r="AD665"/>
      <c r="AE665"/>
      <c r="AF665"/>
      <c r="AG665"/>
      <c r="AH665"/>
      <c r="AI665"/>
      <c r="AJ665"/>
      <c r="AK665" s="17">
        <f>(Table1[[#This Row],[Climbed]]*weighting!$B$18)+(Table1[[#This Row],[Adjustable Climber]]*weighting!$B$19)+(Table1[[#This Row],[Lift other Robot]]*weighting!$B$20)+(Table1[[#This Row],[Balanced]]*weighting!$B$21)</f>
        <v>0</v>
      </c>
      <c r="AL665" s="8">
        <f>+Table1[[#This Row],[Endgame our score]]+Table1[[#This Row],[teleop our score]]+Table1[[#This Row],[auton our score]]</f>
        <v>0</v>
      </c>
      <c r="AM665" s="20">
        <f t="shared" si="30"/>
        <v>0</v>
      </c>
      <c r="AN665" s="20">
        <f t="shared" si="31"/>
        <v>0</v>
      </c>
      <c r="AO665" s="20">
        <f t="shared" si="32"/>
        <v>0</v>
      </c>
      <c r="AP665" s="20">
        <f>Table1[[#This Row],[balls scored]]+Table1[[#This Row],[auton balls scored]]</f>
        <v>0</v>
      </c>
      <c r="AQ665" s="20">
        <f>Table1[[#This Row],[balls scored high]]+Table1[[#This Row],[Auton Scored High]]</f>
        <v>0</v>
      </c>
      <c r="AR665" s="20">
        <f>Table1[[#This Row],[balls scored low]]+Table1[[#This Row],[Auton Scored Low]]</f>
        <v>0</v>
      </c>
      <c r="AS665" s="50">
        <f>IF(Table1[[#This Row],[Control Panel Spun Time]]&gt;0,1,0)</f>
        <v>0</v>
      </c>
      <c r="AT665" s="20">
        <f>IF(Table1[[#This Row],[Control Panel Color Time]]&gt;0,1,0)</f>
        <v>0</v>
      </c>
    </row>
    <row r="666" spans="1:46" x14ac:dyDescent="0.25">
      <c r="A666"/>
      <c r="I666" s="8">
        <f>+Table1[[#This Row],[Auton ball picked up in our trench]]+Table1[[#This Row],[Auton Balls Picked Up in Mid]]+Table1[[#This Row],[Auton Balls Picked Up In Their Trench]]</f>
        <v>0</v>
      </c>
      <c r="J666" s="8">
        <f>+Table1[[#This Row],[Auton Scored High]]+Table1[[#This Row],[Auton Scored Low]]</f>
        <v>0</v>
      </c>
      <c r="K66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66" s="8">
        <f>Table1[[#This Row],[Balls Scored From Trench]]+Table1[[#This Row],[Balls Scored from Mid]]+Table1[[#This Row],[Balls Scored From Alliance zone]]</f>
        <v>0</v>
      </c>
      <c r="W666" s="8">
        <f>Table1[[#This Row],[balls scored high]]+Table1[[#This Row],[balls scored low]]</f>
        <v>0</v>
      </c>
      <c r="X666" s="8">
        <f>Table1[[#This Row],[Control Panel Spun Time]]+Table1[[#This Row],[Control Panel Color Time]]</f>
        <v>0</v>
      </c>
      <c r="Y666" s="8">
        <f>Table1[[#This Row],[Control Panels Spun]]+Table1[[#This Row],[Control Panel Color]]</f>
        <v>0</v>
      </c>
      <c r="Z66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66" s="17">
        <f>(Table1[[#This Row],[Climbed]]*weighting!$B$18)+(Table1[[#This Row],[Adjustable Climber]]*weighting!$B$19)+(Table1[[#This Row],[Lift other Robot]]*weighting!$B$20)+(Table1[[#This Row],[Balanced]]*weighting!$B$21)</f>
        <v>0</v>
      </c>
      <c r="AL666" s="8">
        <f>+Table1[[#This Row],[Endgame our score]]+Table1[[#This Row],[teleop our score]]+Table1[[#This Row],[auton our score]]</f>
        <v>0</v>
      </c>
      <c r="AM666" s="20">
        <f t="shared" si="30"/>
        <v>0</v>
      </c>
      <c r="AN666" s="20">
        <f t="shared" si="31"/>
        <v>0</v>
      </c>
      <c r="AO666" s="20">
        <f t="shared" si="32"/>
        <v>0</v>
      </c>
      <c r="AP666" s="20">
        <f>Table1[[#This Row],[balls scored]]+Table1[[#This Row],[auton balls scored]]</f>
        <v>0</v>
      </c>
      <c r="AQ666" s="20">
        <f>Table1[[#This Row],[balls scored high]]+Table1[[#This Row],[Auton Scored High]]</f>
        <v>0</v>
      </c>
      <c r="AR666" s="20">
        <f>Table1[[#This Row],[balls scored low]]+Table1[[#This Row],[Auton Scored Low]]</f>
        <v>0</v>
      </c>
      <c r="AS666" s="50">
        <f>IF(Table1[[#This Row],[Control Panel Spun Time]]&gt;0,1,0)</f>
        <v>0</v>
      </c>
      <c r="AT666" s="20">
        <f>IF(Table1[[#This Row],[Control Panel Color Time]]&gt;0,1,0)</f>
        <v>0</v>
      </c>
    </row>
    <row r="667" spans="1:46" s="2" customFormat="1" x14ac:dyDescent="0.25">
      <c r="A667"/>
      <c r="B667"/>
      <c r="C667"/>
      <c r="D667"/>
      <c r="E667"/>
      <c r="F667"/>
      <c r="G667"/>
      <c r="H667"/>
      <c r="I667" s="8">
        <f>+Table1[[#This Row],[Auton ball picked up in our trench]]+Table1[[#This Row],[Auton Balls Picked Up in Mid]]+Table1[[#This Row],[Auton Balls Picked Up In Their Trench]]</f>
        <v>0</v>
      </c>
      <c r="J667" s="8">
        <f>+Table1[[#This Row],[Auton Scored High]]+Table1[[#This Row],[Auton Scored Low]]</f>
        <v>0</v>
      </c>
      <c r="K66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67"/>
      <c r="M667"/>
      <c r="N667"/>
      <c r="O667"/>
      <c r="P667"/>
      <c r="Q667"/>
      <c r="R667"/>
      <c r="S667"/>
      <c r="T667"/>
      <c r="U667"/>
      <c r="V667" s="8">
        <f>Table1[[#This Row],[Balls Scored From Trench]]+Table1[[#This Row],[Balls Scored from Mid]]+Table1[[#This Row],[Balls Scored From Alliance zone]]</f>
        <v>0</v>
      </c>
      <c r="W667" s="8">
        <f>Table1[[#This Row],[balls scored high]]+Table1[[#This Row],[balls scored low]]</f>
        <v>0</v>
      </c>
      <c r="X667" s="8">
        <f>Table1[[#This Row],[Control Panel Spun Time]]+Table1[[#This Row],[Control Panel Color Time]]</f>
        <v>0</v>
      </c>
      <c r="Y667" s="8">
        <f>Table1[[#This Row],[Control Panels Spun]]+Table1[[#This Row],[Control Panel Color]]</f>
        <v>0</v>
      </c>
      <c r="Z66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67"/>
      <c r="AB667"/>
      <c r="AC667"/>
      <c r="AD667"/>
      <c r="AE667"/>
      <c r="AF667"/>
      <c r="AG667"/>
      <c r="AH667"/>
      <c r="AI667"/>
      <c r="AJ667"/>
      <c r="AK667" s="17">
        <f>(Table1[[#This Row],[Climbed]]*weighting!$B$18)+(Table1[[#This Row],[Adjustable Climber]]*weighting!$B$19)+(Table1[[#This Row],[Lift other Robot]]*weighting!$B$20)+(Table1[[#This Row],[Balanced]]*weighting!$B$21)</f>
        <v>0</v>
      </c>
      <c r="AL667" s="8">
        <f>+Table1[[#This Row],[Endgame our score]]+Table1[[#This Row],[teleop our score]]+Table1[[#This Row],[auton our score]]</f>
        <v>0</v>
      </c>
      <c r="AM667" s="20">
        <f t="shared" si="30"/>
        <v>0</v>
      </c>
      <c r="AN667" s="20">
        <f t="shared" si="31"/>
        <v>0</v>
      </c>
      <c r="AO667" s="20">
        <f t="shared" si="32"/>
        <v>0</v>
      </c>
      <c r="AP667" s="20">
        <f>Table1[[#This Row],[balls scored]]+Table1[[#This Row],[auton balls scored]]</f>
        <v>0</v>
      </c>
      <c r="AQ667" s="20">
        <f>Table1[[#This Row],[balls scored high]]+Table1[[#This Row],[Auton Scored High]]</f>
        <v>0</v>
      </c>
      <c r="AR667" s="20">
        <f>Table1[[#This Row],[balls scored low]]+Table1[[#This Row],[Auton Scored Low]]</f>
        <v>0</v>
      </c>
      <c r="AS667" s="50">
        <f>IF(Table1[[#This Row],[Control Panel Spun Time]]&gt;0,1,0)</f>
        <v>0</v>
      </c>
      <c r="AT667" s="20">
        <f>IF(Table1[[#This Row],[Control Panel Color Time]]&gt;0,1,0)</f>
        <v>0</v>
      </c>
    </row>
    <row r="668" spans="1:46" x14ac:dyDescent="0.25">
      <c r="A668"/>
      <c r="I668" s="8">
        <f>+Table1[[#This Row],[Auton ball picked up in our trench]]+Table1[[#This Row],[Auton Balls Picked Up in Mid]]+Table1[[#This Row],[Auton Balls Picked Up In Their Trench]]</f>
        <v>0</v>
      </c>
      <c r="J668" s="8">
        <f>+Table1[[#This Row],[Auton Scored High]]+Table1[[#This Row],[Auton Scored Low]]</f>
        <v>0</v>
      </c>
      <c r="K66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68" s="8">
        <f>Table1[[#This Row],[Balls Scored From Trench]]+Table1[[#This Row],[Balls Scored from Mid]]+Table1[[#This Row],[Balls Scored From Alliance zone]]</f>
        <v>0</v>
      </c>
      <c r="W668" s="8">
        <f>Table1[[#This Row],[balls scored high]]+Table1[[#This Row],[balls scored low]]</f>
        <v>0</v>
      </c>
      <c r="X668" s="8">
        <f>Table1[[#This Row],[Control Panel Spun Time]]+Table1[[#This Row],[Control Panel Color Time]]</f>
        <v>0</v>
      </c>
      <c r="Y668" s="8">
        <f>Table1[[#This Row],[Control Panels Spun]]+Table1[[#This Row],[Control Panel Color]]</f>
        <v>0</v>
      </c>
      <c r="Z66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68" s="17">
        <f>(Table1[[#This Row],[Climbed]]*weighting!$B$18)+(Table1[[#This Row],[Adjustable Climber]]*weighting!$B$19)+(Table1[[#This Row],[Lift other Robot]]*weighting!$B$20)+(Table1[[#This Row],[Balanced]]*weighting!$B$21)</f>
        <v>0</v>
      </c>
      <c r="AL668" s="8">
        <f>+Table1[[#This Row],[Endgame our score]]+Table1[[#This Row],[teleop our score]]+Table1[[#This Row],[auton our score]]</f>
        <v>0</v>
      </c>
      <c r="AM668" s="20">
        <f t="shared" si="30"/>
        <v>0</v>
      </c>
      <c r="AN668" s="20">
        <f t="shared" si="31"/>
        <v>0</v>
      </c>
      <c r="AO668" s="20">
        <f t="shared" si="32"/>
        <v>0</v>
      </c>
      <c r="AP668" s="20">
        <f>Table1[[#This Row],[balls scored]]+Table1[[#This Row],[auton balls scored]]</f>
        <v>0</v>
      </c>
      <c r="AQ668" s="20">
        <f>Table1[[#This Row],[balls scored high]]+Table1[[#This Row],[Auton Scored High]]</f>
        <v>0</v>
      </c>
      <c r="AR668" s="20">
        <f>Table1[[#This Row],[balls scored low]]+Table1[[#This Row],[Auton Scored Low]]</f>
        <v>0</v>
      </c>
      <c r="AS668" s="50">
        <f>IF(Table1[[#This Row],[Control Panel Spun Time]]&gt;0,1,0)</f>
        <v>0</v>
      </c>
      <c r="AT668" s="20">
        <f>IF(Table1[[#This Row],[Control Panel Color Time]]&gt;0,1,0)</f>
        <v>0</v>
      </c>
    </row>
    <row r="669" spans="1:46" s="2" customFormat="1" x14ac:dyDescent="0.25">
      <c r="A669"/>
      <c r="B669"/>
      <c r="C669"/>
      <c r="D669"/>
      <c r="E669"/>
      <c r="F669"/>
      <c r="G669"/>
      <c r="H669"/>
      <c r="I669" s="8">
        <f>+Table1[[#This Row],[Auton ball picked up in our trench]]+Table1[[#This Row],[Auton Balls Picked Up in Mid]]+Table1[[#This Row],[Auton Balls Picked Up In Their Trench]]</f>
        <v>0</v>
      </c>
      <c r="J669" s="8">
        <f>+Table1[[#This Row],[Auton Scored High]]+Table1[[#This Row],[Auton Scored Low]]</f>
        <v>0</v>
      </c>
      <c r="K66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69"/>
      <c r="M669"/>
      <c r="N669"/>
      <c r="O669"/>
      <c r="P669"/>
      <c r="Q669"/>
      <c r="R669"/>
      <c r="S669"/>
      <c r="T669"/>
      <c r="U669"/>
      <c r="V669" s="8">
        <f>Table1[[#This Row],[Balls Scored From Trench]]+Table1[[#This Row],[Balls Scored from Mid]]+Table1[[#This Row],[Balls Scored From Alliance zone]]</f>
        <v>0</v>
      </c>
      <c r="W669" s="8">
        <f>Table1[[#This Row],[balls scored high]]+Table1[[#This Row],[balls scored low]]</f>
        <v>0</v>
      </c>
      <c r="X669" s="8">
        <f>Table1[[#This Row],[Control Panel Spun Time]]+Table1[[#This Row],[Control Panel Color Time]]</f>
        <v>0</v>
      </c>
      <c r="Y669" s="8">
        <f>Table1[[#This Row],[Control Panels Spun]]+Table1[[#This Row],[Control Panel Color]]</f>
        <v>0</v>
      </c>
      <c r="Z66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69"/>
      <c r="AB669"/>
      <c r="AC669"/>
      <c r="AD669"/>
      <c r="AE669"/>
      <c r="AF669"/>
      <c r="AG669"/>
      <c r="AH669"/>
      <c r="AI669"/>
      <c r="AJ669"/>
      <c r="AK669" s="17">
        <f>(Table1[[#This Row],[Climbed]]*weighting!$B$18)+(Table1[[#This Row],[Adjustable Climber]]*weighting!$B$19)+(Table1[[#This Row],[Lift other Robot]]*weighting!$B$20)+(Table1[[#This Row],[Balanced]]*weighting!$B$21)</f>
        <v>0</v>
      </c>
      <c r="AL669" s="8">
        <f>+Table1[[#This Row],[Endgame our score]]+Table1[[#This Row],[teleop our score]]+Table1[[#This Row],[auton our score]]</f>
        <v>0</v>
      </c>
      <c r="AM669" s="20">
        <f t="shared" si="30"/>
        <v>0</v>
      </c>
      <c r="AN669" s="20">
        <f t="shared" si="31"/>
        <v>0</v>
      </c>
      <c r="AO669" s="20">
        <f t="shared" si="32"/>
        <v>0</v>
      </c>
      <c r="AP669" s="20">
        <f>Table1[[#This Row],[balls scored]]+Table1[[#This Row],[auton balls scored]]</f>
        <v>0</v>
      </c>
      <c r="AQ669" s="20">
        <f>Table1[[#This Row],[balls scored high]]+Table1[[#This Row],[Auton Scored High]]</f>
        <v>0</v>
      </c>
      <c r="AR669" s="20">
        <f>Table1[[#This Row],[balls scored low]]+Table1[[#This Row],[Auton Scored Low]]</f>
        <v>0</v>
      </c>
      <c r="AS669" s="50">
        <f>IF(Table1[[#This Row],[Control Panel Spun Time]]&gt;0,1,0)</f>
        <v>0</v>
      </c>
      <c r="AT669" s="20">
        <f>IF(Table1[[#This Row],[Control Panel Color Time]]&gt;0,1,0)</f>
        <v>0</v>
      </c>
    </row>
    <row r="670" spans="1:46" x14ac:dyDescent="0.25">
      <c r="A670"/>
      <c r="I670" s="8">
        <f>+Table1[[#This Row],[Auton ball picked up in our trench]]+Table1[[#This Row],[Auton Balls Picked Up in Mid]]+Table1[[#This Row],[Auton Balls Picked Up In Their Trench]]</f>
        <v>0</v>
      </c>
      <c r="J670" s="8">
        <f>+Table1[[#This Row],[Auton Scored High]]+Table1[[#This Row],[Auton Scored Low]]</f>
        <v>0</v>
      </c>
      <c r="K67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70" s="8">
        <f>Table1[[#This Row],[Balls Scored From Trench]]+Table1[[#This Row],[Balls Scored from Mid]]+Table1[[#This Row],[Balls Scored From Alliance zone]]</f>
        <v>0</v>
      </c>
      <c r="W670" s="8">
        <f>Table1[[#This Row],[balls scored high]]+Table1[[#This Row],[balls scored low]]</f>
        <v>0</v>
      </c>
      <c r="X670" s="8">
        <f>Table1[[#This Row],[Control Panel Spun Time]]+Table1[[#This Row],[Control Panel Color Time]]</f>
        <v>0</v>
      </c>
      <c r="Y670" s="8">
        <f>Table1[[#This Row],[Control Panels Spun]]+Table1[[#This Row],[Control Panel Color]]</f>
        <v>0</v>
      </c>
      <c r="Z67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70" s="17">
        <f>(Table1[[#This Row],[Climbed]]*weighting!$B$18)+(Table1[[#This Row],[Adjustable Climber]]*weighting!$B$19)+(Table1[[#This Row],[Lift other Robot]]*weighting!$B$20)+(Table1[[#This Row],[Balanced]]*weighting!$B$21)</f>
        <v>0</v>
      </c>
      <c r="AL670" s="8">
        <f>+Table1[[#This Row],[Endgame our score]]+Table1[[#This Row],[teleop our score]]+Table1[[#This Row],[auton our score]]</f>
        <v>0</v>
      </c>
      <c r="AM670" s="20">
        <f t="shared" si="30"/>
        <v>0</v>
      </c>
      <c r="AN670" s="20">
        <f t="shared" si="31"/>
        <v>0</v>
      </c>
      <c r="AO670" s="20">
        <f t="shared" si="32"/>
        <v>0</v>
      </c>
      <c r="AP670" s="20">
        <f>Table1[[#This Row],[balls scored]]+Table1[[#This Row],[auton balls scored]]</f>
        <v>0</v>
      </c>
      <c r="AQ670" s="20">
        <f>Table1[[#This Row],[balls scored high]]+Table1[[#This Row],[Auton Scored High]]</f>
        <v>0</v>
      </c>
      <c r="AR670" s="20">
        <f>Table1[[#This Row],[balls scored low]]+Table1[[#This Row],[Auton Scored Low]]</f>
        <v>0</v>
      </c>
      <c r="AS670" s="50">
        <f>IF(Table1[[#This Row],[Control Panel Spun Time]]&gt;0,1,0)</f>
        <v>0</v>
      </c>
      <c r="AT670" s="20">
        <f>IF(Table1[[#This Row],[Control Panel Color Time]]&gt;0,1,0)</f>
        <v>0</v>
      </c>
    </row>
    <row r="671" spans="1:46" s="2" customFormat="1" x14ac:dyDescent="0.25">
      <c r="A671"/>
      <c r="B671"/>
      <c r="C671"/>
      <c r="D671"/>
      <c r="E671"/>
      <c r="F671"/>
      <c r="G671"/>
      <c r="H671"/>
      <c r="I671" s="8">
        <f>+Table1[[#This Row],[Auton ball picked up in our trench]]+Table1[[#This Row],[Auton Balls Picked Up in Mid]]+Table1[[#This Row],[Auton Balls Picked Up In Their Trench]]</f>
        <v>0</v>
      </c>
      <c r="J671" s="8">
        <f>+Table1[[#This Row],[Auton Scored High]]+Table1[[#This Row],[Auton Scored Low]]</f>
        <v>0</v>
      </c>
      <c r="K67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71"/>
      <c r="M671"/>
      <c r="N671"/>
      <c r="O671"/>
      <c r="P671"/>
      <c r="Q671"/>
      <c r="R671"/>
      <c r="S671"/>
      <c r="T671"/>
      <c r="U671"/>
      <c r="V671" s="8">
        <f>Table1[[#This Row],[Balls Scored From Trench]]+Table1[[#This Row],[Balls Scored from Mid]]+Table1[[#This Row],[Balls Scored From Alliance zone]]</f>
        <v>0</v>
      </c>
      <c r="W671" s="8">
        <f>Table1[[#This Row],[balls scored high]]+Table1[[#This Row],[balls scored low]]</f>
        <v>0</v>
      </c>
      <c r="X671" s="8">
        <f>Table1[[#This Row],[Control Panel Spun Time]]+Table1[[#This Row],[Control Panel Color Time]]</f>
        <v>0</v>
      </c>
      <c r="Y671" s="8">
        <f>Table1[[#This Row],[Control Panels Spun]]+Table1[[#This Row],[Control Panel Color]]</f>
        <v>0</v>
      </c>
      <c r="Z67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71"/>
      <c r="AB671"/>
      <c r="AC671"/>
      <c r="AD671"/>
      <c r="AE671"/>
      <c r="AF671"/>
      <c r="AG671"/>
      <c r="AH671"/>
      <c r="AI671"/>
      <c r="AJ671"/>
      <c r="AK671" s="17">
        <f>(Table1[[#This Row],[Climbed]]*weighting!$B$18)+(Table1[[#This Row],[Adjustable Climber]]*weighting!$B$19)+(Table1[[#This Row],[Lift other Robot]]*weighting!$B$20)+(Table1[[#This Row],[Balanced]]*weighting!$B$21)</f>
        <v>0</v>
      </c>
      <c r="AL671" s="8">
        <f>+Table1[[#This Row],[Endgame our score]]+Table1[[#This Row],[teleop our score]]+Table1[[#This Row],[auton our score]]</f>
        <v>0</v>
      </c>
      <c r="AM671" s="20">
        <f t="shared" si="30"/>
        <v>0</v>
      </c>
      <c r="AN671" s="20">
        <f t="shared" si="31"/>
        <v>0</v>
      </c>
      <c r="AO671" s="20">
        <f t="shared" si="32"/>
        <v>0</v>
      </c>
      <c r="AP671" s="20">
        <f>Table1[[#This Row],[balls scored]]+Table1[[#This Row],[auton balls scored]]</f>
        <v>0</v>
      </c>
      <c r="AQ671" s="20">
        <f>Table1[[#This Row],[balls scored high]]+Table1[[#This Row],[Auton Scored High]]</f>
        <v>0</v>
      </c>
      <c r="AR671" s="20">
        <f>Table1[[#This Row],[balls scored low]]+Table1[[#This Row],[Auton Scored Low]]</f>
        <v>0</v>
      </c>
      <c r="AS671" s="50">
        <f>IF(Table1[[#This Row],[Control Panel Spun Time]]&gt;0,1,0)</f>
        <v>0</v>
      </c>
      <c r="AT671" s="20">
        <f>IF(Table1[[#This Row],[Control Panel Color Time]]&gt;0,1,0)</f>
        <v>0</v>
      </c>
    </row>
    <row r="672" spans="1:46" x14ac:dyDescent="0.25">
      <c r="A672"/>
      <c r="I672" s="8">
        <f>+Table1[[#This Row],[Auton ball picked up in our trench]]+Table1[[#This Row],[Auton Balls Picked Up in Mid]]+Table1[[#This Row],[Auton Balls Picked Up In Their Trench]]</f>
        <v>0</v>
      </c>
      <c r="J672" s="8">
        <f>+Table1[[#This Row],[Auton Scored High]]+Table1[[#This Row],[Auton Scored Low]]</f>
        <v>0</v>
      </c>
      <c r="K67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72" s="8">
        <f>Table1[[#This Row],[Balls Scored From Trench]]+Table1[[#This Row],[Balls Scored from Mid]]+Table1[[#This Row],[Balls Scored From Alliance zone]]</f>
        <v>0</v>
      </c>
      <c r="W672" s="8">
        <f>Table1[[#This Row],[balls scored high]]+Table1[[#This Row],[balls scored low]]</f>
        <v>0</v>
      </c>
      <c r="X672" s="8">
        <f>Table1[[#This Row],[Control Panel Spun Time]]+Table1[[#This Row],[Control Panel Color Time]]</f>
        <v>0</v>
      </c>
      <c r="Y672" s="8">
        <f>Table1[[#This Row],[Control Panels Spun]]+Table1[[#This Row],[Control Panel Color]]</f>
        <v>0</v>
      </c>
      <c r="Z67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72" s="17">
        <f>(Table1[[#This Row],[Climbed]]*weighting!$B$18)+(Table1[[#This Row],[Adjustable Climber]]*weighting!$B$19)+(Table1[[#This Row],[Lift other Robot]]*weighting!$B$20)+(Table1[[#This Row],[Balanced]]*weighting!$B$21)</f>
        <v>0</v>
      </c>
      <c r="AL672" s="8">
        <f>+Table1[[#This Row],[Endgame our score]]+Table1[[#This Row],[teleop our score]]+Table1[[#This Row],[auton our score]]</f>
        <v>0</v>
      </c>
      <c r="AM672" s="20">
        <f t="shared" si="30"/>
        <v>0</v>
      </c>
      <c r="AN672" s="20">
        <f t="shared" si="31"/>
        <v>0</v>
      </c>
      <c r="AO672" s="20">
        <f t="shared" si="32"/>
        <v>0</v>
      </c>
      <c r="AP672" s="20">
        <f>Table1[[#This Row],[balls scored]]+Table1[[#This Row],[auton balls scored]]</f>
        <v>0</v>
      </c>
      <c r="AQ672" s="20">
        <f>Table1[[#This Row],[balls scored high]]+Table1[[#This Row],[Auton Scored High]]</f>
        <v>0</v>
      </c>
      <c r="AR672" s="20">
        <f>Table1[[#This Row],[balls scored low]]+Table1[[#This Row],[Auton Scored Low]]</f>
        <v>0</v>
      </c>
      <c r="AS672" s="50">
        <f>IF(Table1[[#This Row],[Control Panel Spun Time]]&gt;0,1,0)</f>
        <v>0</v>
      </c>
      <c r="AT672" s="20">
        <f>IF(Table1[[#This Row],[Control Panel Color Time]]&gt;0,1,0)</f>
        <v>0</v>
      </c>
    </row>
    <row r="673" spans="1:46" s="2" customFormat="1" x14ac:dyDescent="0.25">
      <c r="A673"/>
      <c r="B673"/>
      <c r="C673"/>
      <c r="D673"/>
      <c r="E673"/>
      <c r="F673"/>
      <c r="G673"/>
      <c r="H673"/>
      <c r="I673" s="8">
        <f>+Table1[[#This Row],[Auton ball picked up in our trench]]+Table1[[#This Row],[Auton Balls Picked Up in Mid]]+Table1[[#This Row],[Auton Balls Picked Up In Their Trench]]</f>
        <v>0</v>
      </c>
      <c r="J673" s="8">
        <f>+Table1[[#This Row],[Auton Scored High]]+Table1[[#This Row],[Auton Scored Low]]</f>
        <v>0</v>
      </c>
      <c r="K67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73"/>
      <c r="M673"/>
      <c r="N673"/>
      <c r="O673"/>
      <c r="P673"/>
      <c r="Q673"/>
      <c r="R673"/>
      <c r="S673"/>
      <c r="T673"/>
      <c r="U673"/>
      <c r="V673" s="8">
        <f>Table1[[#This Row],[Balls Scored From Trench]]+Table1[[#This Row],[Balls Scored from Mid]]+Table1[[#This Row],[Balls Scored From Alliance zone]]</f>
        <v>0</v>
      </c>
      <c r="W673" s="8">
        <f>Table1[[#This Row],[balls scored high]]+Table1[[#This Row],[balls scored low]]</f>
        <v>0</v>
      </c>
      <c r="X673" s="8">
        <f>Table1[[#This Row],[Control Panel Spun Time]]+Table1[[#This Row],[Control Panel Color Time]]</f>
        <v>0</v>
      </c>
      <c r="Y673" s="8">
        <f>Table1[[#This Row],[Control Panels Spun]]+Table1[[#This Row],[Control Panel Color]]</f>
        <v>0</v>
      </c>
      <c r="Z67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73"/>
      <c r="AB673"/>
      <c r="AC673"/>
      <c r="AD673"/>
      <c r="AE673"/>
      <c r="AF673"/>
      <c r="AG673"/>
      <c r="AH673"/>
      <c r="AI673"/>
      <c r="AJ673"/>
      <c r="AK673" s="17">
        <f>(Table1[[#This Row],[Climbed]]*weighting!$B$18)+(Table1[[#This Row],[Adjustable Climber]]*weighting!$B$19)+(Table1[[#This Row],[Lift other Robot]]*weighting!$B$20)+(Table1[[#This Row],[Balanced]]*weighting!$B$21)</f>
        <v>0</v>
      </c>
      <c r="AL673" s="8">
        <f>+Table1[[#This Row],[Endgame our score]]+Table1[[#This Row],[teleop our score]]+Table1[[#This Row],[auton our score]]</f>
        <v>0</v>
      </c>
      <c r="AM673" s="20">
        <f t="shared" si="30"/>
        <v>0</v>
      </c>
      <c r="AN673" s="20">
        <f t="shared" si="31"/>
        <v>0</v>
      </c>
      <c r="AO673" s="20">
        <f t="shared" si="32"/>
        <v>0</v>
      </c>
      <c r="AP673" s="20">
        <f>Table1[[#This Row],[balls scored]]+Table1[[#This Row],[auton balls scored]]</f>
        <v>0</v>
      </c>
      <c r="AQ673" s="20">
        <f>Table1[[#This Row],[balls scored high]]+Table1[[#This Row],[Auton Scored High]]</f>
        <v>0</v>
      </c>
      <c r="AR673" s="20">
        <f>Table1[[#This Row],[balls scored low]]+Table1[[#This Row],[Auton Scored Low]]</f>
        <v>0</v>
      </c>
      <c r="AS673" s="50">
        <f>IF(Table1[[#This Row],[Control Panel Spun Time]]&gt;0,1,0)</f>
        <v>0</v>
      </c>
      <c r="AT673" s="20">
        <f>IF(Table1[[#This Row],[Control Panel Color Time]]&gt;0,1,0)</f>
        <v>0</v>
      </c>
    </row>
    <row r="674" spans="1:46" x14ac:dyDescent="0.25">
      <c r="A674"/>
      <c r="I674" s="8">
        <f>+Table1[[#This Row],[Auton ball picked up in our trench]]+Table1[[#This Row],[Auton Balls Picked Up in Mid]]+Table1[[#This Row],[Auton Balls Picked Up In Their Trench]]</f>
        <v>0</v>
      </c>
      <c r="J674" s="8">
        <f>+Table1[[#This Row],[Auton Scored High]]+Table1[[#This Row],[Auton Scored Low]]</f>
        <v>0</v>
      </c>
      <c r="K67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74" s="8">
        <f>Table1[[#This Row],[Balls Scored From Trench]]+Table1[[#This Row],[Balls Scored from Mid]]+Table1[[#This Row],[Balls Scored From Alliance zone]]</f>
        <v>0</v>
      </c>
      <c r="W674" s="8">
        <f>Table1[[#This Row],[balls scored high]]+Table1[[#This Row],[balls scored low]]</f>
        <v>0</v>
      </c>
      <c r="X674" s="8">
        <f>Table1[[#This Row],[Control Panel Spun Time]]+Table1[[#This Row],[Control Panel Color Time]]</f>
        <v>0</v>
      </c>
      <c r="Y674" s="8">
        <f>Table1[[#This Row],[Control Panels Spun]]+Table1[[#This Row],[Control Panel Color]]</f>
        <v>0</v>
      </c>
      <c r="Z67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74" s="17">
        <f>(Table1[[#This Row],[Climbed]]*weighting!$B$18)+(Table1[[#This Row],[Adjustable Climber]]*weighting!$B$19)+(Table1[[#This Row],[Lift other Robot]]*weighting!$B$20)+(Table1[[#This Row],[Balanced]]*weighting!$B$21)</f>
        <v>0</v>
      </c>
      <c r="AL674" s="8">
        <f>+Table1[[#This Row],[Endgame our score]]+Table1[[#This Row],[teleop our score]]+Table1[[#This Row],[auton our score]]</f>
        <v>0</v>
      </c>
      <c r="AM674" s="20">
        <f t="shared" si="30"/>
        <v>0</v>
      </c>
      <c r="AN674" s="20">
        <f t="shared" si="31"/>
        <v>0</v>
      </c>
      <c r="AO674" s="20">
        <f t="shared" si="32"/>
        <v>0</v>
      </c>
      <c r="AP674" s="20">
        <f>Table1[[#This Row],[balls scored]]+Table1[[#This Row],[auton balls scored]]</f>
        <v>0</v>
      </c>
      <c r="AQ674" s="20">
        <f>Table1[[#This Row],[balls scored high]]+Table1[[#This Row],[Auton Scored High]]</f>
        <v>0</v>
      </c>
      <c r="AR674" s="20">
        <f>Table1[[#This Row],[balls scored low]]+Table1[[#This Row],[Auton Scored Low]]</f>
        <v>0</v>
      </c>
      <c r="AS674" s="50">
        <f>IF(Table1[[#This Row],[Control Panel Spun Time]]&gt;0,1,0)</f>
        <v>0</v>
      </c>
      <c r="AT674" s="20">
        <f>IF(Table1[[#This Row],[Control Panel Color Time]]&gt;0,1,0)</f>
        <v>0</v>
      </c>
    </row>
    <row r="675" spans="1:46" s="2" customFormat="1" x14ac:dyDescent="0.25">
      <c r="A675"/>
      <c r="B675"/>
      <c r="C675"/>
      <c r="D675"/>
      <c r="E675"/>
      <c r="F675"/>
      <c r="G675"/>
      <c r="H675"/>
      <c r="I675" s="8">
        <f>+Table1[[#This Row],[Auton ball picked up in our trench]]+Table1[[#This Row],[Auton Balls Picked Up in Mid]]+Table1[[#This Row],[Auton Balls Picked Up In Their Trench]]</f>
        <v>0</v>
      </c>
      <c r="J675" s="8">
        <f>+Table1[[#This Row],[Auton Scored High]]+Table1[[#This Row],[Auton Scored Low]]</f>
        <v>0</v>
      </c>
      <c r="K67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75"/>
      <c r="M675"/>
      <c r="N675"/>
      <c r="O675"/>
      <c r="P675"/>
      <c r="Q675"/>
      <c r="R675"/>
      <c r="S675"/>
      <c r="T675"/>
      <c r="U675"/>
      <c r="V675" s="8">
        <f>Table1[[#This Row],[Balls Scored From Trench]]+Table1[[#This Row],[Balls Scored from Mid]]+Table1[[#This Row],[Balls Scored From Alliance zone]]</f>
        <v>0</v>
      </c>
      <c r="W675" s="8">
        <f>Table1[[#This Row],[balls scored high]]+Table1[[#This Row],[balls scored low]]</f>
        <v>0</v>
      </c>
      <c r="X675" s="8">
        <f>Table1[[#This Row],[Control Panel Spun Time]]+Table1[[#This Row],[Control Panel Color Time]]</f>
        <v>0</v>
      </c>
      <c r="Y675" s="8">
        <f>Table1[[#This Row],[Control Panels Spun]]+Table1[[#This Row],[Control Panel Color]]</f>
        <v>0</v>
      </c>
      <c r="Z67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75"/>
      <c r="AB675"/>
      <c r="AC675"/>
      <c r="AD675"/>
      <c r="AE675"/>
      <c r="AF675"/>
      <c r="AG675"/>
      <c r="AH675"/>
      <c r="AI675"/>
      <c r="AJ675"/>
      <c r="AK675" s="17">
        <f>(Table1[[#This Row],[Climbed]]*weighting!$B$18)+(Table1[[#This Row],[Adjustable Climber]]*weighting!$B$19)+(Table1[[#This Row],[Lift other Robot]]*weighting!$B$20)+(Table1[[#This Row],[Balanced]]*weighting!$B$21)</f>
        <v>0</v>
      </c>
      <c r="AL675" s="8">
        <f>+Table1[[#This Row],[Endgame our score]]+Table1[[#This Row],[teleop our score]]+Table1[[#This Row],[auton our score]]</f>
        <v>0</v>
      </c>
      <c r="AM675" s="20">
        <f t="shared" si="30"/>
        <v>0</v>
      </c>
      <c r="AN675" s="20">
        <f t="shared" si="31"/>
        <v>0</v>
      </c>
      <c r="AO675" s="20">
        <f t="shared" si="32"/>
        <v>0</v>
      </c>
      <c r="AP675" s="20">
        <f>Table1[[#This Row],[balls scored]]+Table1[[#This Row],[auton balls scored]]</f>
        <v>0</v>
      </c>
      <c r="AQ675" s="20">
        <f>Table1[[#This Row],[balls scored high]]+Table1[[#This Row],[Auton Scored High]]</f>
        <v>0</v>
      </c>
      <c r="AR675" s="20">
        <f>Table1[[#This Row],[balls scored low]]+Table1[[#This Row],[Auton Scored Low]]</f>
        <v>0</v>
      </c>
      <c r="AS675" s="50">
        <f>IF(Table1[[#This Row],[Control Panel Spun Time]]&gt;0,1,0)</f>
        <v>0</v>
      </c>
      <c r="AT675" s="20">
        <f>IF(Table1[[#This Row],[Control Panel Color Time]]&gt;0,1,0)</f>
        <v>0</v>
      </c>
    </row>
    <row r="676" spans="1:46" x14ac:dyDescent="0.25">
      <c r="A676"/>
      <c r="I676" s="8">
        <f>+Table1[[#This Row],[Auton ball picked up in our trench]]+Table1[[#This Row],[Auton Balls Picked Up in Mid]]+Table1[[#This Row],[Auton Balls Picked Up In Their Trench]]</f>
        <v>0</v>
      </c>
      <c r="J676" s="8">
        <f>+Table1[[#This Row],[Auton Scored High]]+Table1[[#This Row],[Auton Scored Low]]</f>
        <v>0</v>
      </c>
      <c r="K67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76" s="8">
        <f>Table1[[#This Row],[Balls Scored From Trench]]+Table1[[#This Row],[Balls Scored from Mid]]+Table1[[#This Row],[Balls Scored From Alliance zone]]</f>
        <v>0</v>
      </c>
      <c r="W676" s="8">
        <f>Table1[[#This Row],[balls scored high]]+Table1[[#This Row],[balls scored low]]</f>
        <v>0</v>
      </c>
      <c r="X676" s="8">
        <f>Table1[[#This Row],[Control Panel Spun Time]]+Table1[[#This Row],[Control Panel Color Time]]</f>
        <v>0</v>
      </c>
      <c r="Y676" s="8">
        <f>Table1[[#This Row],[Control Panels Spun]]+Table1[[#This Row],[Control Panel Color]]</f>
        <v>0</v>
      </c>
      <c r="Z67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76" s="17">
        <f>(Table1[[#This Row],[Climbed]]*weighting!$B$18)+(Table1[[#This Row],[Adjustable Climber]]*weighting!$B$19)+(Table1[[#This Row],[Lift other Robot]]*weighting!$B$20)+(Table1[[#This Row],[Balanced]]*weighting!$B$21)</f>
        <v>0</v>
      </c>
      <c r="AL676" s="8">
        <f>+Table1[[#This Row],[Endgame our score]]+Table1[[#This Row],[teleop our score]]+Table1[[#This Row],[auton our score]]</f>
        <v>0</v>
      </c>
      <c r="AM676" s="20">
        <f t="shared" si="30"/>
        <v>0</v>
      </c>
      <c r="AN676" s="20">
        <f t="shared" si="31"/>
        <v>0</v>
      </c>
      <c r="AO676" s="20">
        <f t="shared" si="32"/>
        <v>0</v>
      </c>
      <c r="AP676" s="20">
        <f>Table1[[#This Row],[balls scored]]+Table1[[#This Row],[auton balls scored]]</f>
        <v>0</v>
      </c>
      <c r="AQ676" s="20">
        <f>Table1[[#This Row],[balls scored high]]+Table1[[#This Row],[Auton Scored High]]</f>
        <v>0</v>
      </c>
      <c r="AR676" s="20">
        <f>Table1[[#This Row],[balls scored low]]+Table1[[#This Row],[Auton Scored Low]]</f>
        <v>0</v>
      </c>
      <c r="AS676" s="50">
        <f>IF(Table1[[#This Row],[Control Panel Spun Time]]&gt;0,1,0)</f>
        <v>0</v>
      </c>
      <c r="AT676" s="20">
        <f>IF(Table1[[#This Row],[Control Panel Color Time]]&gt;0,1,0)</f>
        <v>0</v>
      </c>
    </row>
    <row r="677" spans="1:46" s="2" customFormat="1" x14ac:dyDescent="0.25">
      <c r="A677"/>
      <c r="B677"/>
      <c r="C677"/>
      <c r="D677"/>
      <c r="E677"/>
      <c r="F677"/>
      <c r="G677"/>
      <c r="H677"/>
      <c r="I677" s="8">
        <f>+Table1[[#This Row],[Auton ball picked up in our trench]]+Table1[[#This Row],[Auton Balls Picked Up in Mid]]+Table1[[#This Row],[Auton Balls Picked Up In Their Trench]]</f>
        <v>0</v>
      </c>
      <c r="J677" s="8">
        <f>+Table1[[#This Row],[Auton Scored High]]+Table1[[#This Row],[Auton Scored Low]]</f>
        <v>0</v>
      </c>
      <c r="K67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77"/>
      <c r="M677"/>
      <c r="N677"/>
      <c r="O677"/>
      <c r="P677"/>
      <c r="Q677"/>
      <c r="R677"/>
      <c r="S677"/>
      <c r="T677"/>
      <c r="U677"/>
      <c r="V677" s="8">
        <f>Table1[[#This Row],[Balls Scored From Trench]]+Table1[[#This Row],[Balls Scored from Mid]]+Table1[[#This Row],[Balls Scored From Alliance zone]]</f>
        <v>0</v>
      </c>
      <c r="W677" s="8">
        <f>Table1[[#This Row],[balls scored high]]+Table1[[#This Row],[balls scored low]]</f>
        <v>0</v>
      </c>
      <c r="X677" s="8">
        <f>Table1[[#This Row],[Control Panel Spun Time]]+Table1[[#This Row],[Control Panel Color Time]]</f>
        <v>0</v>
      </c>
      <c r="Y677" s="8">
        <f>Table1[[#This Row],[Control Panels Spun]]+Table1[[#This Row],[Control Panel Color]]</f>
        <v>0</v>
      </c>
      <c r="Z67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77"/>
      <c r="AB677"/>
      <c r="AC677"/>
      <c r="AD677"/>
      <c r="AE677"/>
      <c r="AF677"/>
      <c r="AG677"/>
      <c r="AH677"/>
      <c r="AI677"/>
      <c r="AJ677"/>
      <c r="AK677" s="17">
        <f>(Table1[[#This Row],[Climbed]]*weighting!$B$18)+(Table1[[#This Row],[Adjustable Climber]]*weighting!$B$19)+(Table1[[#This Row],[Lift other Robot]]*weighting!$B$20)+(Table1[[#This Row],[Balanced]]*weighting!$B$21)</f>
        <v>0</v>
      </c>
      <c r="AL677" s="8">
        <f>+Table1[[#This Row],[Endgame our score]]+Table1[[#This Row],[teleop our score]]+Table1[[#This Row],[auton our score]]</f>
        <v>0</v>
      </c>
      <c r="AM677" s="20">
        <f t="shared" si="30"/>
        <v>0</v>
      </c>
      <c r="AN677" s="20">
        <f t="shared" si="31"/>
        <v>0</v>
      </c>
      <c r="AO677" s="20">
        <f t="shared" si="32"/>
        <v>0</v>
      </c>
      <c r="AP677" s="20">
        <f>Table1[[#This Row],[balls scored]]+Table1[[#This Row],[auton balls scored]]</f>
        <v>0</v>
      </c>
      <c r="AQ677" s="20">
        <f>Table1[[#This Row],[balls scored high]]+Table1[[#This Row],[Auton Scored High]]</f>
        <v>0</v>
      </c>
      <c r="AR677" s="20">
        <f>Table1[[#This Row],[balls scored low]]+Table1[[#This Row],[Auton Scored Low]]</f>
        <v>0</v>
      </c>
      <c r="AS677" s="50">
        <f>IF(Table1[[#This Row],[Control Panel Spun Time]]&gt;0,1,0)</f>
        <v>0</v>
      </c>
      <c r="AT677" s="20">
        <f>IF(Table1[[#This Row],[Control Panel Color Time]]&gt;0,1,0)</f>
        <v>0</v>
      </c>
    </row>
    <row r="678" spans="1:46" x14ac:dyDescent="0.25">
      <c r="A678"/>
      <c r="I678" s="8">
        <f>+Table1[[#This Row],[Auton ball picked up in our trench]]+Table1[[#This Row],[Auton Balls Picked Up in Mid]]+Table1[[#This Row],[Auton Balls Picked Up In Their Trench]]</f>
        <v>0</v>
      </c>
      <c r="J678" s="8">
        <f>+Table1[[#This Row],[Auton Scored High]]+Table1[[#This Row],[Auton Scored Low]]</f>
        <v>0</v>
      </c>
      <c r="K67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78" s="8">
        <f>Table1[[#This Row],[Balls Scored From Trench]]+Table1[[#This Row],[Balls Scored from Mid]]+Table1[[#This Row],[Balls Scored From Alliance zone]]</f>
        <v>0</v>
      </c>
      <c r="W678" s="8">
        <f>Table1[[#This Row],[balls scored high]]+Table1[[#This Row],[balls scored low]]</f>
        <v>0</v>
      </c>
      <c r="X678" s="8">
        <f>Table1[[#This Row],[Control Panel Spun Time]]+Table1[[#This Row],[Control Panel Color Time]]</f>
        <v>0</v>
      </c>
      <c r="Y678" s="8">
        <f>Table1[[#This Row],[Control Panels Spun]]+Table1[[#This Row],[Control Panel Color]]</f>
        <v>0</v>
      </c>
      <c r="Z67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78" s="17">
        <f>(Table1[[#This Row],[Climbed]]*weighting!$B$18)+(Table1[[#This Row],[Adjustable Climber]]*weighting!$B$19)+(Table1[[#This Row],[Lift other Robot]]*weighting!$B$20)+(Table1[[#This Row],[Balanced]]*weighting!$B$21)</f>
        <v>0</v>
      </c>
      <c r="AL678" s="8">
        <f>+Table1[[#This Row],[Endgame our score]]+Table1[[#This Row],[teleop our score]]+Table1[[#This Row],[auton our score]]</f>
        <v>0</v>
      </c>
      <c r="AM678" s="20">
        <f t="shared" si="30"/>
        <v>0</v>
      </c>
      <c r="AN678" s="20">
        <f t="shared" si="31"/>
        <v>0</v>
      </c>
      <c r="AO678" s="20">
        <f t="shared" si="32"/>
        <v>0</v>
      </c>
      <c r="AP678" s="20">
        <f>Table1[[#This Row],[balls scored]]+Table1[[#This Row],[auton balls scored]]</f>
        <v>0</v>
      </c>
      <c r="AQ678" s="20">
        <f>Table1[[#This Row],[balls scored high]]+Table1[[#This Row],[Auton Scored High]]</f>
        <v>0</v>
      </c>
      <c r="AR678" s="20">
        <f>Table1[[#This Row],[balls scored low]]+Table1[[#This Row],[Auton Scored Low]]</f>
        <v>0</v>
      </c>
      <c r="AS678" s="50">
        <f>IF(Table1[[#This Row],[Control Panel Spun Time]]&gt;0,1,0)</f>
        <v>0</v>
      </c>
      <c r="AT678" s="20">
        <f>IF(Table1[[#This Row],[Control Panel Color Time]]&gt;0,1,0)</f>
        <v>0</v>
      </c>
    </row>
    <row r="679" spans="1:46" s="2" customFormat="1" x14ac:dyDescent="0.25">
      <c r="A679"/>
      <c r="B679"/>
      <c r="C679"/>
      <c r="D679"/>
      <c r="E679"/>
      <c r="F679"/>
      <c r="G679"/>
      <c r="H679"/>
      <c r="I679" s="8">
        <f>+Table1[[#This Row],[Auton ball picked up in our trench]]+Table1[[#This Row],[Auton Balls Picked Up in Mid]]+Table1[[#This Row],[Auton Balls Picked Up In Their Trench]]</f>
        <v>0</v>
      </c>
      <c r="J679" s="8">
        <f>+Table1[[#This Row],[Auton Scored High]]+Table1[[#This Row],[Auton Scored Low]]</f>
        <v>0</v>
      </c>
      <c r="K67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79"/>
      <c r="M679"/>
      <c r="N679"/>
      <c r="O679"/>
      <c r="P679"/>
      <c r="Q679"/>
      <c r="R679"/>
      <c r="S679"/>
      <c r="T679"/>
      <c r="U679"/>
      <c r="V679" s="8">
        <f>Table1[[#This Row],[Balls Scored From Trench]]+Table1[[#This Row],[Balls Scored from Mid]]+Table1[[#This Row],[Balls Scored From Alliance zone]]</f>
        <v>0</v>
      </c>
      <c r="W679" s="8">
        <f>Table1[[#This Row],[balls scored high]]+Table1[[#This Row],[balls scored low]]</f>
        <v>0</v>
      </c>
      <c r="X679" s="8">
        <f>Table1[[#This Row],[Control Panel Spun Time]]+Table1[[#This Row],[Control Panel Color Time]]</f>
        <v>0</v>
      </c>
      <c r="Y679" s="8">
        <f>Table1[[#This Row],[Control Panels Spun]]+Table1[[#This Row],[Control Panel Color]]</f>
        <v>0</v>
      </c>
      <c r="Z67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79"/>
      <c r="AB679"/>
      <c r="AC679"/>
      <c r="AD679"/>
      <c r="AE679"/>
      <c r="AF679"/>
      <c r="AG679"/>
      <c r="AH679"/>
      <c r="AI679"/>
      <c r="AJ679"/>
      <c r="AK679" s="17">
        <f>(Table1[[#This Row],[Climbed]]*weighting!$B$18)+(Table1[[#This Row],[Adjustable Climber]]*weighting!$B$19)+(Table1[[#This Row],[Lift other Robot]]*weighting!$B$20)+(Table1[[#This Row],[Balanced]]*weighting!$B$21)</f>
        <v>0</v>
      </c>
      <c r="AL679" s="8">
        <f>+Table1[[#This Row],[Endgame our score]]+Table1[[#This Row],[teleop our score]]+Table1[[#This Row],[auton our score]]</f>
        <v>0</v>
      </c>
      <c r="AM679" s="20">
        <f t="shared" si="30"/>
        <v>0</v>
      </c>
      <c r="AN679" s="20">
        <f t="shared" si="31"/>
        <v>0</v>
      </c>
      <c r="AO679" s="20">
        <f t="shared" si="32"/>
        <v>0</v>
      </c>
      <c r="AP679" s="20">
        <f>Table1[[#This Row],[balls scored]]+Table1[[#This Row],[auton balls scored]]</f>
        <v>0</v>
      </c>
      <c r="AQ679" s="20">
        <f>Table1[[#This Row],[balls scored high]]+Table1[[#This Row],[Auton Scored High]]</f>
        <v>0</v>
      </c>
      <c r="AR679" s="20">
        <f>Table1[[#This Row],[balls scored low]]+Table1[[#This Row],[Auton Scored Low]]</f>
        <v>0</v>
      </c>
      <c r="AS679" s="50">
        <f>IF(Table1[[#This Row],[Control Panel Spun Time]]&gt;0,1,0)</f>
        <v>0</v>
      </c>
      <c r="AT679" s="20">
        <f>IF(Table1[[#This Row],[Control Panel Color Time]]&gt;0,1,0)</f>
        <v>0</v>
      </c>
    </row>
    <row r="680" spans="1:46" x14ac:dyDescent="0.25">
      <c r="A680"/>
      <c r="I680" s="8">
        <f>+Table1[[#This Row],[Auton ball picked up in our trench]]+Table1[[#This Row],[Auton Balls Picked Up in Mid]]+Table1[[#This Row],[Auton Balls Picked Up In Their Trench]]</f>
        <v>0</v>
      </c>
      <c r="J680" s="8">
        <f>+Table1[[#This Row],[Auton Scored High]]+Table1[[#This Row],[Auton Scored Low]]</f>
        <v>0</v>
      </c>
      <c r="K68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80" s="8">
        <f>Table1[[#This Row],[Balls Scored From Trench]]+Table1[[#This Row],[Balls Scored from Mid]]+Table1[[#This Row],[Balls Scored From Alliance zone]]</f>
        <v>0</v>
      </c>
      <c r="W680" s="8">
        <f>Table1[[#This Row],[balls scored high]]+Table1[[#This Row],[balls scored low]]</f>
        <v>0</v>
      </c>
      <c r="X680" s="8">
        <f>Table1[[#This Row],[Control Panel Spun Time]]+Table1[[#This Row],[Control Panel Color Time]]</f>
        <v>0</v>
      </c>
      <c r="Y680" s="8">
        <f>Table1[[#This Row],[Control Panels Spun]]+Table1[[#This Row],[Control Panel Color]]</f>
        <v>0</v>
      </c>
      <c r="Z68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80" s="17">
        <f>(Table1[[#This Row],[Climbed]]*weighting!$B$18)+(Table1[[#This Row],[Adjustable Climber]]*weighting!$B$19)+(Table1[[#This Row],[Lift other Robot]]*weighting!$B$20)+(Table1[[#This Row],[Balanced]]*weighting!$B$21)</f>
        <v>0</v>
      </c>
      <c r="AL680" s="8">
        <f>+Table1[[#This Row],[Endgame our score]]+Table1[[#This Row],[teleop our score]]+Table1[[#This Row],[auton our score]]</f>
        <v>0</v>
      </c>
      <c r="AM680" s="20">
        <f t="shared" si="30"/>
        <v>0</v>
      </c>
      <c r="AN680" s="20">
        <f t="shared" si="31"/>
        <v>0</v>
      </c>
      <c r="AO680" s="20">
        <f t="shared" si="32"/>
        <v>0</v>
      </c>
      <c r="AP680" s="20">
        <f>Table1[[#This Row],[balls scored]]+Table1[[#This Row],[auton balls scored]]</f>
        <v>0</v>
      </c>
      <c r="AQ680" s="20">
        <f>Table1[[#This Row],[balls scored high]]+Table1[[#This Row],[Auton Scored High]]</f>
        <v>0</v>
      </c>
      <c r="AR680" s="20">
        <f>Table1[[#This Row],[balls scored low]]+Table1[[#This Row],[Auton Scored Low]]</f>
        <v>0</v>
      </c>
      <c r="AS680" s="50">
        <f>IF(Table1[[#This Row],[Control Panel Spun Time]]&gt;0,1,0)</f>
        <v>0</v>
      </c>
      <c r="AT680" s="20">
        <f>IF(Table1[[#This Row],[Control Panel Color Time]]&gt;0,1,0)</f>
        <v>0</v>
      </c>
    </row>
    <row r="681" spans="1:46" s="2" customFormat="1" x14ac:dyDescent="0.25">
      <c r="A681"/>
      <c r="B681"/>
      <c r="C681"/>
      <c r="D681"/>
      <c r="E681"/>
      <c r="F681"/>
      <c r="G681"/>
      <c r="H681"/>
      <c r="I681" s="8">
        <f>+Table1[[#This Row],[Auton ball picked up in our trench]]+Table1[[#This Row],[Auton Balls Picked Up in Mid]]+Table1[[#This Row],[Auton Balls Picked Up In Their Trench]]</f>
        <v>0</v>
      </c>
      <c r="J681" s="8">
        <f>+Table1[[#This Row],[Auton Scored High]]+Table1[[#This Row],[Auton Scored Low]]</f>
        <v>0</v>
      </c>
      <c r="K68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81"/>
      <c r="M681"/>
      <c r="N681"/>
      <c r="O681"/>
      <c r="P681"/>
      <c r="Q681"/>
      <c r="R681"/>
      <c r="S681"/>
      <c r="T681"/>
      <c r="U681"/>
      <c r="V681" s="8">
        <f>Table1[[#This Row],[Balls Scored From Trench]]+Table1[[#This Row],[Balls Scored from Mid]]+Table1[[#This Row],[Balls Scored From Alliance zone]]</f>
        <v>0</v>
      </c>
      <c r="W681" s="8">
        <f>Table1[[#This Row],[balls scored high]]+Table1[[#This Row],[balls scored low]]</f>
        <v>0</v>
      </c>
      <c r="X681" s="8">
        <f>Table1[[#This Row],[Control Panel Spun Time]]+Table1[[#This Row],[Control Panel Color Time]]</f>
        <v>0</v>
      </c>
      <c r="Y681" s="8">
        <f>Table1[[#This Row],[Control Panels Spun]]+Table1[[#This Row],[Control Panel Color]]</f>
        <v>0</v>
      </c>
      <c r="Z68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81"/>
      <c r="AB681"/>
      <c r="AC681"/>
      <c r="AD681"/>
      <c r="AE681"/>
      <c r="AF681"/>
      <c r="AG681"/>
      <c r="AH681"/>
      <c r="AI681"/>
      <c r="AJ681"/>
      <c r="AK681" s="17">
        <f>(Table1[[#This Row],[Climbed]]*weighting!$B$18)+(Table1[[#This Row],[Adjustable Climber]]*weighting!$B$19)+(Table1[[#This Row],[Lift other Robot]]*weighting!$B$20)+(Table1[[#This Row],[Balanced]]*weighting!$B$21)</f>
        <v>0</v>
      </c>
      <c r="AL681" s="8">
        <f>+Table1[[#This Row],[Endgame our score]]+Table1[[#This Row],[teleop our score]]+Table1[[#This Row],[auton our score]]</f>
        <v>0</v>
      </c>
      <c r="AM681" s="20">
        <f t="shared" si="30"/>
        <v>0</v>
      </c>
      <c r="AN681" s="20">
        <f t="shared" si="31"/>
        <v>0</v>
      </c>
      <c r="AO681" s="20">
        <f t="shared" si="32"/>
        <v>0</v>
      </c>
      <c r="AP681" s="20">
        <f>Table1[[#This Row],[balls scored]]+Table1[[#This Row],[auton balls scored]]</f>
        <v>0</v>
      </c>
      <c r="AQ681" s="20">
        <f>Table1[[#This Row],[balls scored high]]+Table1[[#This Row],[Auton Scored High]]</f>
        <v>0</v>
      </c>
      <c r="AR681" s="20">
        <f>Table1[[#This Row],[balls scored low]]+Table1[[#This Row],[Auton Scored Low]]</f>
        <v>0</v>
      </c>
      <c r="AS681" s="50">
        <f>IF(Table1[[#This Row],[Control Panel Spun Time]]&gt;0,1,0)</f>
        <v>0</v>
      </c>
      <c r="AT681" s="20">
        <f>IF(Table1[[#This Row],[Control Panel Color Time]]&gt;0,1,0)</f>
        <v>0</v>
      </c>
    </row>
    <row r="682" spans="1:46" x14ac:dyDescent="0.25">
      <c r="A682"/>
      <c r="I682" s="8">
        <f>+Table1[[#This Row],[Auton ball picked up in our trench]]+Table1[[#This Row],[Auton Balls Picked Up in Mid]]+Table1[[#This Row],[Auton Balls Picked Up In Their Trench]]</f>
        <v>0</v>
      </c>
      <c r="J682" s="8">
        <f>+Table1[[#This Row],[Auton Scored High]]+Table1[[#This Row],[Auton Scored Low]]</f>
        <v>0</v>
      </c>
      <c r="K68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82" s="8">
        <f>Table1[[#This Row],[Balls Scored From Trench]]+Table1[[#This Row],[Balls Scored from Mid]]+Table1[[#This Row],[Balls Scored From Alliance zone]]</f>
        <v>0</v>
      </c>
      <c r="W682" s="8">
        <f>Table1[[#This Row],[balls scored high]]+Table1[[#This Row],[balls scored low]]</f>
        <v>0</v>
      </c>
      <c r="X682" s="8">
        <f>Table1[[#This Row],[Control Panel Spun Time]]+Table1[[#This Row],[Control Panel Color Time]]</f>
        <v>0</v>
      </c>
      <c r="Y682" s="8">
        <f>Table1[[#This Row],[Control Panels Spun]]+Table1[[#This Row],[Control Panel Color]]</f>
        <v>0</v>
      </c>
      <c r="Z68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82" s="17">
        <f>(Table1[[#This Row],[Climbed]]*weighting!$B$18)+(Table1[[#This Row],[Adjustable Climber]]*weighting!$B$19)+(Table1[[#This Row],[Lift other Robot]]*weighting!$B$20)+(Table1[[#This Row],[Balanced]]*weighting!$B$21)</f>
        <v>0</v>
      </c>
      <c r="AL682" s="8">
        <f>+Table1[[#This Row],[Endgame our score]]+Table1[[#This Row],[teleop our score]]+Table1[[#This Row],[auton our score]]</f>
        <v>0</v>
      </c>
      <c r="AM682" s="20">
        <f t="shared" si="30"/>
        <v>0</v>
      </c>
      <c r="AN682" s="20">
        <f t="shared" si="31"/>
        <v>0</v>
      </c>
      <c r="AO682" s="20">
        <f t="shared" si="32"/>
        <v>0</v>
      </c>
      <c r="AP682" s="20">
        <f>Table1[[#This Row],[balls scored]]+Table1[[#This Row],[auton balls scored]]</f>
        <v>0</v>
      </c>
      <c r="AQ682" s="20">
        <f>Table1[[#This Row],[balls scored high]]+Table1[[#This Row],[Auton Scored High]]</f>
        <v>0</v>
      </c>
      <c r="AR682" s="20">
        <f>Table1[[#This Row],[balls scored low]]+Table1[[#This Row],[Auton Scored Low]]</f>
        <v>0</v>
      </c>
      <c r="AS682" s="50">
        <f>IF(Table1[[#This Row],[Control Panel Spun Time]]&gt;0,1,0)</f>
        <v>0</v>
      </c>
      <c r="AT682" s="20">
        <f>IF(Table1[[#This Row],[Control Panel Color Time]]&gt;0,1,0)</f>
        <v>0</v>
      </c>
    </row>
    <row r="683" spans="1:46" s="2" customFormat="1" x14ac:dyDescent="0.25">
      <c r="A683"/>
      <c r="B683"/>
      <c r="C683"/>
      <c r="D683"/>
      <c r="E683"/>
      <c r="F683"/>
      <c r="G683"/>
      <c r="H683"/>
      <c r="I683" s="8">
        <f>+Table1[[#This Row],[Auton ball picked up in our trench]]+Table1[[#This Row],[Auton Balls Picked Up in Mid]]+Table1[[#This Row],[Auton Balls Picked Up In Their Trench]]</f>
        <v>0</v>
      </c>
      <c r="J683" s="8">
        <f>+Table1[[#This Row],[Auton Scored High]]+Table1[[#This Row],[Auton Scored Low]]</f>
        <v>0</v>
      </c>
      <c r="K68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83"/>
      <c r="M683"/>
      <c r="N683"/>
      <c r="O683"/>
      <c r="P683"/>
      <c r="Q683"/>
      <c r="R683"/>
      <c r="S683"/>
      <c r="T683"/>
      <c r="U683"/>
      <c r="V683" s="8">
        <f>Table1[[#This Row],[Balls Scored From Trench]]+Table1[[#This Row],[Balls Scored from Mid]]+Table1[[#This Row],[Balls Scored From Alliance zone]]</f>
        <v>0</v>
      </c>
      <c r="W683" s="8">
        <f>Table1[[#This Row],[balls scored high]]+Table1[[#This Row],[balls scored low]]</f>
        <v>0</v>
      </c>
      <c r="X683" s="8">
        <f>Table1[[#This Row],[Control Panel Spun Time]]+Table1[[#This Row],[Control Panel Color Time]]</f>
        <v>0</v>
      </c>
      <c r="Y683" s="8">
        <f>Table1[[#This Row],[Control Panels Spun]]+Table1[[#This Row],[Control Panel Color]]</f>
        <v>0</v>
      </c>
      <c r="Z68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83"/>
      <c r="AB683"/>
      <c r="AC683"/>
      <c r="AD683"/>
      <c r="AE683"/>
      <c r="AF683"/>
      <c r="AG683"/>
      <c r="AH683"/>
      <c r="AI683"/>
      <c r="AJ683"/>
      <c r="AK683" s="17">
        <f>(Table1[[#This Row],[Climbed]]*weighting!$B$18)+(Table1[[#This Row],[Adjustable Climber]]*weighting!$B$19)+(Table1[[#This Row],[Lift other Robot]]*weighting!$B$20)+(Table1[[#This Row],[Balanced]]*weighting!$B$21)</f>
        <v>0</v>
      </c>
      <c r="AL683" s="8">
        <f>+Table1[[#This Row],[Endgame our score]]+Table1[[#This Row],[teleop our score]]+Table1[[#This Row],[auton our score]]</f>
        <v>0</v>
      </c>
      <c r="AM683" s="20">
        <f t="shared" si="30"/>
        <v>0</v>
      </c>
      <c r="AN683" s="20">
        <f t="shared" si="31"/>
        <v>0</v>
      </c>
      <c r="AO683" s="20">
        <f t="shared" si="32"/>
        <v>0</v>
      </c>
      <c r="AP683" s="20">
        <f>Table1[[#This Row],[balls scored]]+Table1[[#This Row],[auton balls scored]]</f>
        <v>0</v>
      </c>
      <c r="AQ683" s="20">
        <f>Table1[[#This Row],[balls scored high]]+Table1[[#This Row],[Auton Scored High]]</f>
        <v>0</v>
      </c>
      <c r="AR683" s="20">
        <f>Table1[[#This Row],[balls scored low]]+Table1[[#This Row],[Auton Scored Low]]</f>
        <v>0</v>
      </c>
      <c r="AS683" s="50">
        <f>IF(Table1[[#This Row],[Control Panel Spun Time]]&gt;0,1,0)</f>
        <v>0</v>
      </c>
      <c r="AT683" s="20">
        <f>IF(Table1[[#This Row],[Control Panel Color Time]]&gt;0,1,0)</f>
        <v>0</v>
      </c>
    </row>
    <row r="684" spans="1:46" x14ac:dyDescent="0.25">
      <c r="A684"/>
      <c r="I684" s="8">
        <f>+Table1[[#This Row],[Auton ball picked up in our trench]]+Table1[[#This Row],[Auton Balls Picked Up in Mid]]+Table1[[#This Row],[Auton Balls Picked Up In Their Trench]]</f>
        <v>0</v>
      </c>
      <c r="J684" s="8">
        <f>+Table1[[#This Row],[Auton Scored High]]+Table1[[#This Row],[Auton Scored Low]]</f>
        <v>0</v>
      </c>
      <c r="K68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84" s="8">
        <f>Table1[[#This Row],[Balls Scored From Trench]]+Table1[[#This Row],[Balls Scored from Mid]]+Table1[[#This Row],[Balls Scored From Alliance zone]]</f>
        <v>0</v>
      </c>
      <c r="W684" s="8">
        <f>Table1[[#This Row],[balls scored high]]+Table1[[#This Row],[balls scored low]]</f>
        <v>0</v>
      </c>
      <c r="X684" s="8">
        <f>Table1[[#This Row],[Control Panel Spun Time]]+Table1[[#This Row],[Control Panel Color Time]]</f>
        <v>0</v>
      </c>
      <c r="Y684" s="8">
        <f>Table1[[#This Row],[Control Panels Spun]]+Table1[[#This Row],[Control Panel Color]]</f>
        <v>0</v>
      </c>
      <c r="Z68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84" s="17">
        <f>(Table1[[#This Row],[Climbed]]*weighting!$B$18)+(Table1[[#This Row],[Adjustable Climber]]*weighting!$B$19)+(Table1[[#This Row],[Lift other Robot]]*weighting!$B$20)+(Table1[[#This Row],[Balanced]]*weighting!$B$21)</f>
        <v>0</v>
      </c>
      <c r="AL684" s="8">
        <f>+Table1[[#This Row],[Endgame our score]]+Table1[[#This Row],[teleop our score]]+Table1[[#This Row],[auton our score]]</f>
        <v>0</v>
      </c>
      <c r="AM684" s="20">
        <f t="shared" si="30"/>
        <v>0</v>
      </c>
      <c r="AN684" s="20">
        <f t="shared" si="31"/>
        <v>0</v>
      </c>
      <c r="AO684" s="20">
        <f t="shared" si="32"/>
        <v>0</v>
      </c>
      <c r="AP684" s="20">
        <f>Table1[[#This Row],[balls scored]]+Table1[[#This Row],[auton balls scored]]</f>
        <v>0</v>
      </c>
      <c r="AQ684" s="20">
        <f>Table1[[#This Row],[balls scored high]]+Table1[[#This Row],[Auton Scored High]]</f>
        <v>0</v>
      </c>
      <c r="AR684" s="20">
        <f>Table1[[#This Row],[balls scored low]]+Table1[[#This Row],[Auton Scored Low]]</f>
        <v>0</v>
      </c>
      <c r="AS684" s="50">
        <f>IF(Table1[[#This Row],[Control Panel Spun Time]]&gt;0,1,0)</f>
        <v>0</v>
      </c>
      <c r="AT684" s="20">
        <f>IF(Table1[[#This Row],[Control Panel Color Time]]&gt;0,1,0)</f>
        <v>0</v>
      </c>
    </row>
    <row r="685" spans="1:46" s="2" customFormat="1" x14ac:dyDescent="0.25">
      <c r="A685"/>
      <c r="B685"/>
      <c r="C685"/>
      <c r="D685"/>
      <c r="E685"/>
      <c r="F685"/>
      <c r="G685"/>
      <c r="H685"/>
      <c r="I685" s="8">
        <f>+Table1[[#This Row],[Auton ball picked up in our trench]]+Table1[[#This Row],[Auton Balls Picked Up in Mid]]+Table1[[#This Row],[Auton Balls Picked Up In Their Trench]]</f>
        <v>0</v>
      </c>
      <c r="J685" s="8">
        <f>+Table1[[#This Row],[Auton Scored High]]+Table1[[#This Row],[Auton Scored Low]]</f>
        <v>0</v>
      </c>
      <c r="K68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85"/>
      <c r="M685"/>
      <c r="N685"/>
      <c r="O685"/>
      <c r="P685"/>
      <c r="Q685"/>
      <c r="R685"/>
      <c r="S685"/>
      <c r="T685"/>
      <c r="U685"/>
      <c r="V685" s="8">
        <f>Table1[[#This Row],[Balls Scored From Trench]]+Table1[[#This Row],[Balls Scored from Mid]]+Table1[[#This Row],[Balls Scored From Alliance zone]]</f>
        <v>0</v>
      </c>
      <c r="W685" s="8">
        <f>Table1[[#This Row],[balls scored high]]+Table1[[#This Row],[balls scored low]]</f>
        <v>0</v>
      </c>
      <c r="X685" s="8">
        <f>Table1[[#This Row],[Control Panel Spun Time]]+Table1[[#This Row],[Control Panel Color Time]]</f>
        <v>0</v>
      </c>
      <c r="Y685" s="8">
        <f>Table1[[#This Row],[Control Panels Spun]]+Table1[[#This Row],[Control Panel Color]]</f>
        <v>0</v>
      </c>
      <c r="Z68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85"/>
      <c r="AB685"/>
      <c r="AC685"/>
      <c r="AD685"/>
      <c r="AE685"/>
      <c r="AF685"/>
      <c r="AG685"/>
      <c r="AH685"/>
      <c r="AI685"/>
      <c r="AJ685"/>
      <c r="AK685" s="17">
        <f>(Table1[[#This Row],[Climbed]]*weighting!$B$18)+(Table1[[#This Row],[Adjustable Climber]]*weighting!$B$19)+(Table1[[#This Row],[Lift other Robot]]*weighting!$B$20)+(Table1[[#This Row],[Balanced]]*weighting!$B$21)</f>
        <v>0</v>
      </c>
      <c r="AL685" s="8">
        <f>+Table1[[#This Row],[Endgame our score]]+Table1[[#This Row],[teleop our score]]+Table1[[#This Row],[auton our score]]</f>
        <v>0</v>
      </c>
      <c r="AM685" s="20">
        <f t="shared" si="30"/>
        <v>0</v>
      </c>
      <c r="AN685" s="20">
        <f t="shared" si="31"/>
        <v>0</v>
      </c>
      <c r="AO685" s="20">
        <f t="shared" si="32"/>
        <v>0</v>
      </c>
      <c r="AP685" s="20">
        <f>Table1[[#This Row],[balls scored]]+Table1[[#This Row],[auton balls scored]]</f>
        <v>0</v>
      </c>
      <c r="AQ685" s="20">
        <f>Table1[[#This Row],[balls scored high]]+Table1[[#This Row],[Auton Scored High]]</f>
        <v>0</v>
      </c>
      <c r="AR685" s="20">
        <f>Table1[[#This Row],[balls scored low]]+Table1[[#This Row],[Auton Scored Low]]</f>
        <v>0</v>
      </c>
      <c r="AS685" s="50">
        <f>IF(Table1[[#This Row],[Control Panel Spun Time]]&gt;0,1,0)</f>
        <v>0</v>
      </c>
      <c r="AT685" s="20">
        <f>IF(Table1[[#This Row],[Control Panel Color Time]]&gt;0,1,0)</f>
        <v>0</v>
      </c>
    </row>
    <row r="686" spans="1:46" x14ac:dyDescent="0.25">
      <c r="A686"/>
      <c r="I686" s="8">
        <f>+Table1[[#This Row],[Auton ball picked up in our trench]]+Table1[[#This Row],[Auton Balls Picked Up in Mid]]+Table1[[#This Row],[Auton Balls Picked Up In Their Trench]]</f>
        <v>0</v>
      </c>
      <c r="J686" s="8">
        <f>+Table1[[#This Row],[Auton Scored High]]+Table1[[#This Row],[Auton Scored Low]]</f>
        <v>0</v>
      </c>
      <c r="K68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86" s="8">
        <f>Table1[[#This Row],[Balls Scored From Trench]]+Table1[[#This Row],[Balls Scored from Mid]]+Table1[[#This Row],[Balls Scored From Alliance zone]]</f>
        <v>0</v>
      </c>
      <c r="W686" s="8">
        <f>Table1[[#This Row],[balls scored high]]+Table1[[#This Row],[balls scored low]]</f>
        <v>0</v>
      </c>
      <c r="X686" s="8">
        <f>Table1[[#This Row],[Control Panel Spun Time]]+Table1[[#This Row],[Control Panel Color Time]]</f>
        <v>0</v>
      </c>
      <c r="Y686" s="8">
        <f>Table1[[#This Row],[Control Panels Spun]]+Table1[[#This Row],[Control Panel Color]]</f>
        <v>0</v>
      </c>
      <c r="Z68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86" s="17">
        <f>(Table1[[#This Row],[Climbed]]*weighting!$B$18)+(Table1[[#This Row],[Adjustable Climber]]*weighting!$B$19)+(Table1[[#This Row],[Lift other Robot]]*weighting!$B$20)+(Table1[[#This Row],[Balanced]]*weighting!$B$21)</f>
        <v>0</v>
      </c>
      <c r="AL686" s="8">
        <f>+Table1[[#This Row],[Endgame our score]]+Table1[[#This Row],[teleop our score]]+Table1[[#This Row],[auton our score]]</f>
        <v>0</v>
      </c>
      <c r="AM686" s="20">
        <f t="shared" si="30"/>
        <v>0</v>
      </c>
      <c r="AN686" s="20">
        <f t="shared" si="31"/>
        <v>0</v>
      </c>
      <c r="AO686" s="20">
        <f t="shared" si="32"/>
        <v>0</v>
      </c>
      <c r="AP686" s="20">
        <f>Table1[[#This Row],[balls scored]]+Table1[[#This Row],[auton balls scored]]</f>
        <v>0</v>
      </c>
      <c r="AQ686" s="20">
        <f>Table1[[#This Row],[balls scored high]]+Table1[[#This Row],[Auton Scored High]]</f>
        <v>0</v>
      </c>
      <c r="AR686" s="20">
        <f>Table1[[#This Row],[balls scored low]]+Table1[[#This Row],[Auton Scored Low]]</f>
        <v>0</v>
      </c>
      <c r="AS686" s="50">
        <f>IF(Table1[[#This Row],[Control Panel Spun Time]]&gt;0,1,0)</f>
        <v>0</v>
      </c>
      <c r="AT686" s="20">
        <f>IF(Table1[[#This Row],[Control Panel Color Time]]&gt;0,1,0)</f>
        <v>0</v>
      </c>
    </row>
    <row r="687" spans="1:46" s="2" customFormat="1" x14ac:dyDescent="0.25">
      <c r="A687"/>
      <c r="B687"/>
      <c r="C687"/>
      <c r="D687"/>
      <c r="E687"/>
      <c r="F687"/>
      <c r="G687"/>
      <c r="H687"/>
      <c r="I687" s="8">
        <f>+Table1[[#This Row],[Auton ball picked up in our trench]]+Table1[[#This Row],[Auton Balls Picked Up in Mid]]+Table1[[#This Row],[Auton Balls Picked Up In Their Trench]]</f>
        <v>0</v>
      </c>
      <c r="J687" s="8">
        <f>+Table1[[#This Row],[Auton Scored High]]+Table1[[#This Row],[Auton Scored Low]]</f>
        <v>0</v>
      </c>
      <c r="K68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87"/>
      <c r="M687"/>
      <c r="N687"/>
      <c r="O687"/>
      <c r="P687"/>
      <c r="Q687"/>
      <c r="R687"/>
      <c r="S687"/>
      <c r="T687"/>
      <c r="U687"/>
      <c r="V687" s="8">
        <f>Table1[[#This Row],[Balls Scored From Trench]]+Table1[[#This Row],[Balls Scored from Mid]]+Table1[[#This Row],[Balls Scored From Alliance zone]]</f>
        <v>0</v>
      </c>
      <c r="W687" s="8">
        <f>Table1[[#This Row],[balls scored high]]+Table1[[#This Row],[balls scored low]]</f>
        <v>0</v>
      </c>
      <c r="X687" s="8">
        <f>Table1[[#This Row],[Control Panel Spun Time]]+Table1[[#This Row],[Control Panel Color Time]]</f>
        <v>0</v>
      </c>
      <c r="Y687" s="8">
        <f>Table1[[#This Row],[Control Panels Spun]]+Table1[[#This Row],[Control Panel Color]]</f>
        <v>0</v>
      </c>
      <c r="Z68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87"/>
      <c r="AB687"/>
      <c r="AC687"/>
      <c r="AD687"/>
      <c r="AE687"/>
      <c r="AF687"/>
      <c r="AG687"/>
      <c r="AH687"/>
      <c r="AI687"/>
      <c r="AJ687"/>
      <c r="AK687" s="17">
        <f>(Table1[[#This Row],[Climbed]]*weighting!$B$18)+(Table1[[#This Row],[Adjustable Climber]]*weighting!$B$19)+(Table1[[#This Row],[Lift other Robot]]*weighting!$B$20)+(Table1[[#This Row],[Balanced]]*weighting!$B$21)</f>
        <v>0</v>
      </c>
      <c r="AL687" s="8">
        <f>+Table1[[#This Row],[Endgame our score]]+Table1[[#This Row],[teleop our score]]+Table1[[#This Row],[auton our score]]</f>
        <v>0</v>
      </c>
      <c r="AM687" s="20">
        <f t="shared" si="30"/>
        <v>0</v>
      </c>
      <c r="AN687" s="20">
        <f t="shared" si="31"/>
        <v>0</v>
      </c>
      <c r="AO687" s="20">
        <f t="shared" si="32"/>
        <v>0</v>
      </c>
      <c r="AP687" s="20">
        <f>Table1[[#This Row],[balls scored]]+Table1[[#This Row],[auton balls scored]]</f>
        <v>0</v>
      </c>
      <c r="AQ687" s="20">
        <f>Table1[[#This Row],[balls scored high]]+Table1[[#This Row],[Auton Scored High]]</f>
        <v>0</v>
      </c>
      <c r="AR687" s="20">
        <f>Table1[[#This Row],[balls scored low]]+Table1[[#This Row],[Auton Scored Low]]</f>
        <v>0</v>
      </c>
      <c r="AS687" s="50">
        <f>IF(Table1[[#This Row],[Control Panel Spun Time]]&gt;0,1,0)</f>
        <v>0</v>
      </c>
      <c r="AT687" s="20">
        <f>IF(Table1[[#This Row],[Control Panel Color Time]]&gt;0,1,0)</f>
        <v>0</v>
      </c>
    </row>
    <row r="688" spans="1:46" x14ac:dyDescent="0.25">
      <c r="A688"/>
      <c r="I688" s="8">
        <f>+Table1[[#This Row],[Auton ball picked up in our trench]]+Table1[[#This Row],[Auton Balls Picked Up in Mid]]+Table1[[#This Row],[Auton Balls Picked Up In Their Trench]]</f>
        <v>0</v>
      </c>
      <c r="J688" s="8">
        <f>+Table1[[#This Row],[Auton Scored High]]+Table1[[#This Row],[Auton Scored Low]]</f>
        <v>0</v>
      </c>
      <c r="K68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88" s="8">
        <f>Table1[[#This Row],[Balls Scored From Trench]]+Table1[[#This Row],[Balls Scored from Mid]]+Table1[[#This Row],[Balls Scored From Alliance zone]]</f>
        <v>0</v>
      </c>
      <c r="W688" s="8">
        <f>Table1[[#This Row],[balls scored high]]+Table1[[#This Row],[balls scored low]]</f>
        <v>0</v>
      </c>
      <c r="X688" s="8">
        <f>Table1[[#This Row],[Control Panel Spun Time]]+Table1[[#This Row],[Control Panel Color Time]]</f>
        <v>0</v>
      </c>
      <c r="Y688" s="8">
        <f>Table1[[#This Row],[Control Panels Spun]]+Table1[[#This Row],[Control Panel Color]]</f>
        <v>0</v>
      </c>
      <c r="Z68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88" s="17">
        <f>(Table1[[#This Row],[Climbed]]*weighting!$B$18)+(Table1[[#This Row],[Adjustable Climber]]*weighting!$B$19)+(Table1[[#This Row],[Lift other Robot]]*weighting!$B$20)+(Table1[[#This Row],[Balanced]]*weighting!$B$21)</f>
        <v>0</v>
      </c>
      <c r="AL688" s="8">
        <f>+Table1[[#This Row],[Endgame our score]]+Table1[[#This Row],[teleop our score]]+Table1[[#This Row],[auton our score]]</f>
        <v>0</v>
      </c>
      <c r="AM688" s="20">
        <f t="shared" si="30"/>
        <v>0</v>
      </c>
      <c r="AN688" s="20">
        <f t="shared" si="31"/>
        <v>0</v>
      </c>
      <c r="AO688" s="20">
        <f t="shared" si="32"/>
        <v>0</v>
      </c>
      <c r="AP688" s="20">
        <f>Table1[[#This Row],[balls scored]]+Table1[[#This Row],[auton balls scored]]</f>
        <v>0</v>
      </c>
      <c r="AQ688" s="20">
        <f>Table1[[#This Row],[balls scored high]]+Table1[[#This Row],[Auton Scored High]]</f>
        <v>0</v>
      </c>
      <c r="AR688" s="20">
        <f>Table1[[#This Row],[balls scored low]]+Table1[[#This Row],[Auton Scored Low]]</f>
        <v>0</v>
      </c>
      <c r="AS688" s="50">
        <f>IF(Table1[[#This Row],[Control Panel Spun Time]]&gt;0,1,0)</f>
        <v>0</v>
      </c>
      <c r="AT688" s="20">
        <f>IF(Table1[[#This Row],[Control Panel Color Time]]&gt;0,1,0)</f>
        <v>0</v>
      </c>
    </row>
    <row r="689" spans="1:46" s="2" customFormat="1" x14ac:dyDescent="0.25">
      <c r="A689"/>
      <c r="B689"/>
      <c r="C689"/>
      <c r="D689"/>
      <c r="E689"/>
      <c r="F689"/>
      <c r="G689"/>
      <c r="H689"/>
      <c r="I689" s="8">
        <f>+Table1[[#This Row],[Auton ball picked up in our trench]]+Table1[[#This Row],[Auton Balls Picked Up in Mid]]+Table1[[#This Row],[Auton Balls Picked Up In Their Trench]]</f>
        <v>0</v>
      </c>
      <c r="J689" s="8">
        <f>+Table1[[#This Row],[Auton Scored High]]+Table1[[#This Row],[Auton Scored Low]]</f>
        <v>0</v>
      </c>
      <c r="K68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89"/>
      <c r="M689"/>
      <c r="N689"/>
      <c r="O689"/>
      <c r="P689"/>
      <c r="Q689"/>
      <c r="R689"/>
      <c r="S689"/>
      <c r="T689"/>
      <c r="U689"/>
      <c r="V689" s="8">
        <f>Table1[[#This Row],[Balls Scored From Trench]]+Table1[[#This Row],[Balls Scored from Mid]]+Table1[[#This Row],[Balls Scored From Alliance zone]]</f>
        <v>0</v>
      </c>
      <c r="W689" s="8">
        <f>Table1[[#This Row],[balls scored high]]+Table1[[#This Row],[balls scored low]]</f>
        <v>0</v>
      </c>
      <c r="X689" s="8">
        <f>Table1[[#This Row],[Control Panel Spun Time]]+Table1[[#This Row],[Control Panel Color Time]]</f>
        <v>0</v>
      </c>
      <c r="Y689" s="8">
        <f>Table1[[#This Row],[Control Panels Spun]]+Table1[[#This Row],[Control Panel Color]]</f>
        <v>0</v>
      </c>
      <c r="Z68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89"/>
      <c r="AB689"/>
      <c r="AC689"/>
      <c r="AD689"/>
      <c r="AE689"/>
      <c r="AF689"/>
      <c r="AG689"/>
      <c r="AH689"/>
      <c r="AI689"/>
      <c r="AJ689"/>
      <c r="AK689" s="17">
        <f>(Table1[[#This Row],[Climbed]]*weighting!$B$18)+(Table1[[#This Row],[Adjustable Climber]]*weighting!$B$19)+(Table1[[#This Row],[Lift other Robot]]*weighting!$B$20)+(Table1[[#This Row],[Balanced]]*weighting!$B$21)</f>
        <v>0</v>
      </c>
      <c r="AL689" s="8">
        <f>+Table1[[#This Row],[Endgame our score]]+Table1[[#This Row],[teleop our score]]+Table1[[#This Row],[auton our score]]</f>
        <v>0</v>
      </c>
      <c r="AM689" s="20">
        <f t="shared" si="30"/>
        <v>0</v>
      </c>
      <c r="AN689" s="20">
        <f t="shared" si="31"/>
        <v>0</v>
      </c>
      <c r="AO689" s="20">
        <f t="shared" si="32"/>
        <v>0</v>
      </c>
      <c r="AP689" s="20">
        <f>Table1[[#This Row],[balls scored]]+Table1[[#This Row],[auton balls scored]]</f>
        <v>0</v>
      </c>
      <c r="AQ689" s="20">
        <f>Table1[[#This Row],[balls scored high]]+Table1[[#This Row],[Auton Scored High]]</f>
        <v>0</v>
      </c>
      <c r="AR689" s="20">
        <f>Table1[[#This Row],[balls scored low]]+Table1[[#This Row],[Auton Scored Low]]</f>
        <v>0</v>
      </c>
      <c r="AS689" s="50">
        <f>IF(Table1[[#This Row],[Control Panel Spun Time]]&gt;0,1,0)</f>
        <v>0</v>
      </c>
      <c r="AT689" s="20">
        <f>IF(Table1[[#This Row],[Control Panel Color Time]]&gt;0,1,0)</f>
        <v>0</v>
      </c>
    </row>
    <row r="690" spans="1:46" x14ac:dyDescent="0.25">
      <c r="A690"/>
      <c r="I690" s="8">
        <f>+Table1[[#This Row],[Auton ball picked up in our trench]]+Table1[[#This Row],[Auton Balls Picked Up in Mid]]+Table1[[#This Row],[Auton Balls Picked Up In Their Trench]]</f>
        <v>0</v>
      </c>
      <c r="J690" s="8">
        <f>+Table1[[#This Row],[Auton Scored High]]+Table1[[#This Row],[Auton Scored Low]]</f>
        <v>0</v>
      </c>
      <c r="K69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90" s="8">
        <f>Table1[[#This Row],[Balls Scored From Trench]]+Table1[[#This Row],[Balls Scored from Mid]]+Table1[[#This Row],[Balls Scored From Alliance zone]]</f>
        <v>0</v>
      </c>
      <c r="W690" s="8">
        <f>Table1[[#This Row],[balls scored high]]+Table1[[#This Row],[balls scored low]]</f>
        <v>0</v>
      </c>
      <c r="X690" s="8">
        <f>Table1[[#This Row],[Control Panel Spun Time]]+Table1[[#This Row],[Control Panel Color Time]]</f>
        <v>0</v>
      </c>
      <c r="Y690" s="8">
        <f>Table1[[#This Row],[Control Panels Spun]]+Table1[[#This Row],[Control Panel Color]]</f>
        <v>0</v>
      </c>
      <c r="Z69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90" s="17">
        <f>(Table1[[#This Row],[Climbed]]*weighting!$B$18)+(Table1[[#This Row],[Adjustable Climber]]*weighting!$B$19)+(Table1[[#This Row],[Lift other Robot]]*weighting!$B$20)+(Table1[[#This Row],[Balanced]]*weighting!$B$21)</f>
        <v>0</v>
      </c>
      <c r="AL690" s="8">
        <f>+Table1[[#This Row],[Endgame our score]]+Table1[[#This Row],[teleop our score]]+Table1[[#This Row],[auton our score]]</f>
        <v>0</v>
      </c>
      <c r="AM690" s="20">
        <f t="shared" si="30"/>
        <v>0</v>
      </c>
      <c r="AN690" s="20">
        <f t="shared" si="31"/>
        <v>0</v>
      </c>
      <c r="AO690" s="20">
        <f t="shared" si="32"/>
        <v>0</v>
      </c>
      <c r="AP690" s="20">
        <f>Table1[[#This Row],[balls scored]]+Table1[[#This Row],[auton balls scored]]</f>
        <v>0</v>
      </c>
      <c r="AQ690" s="20">
        <f>Table1[[#This Row],[balls scored high]]+Table1[[#This Row],[Auton Scored High]]</f>
        <v>0</v>
      </c>
      <c r="AR690" s="20">
        <f>Table1[[#This Row],[balls scored low]]+Table1[[#This Row],[Auton Scored Low]]</f>
        <v>0</v>
      </c>
      <c r="AS690" s="50">
        <f>IF(Table1[[#This Row],[Control Panel Spun Time]]&gt;0,1,0)</f>
        <v>0</v>
      </c>
      <c r="AT690" s="20">
        <f>IF(Table1[[#This Row],[Control Panel Color Time]]&gt;0,1,0)</f>
        <v>0</v>
      </c>
    </row>
    <row r="691" spans="1:46" s="2" customFormat="1" x14ac:dyDescent="0.25">
      <c r="A691"/>
      <c r="B691"/>
      <c r="C691"/>
      <c r="D691"/>
      <c r="E691"/>
      <c r="F691"/>
      <c r="G691"/>
      <c r="H691"/>
      <c r="I691" s="8">
        <f>+Table1[[#This Row],[Auton ball picked up in our trench]]+Table1[[#This Row],[Auton Balls Picked Up in Mid]]+Table1[[#This Row],[Auton Balls Picked Up In Their Trench]]</f>
        <v>0</v>
      </c>
      <c r="J691" s="8">
        <f>+Table1[[#This Row],[Auton Scored High]]+Table1[[#This Row],[Auton Scored Low]]</f>
        <v>0</v>
      </c>
      <c r="K69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91"/>
      <c r="M691"/>
      <c r="N691"/>
      <c r="O691"/>
      <c r="P691"/>
      <c r="Q691"/>
      <c r="R691"/>
      <c r="S691"/>
      <c r="T691"/>
      <c r="U691"/>
      <c r="V691" s="8">
        <f>Table1[[#This Row],[Balls Scored From Trench]]+Table1[[#This Row],[Balls Scored from Mid]]+Table1[[#This Row],[Balls Scored From Alliance zone]]</f>
        <v>0</v>
      </c>
      <c r="W691" s="8">
        <f>Table1[[#This Row],[balls scored high]]+Table1[[#This Row],[balls scored low]]</f>
        <v>0</v>
      </c>
      <c r="X691" s="8">
        <f>Table1[[#This Row],[Control Panel Spun Time]]+Table1[[#This Row],[Control Panel Color Time]]</f>
        <v>0</v>
      </c>
      <c r="Y691" s="8">
        <f>Table1[[#This Row],[Control Panels Spun]]+Table1[[#This Row],[Control Panel Color]]</f>
        <v>0</v>
      </c>
      <c r="Z69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91"/>
      <c r="AB691"/>
      <c r="AC691"/>
      <c r="AD691"/>
      <c r="AE691"/>
      <c r="AF691"/>
      <c r="AG691"/>
      <c r="AH691"/>
      <c r="AI691"/>
      <c r="AJ691"/>
      <c r="AK691" s="17">
        <f>(Table1[[#This Row],[Climbed]]*weighting!$B$18)+(Table1[[#This Row],[Adjustable Climber]]*weighting!$B$19)+(Table1[[#This Row],[Lift other Robot]]*weighting!$B$20)+(Table1[[#This Row],[Balanced]]*weighting!$B$21)</f>
        <v>0</v>
      </c>
      <c r="AL691" s="8">
        <f>+Table1[[#This Row],[Endgame our score]]+Table1[[#This Row],[teleop our score]]+Table1[[#This Row],[auton our score]]</f>
        <v>0</v>
      </c>
      <c r="AM691" s="20">
        <f t="shared" si="30"/>
        <v>0</v>
      </c>
      <c r="AN691" s="20">
        <f t="shared" si="31"/>
        <v>0</v>
      </c>
      <c r="AO691" s="20">
        <f t="shared" si="32"/>
        <v>0</v>
      </c>
      <c r="AP691" s="20">
        <f>Table1[[#This Row],[balls scored]]+Table1[[#This Row],[auton balls scored]]</f>
        <v>0</v>
      </c>
      <c r="AQ691" s="20">
        <f>Table1[[#This Row],[balls scored high]]+Table1[[#This Row],[Auton Scored High]]</f>
        <v>0</v>
      </c>
      <c r="AR691" s="20">
        <f>Table1[[#This Row],[balls scored low]]+Table1[[#This Row],[Auton Scored Low]]</f>
        <v>0</v>
      </c>
      <c r="AS691" s="50">
        <f>IF(Table1[[#This Row],[Control Panel Spun Time]]&gt;0,1,0)</f>
        <v>0</v>
      </c>
      <c r="AT691" s="20">
        <f>IF(Table1[[#This Row],[Control Panel Color Time]]&gt;0,1,0)</f>
        <v>0</v>
      </c>
    </row>
    <row r="692" spans="1:46" x14ac:dyDescent="0.25">
      <c r="A692"/>
      <c r="I692" s="8">
        <f>+Table1[[#This Row],[Auton ball picked up in our trench]]+Table1[[#This Row],[Auton Balls Picked Up in Mid]]+Table1[[#This Row],[Auton Balls Picked Up In Their Trench]]</f>
        <v>0</v>
      </c>
      <c r="J692" s="8">
        <f>+Table1[[#This Row],[Auton Scored High]]+Table1[[#This Row],[Auton Scored Low]]</f>
        <v>0</v>
      </c>
      <c r="K69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92" s="8">
        <f>Table1[[#This Row],[Balls Scored From Trench]]+Table1[[#This Row],[Balls Scored from Mid]]+Table1[[#This Row],[Balls Scored From Alliance zone]]</f>
        <v>0</v>
      </c>
      <c r="W692" s="8">
        <f>Table1[[#This Row],[balls scored high]]+Table1[[#This Row],[balls scored low]]</f>
        <v>0</v>
      </c>
      <c r="X692" s="8">
        <f>Table1[[#This Row],[Control Panel Spun Time]]+Table1[[#This Row],[Control Panel Color Time]]</f>
        <v>0</v>
      </c>
      <c r="Y692" s="8">
        <f>Table1[[#This Row],[Control Panels Spun]]+Table1[[#This Row],[Control Panel Color]]</f>
        <v>0</v>
      </c>
      <c r="Z69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92" s="17">
        <f>(Table1[[#This Row],[Climbed]]*weighting!$B$18)+(Table1[[#This Row],[Adjustable Climber]]*weighting!$B$19)+(Table1[[#This Row],[Lift other Robot]]*weighting!$B$20)+(Table1[[#This Row],[Balanced]]*weighting!$B$21)</f>
        <v>0</v>
      </c>
      <c r="AL692" s="8">
        <f>+Table1[[#This Row],[Endgame our score]]+Table1[[#This Row],[teleop our score]]+Table1[[#This Row],[auton our score]]</f>
        <v>0</v>
      </c>
      <c r="AM692" s="20">
        <f t="shared" si="30"/>
        <v>0</v>
      </c>
      <c r="AN692" s="20">
        <f t="shared" si="31"/>
        <v>0</v>
      </c>
      <c r="AO692" s="20">
        <f t="shared" si="32"/>
        <v>0</v>
      </c>
      <c r="AP692" s="20">
        <f>Table1[[#This Row],[balls scored]]+Table1[[#This Row],[auton balls scored]]</f>
        <v>0</v>
      </c>
      <c r="AQ692" s="20">
        <f>Table1[[#This Row],[balls scored high]]+Table1[[#This Row],[Auton Scored High]]</f>
        <v>0</v>
      </c>
      <c r="AR692" s="20">
        <f>Table1[[#This Row],[balls scored low]]+Table1[[#This Row],[Auton Scored Low]]</f>
        <v>0</v>
      </c>
      <c r="AS692" s="50">
        <f>IF(Table1[[#This Row],[Control Panel Spun Time]]&gt;0,1,0)</f>
        <v>0</v>
      </c>
      <c r="AT692" s="20">
        <f>IF(Table1[[#This Row],[Control Panel Color Time]]&gt;0,1,0)</f>
        <v>0</v>
      </c>
    </row>
    <row r="693" spans="1:46" s="2" customFormat="1" x14ac:dyDescent="0.25">
      <c r="A693"/>
      <c r="B693"/>
      <c r="C693"/>
      <c r="D693"/>
      <c r="E693"/>
      <c r="F693"/>
      <c r="G693"/>
      <c r="H693"/>
      <c r="I693" s="8">
        <f>+Table1[[#This Row],[Auton ball picked up in our trench]]+Table1[[#This Row],[Auton Balls Picked Up in Mid]]+Table1[[#This Row],[Auton Balls Picked Up In Their Trench]]</f>
        <v>0</v>
      </c>
      <c r="J693" s="8">
        <f>+Table1[[#This Row],[Auton Scored High]]+Table1[[#This Row],[Auton Scored Low]]</f>
        <v>0</v>
      </c>
      <c r="K693"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93"/>
      <c r="M693"/>
      <c r="N693"/>
      <c r="O693"/>
      <c r="P693"/>
      <c r="Q693"/>
      <c r="R693"/>
      <c r="S693"/>
      <c r="T693"/>
      <c r="U693"/>
      <c r="V693" s="8">
        <f>Table1[[#This Row],[Balls Scored From Trench]]+Table1[[#This Row],[Balls Scored from Mid]]+Table1[[#This Row],[Balls Scored From Alliance zone]]</f>
        <v>0</v>
      </c>
      <c r="W693" s="8">
        <f>Table1[[#This Row],[balls scored high]]+Table1[[#This Row],[balls scored low]]</f>
        <v>0</v>
      </c>
      <c r="X693" s="8">
        <f>Table1[[#This Row],[Control Panel Spun Time]]+Table1[[#This Row],[Control Panel Color Time]]</f>
        <v>0</v>
      </c>
      <c r="Y693" s="8">
        <f>Table1[[#This Row],[Control Panels Spun]]+Table1[[#This Row],[Control Panel Color]]</f>
        <v>0</v>
      </c>
      <c r="Z693"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93"/>
      <c r="AB693"/>
      <c r="AC693"/>
      <c r="AD693"/>
      <c r="AE693"/>
      <c r="AF693"/>
      <c r="AG693"/>
      <c r="AH693"/>
      <c r="AI693"/>
      <c r="AJ693"/>
      <c r="AK693" s="17">
        <f>(Table1[[#This Row],[Climbed]]*weighting!$B$18)+(Table1[[#This Row],[Adjustable Climber]]*weighting!$B$19)+(Table1[[#This Row],[Lift other Robot]]*weighting!$B$20)+(Table1[[#This Row],[Balanced]]*weighting!$B$21)</f>
        <v>0</v>
      </c>
      <c r="AL693" s="8">
        <f>+Table1[[#This Row],[Endgame our score]]+Table1[[#This Row],[teleop our score]]+Table1[[#This Row],[auton our score]]</f>
        <v>0</v>
      </c>
      <c r="AM693" s="20">
        <f t="shared" si="30"/>
        <v>0</v>
      </c>
      <c r="AN693" s="20">
        <f t="shared" si="31"/>
        <v>0</v>
      </c>
      <c r="AO693" s="20">
        <f t="shared" si="32"/>
        <v>0</v>
      </c>
      <c r="AP693" s="20">
        <f>Table1[[#This Row],[balls scored]]+Table1[[#This Row],[auton balls scored]]</f>
        <v>0</v>
      </c>
      <c r="AQ693" s="20">
        <f>Table1[[#This Row],[balls scored high]]+Table1[[#This Row],[Auton Scored High]]</f>
        <v>0</v>
      </c>
      <c r="AR693" s="20">
        <f>Table1[[#This Row],[balls scored low]]+Table1[[#This Row],[Auton Scored Low]]</f>
        <v>0</v>
      </c>
      <c r="AS693" s="50">
        <f>IF(Table1[[#This Row],[Control Panel Spun Time]]&gt;0,1,0)</f>
        <v>0</v>
      </c>
      <c r="AT693" s="20">
        <f>IF(Table1[[#This Row],[Control Panel Color Time]]&gt;0,1,0)</f>
        <v>0</v>
      </c>
    </row>
    <row r="694" spans="1:46" x14ac:dyDescent="0.25">
      <c r="A694"/>
      <c r="I694" s="8">
        <f>+Table1[[#This Row],[Auton ball picked up in our trench]]+Table1[[#This Row],[Auton Balls Picked Up in Mid]]+Table1[[#This Row],[Auton Balls Picked Up In Their Trench]]</f>
        <v>0</v>
      </c>
      <c r="J694" s="8">
        <f>+Table1[[#This Row],[Auton Scored High]]+Table1[[#This Row],[Auton Scored Low]]</f>
        <v>0</v>
      </c>
      <c r="K694"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94" s="8">
        <f>Table1[[#This Row],[Balls Scored From Trench]]+Table1[[#This Row],[Balls Scored from Mid]]+Table1[[#This Row],[Balls Scored From Alliance zone]]</f>
        <v>0</v>
      </c>
      <c r="W694" s="8">
        <f>Table1[[#This Row],[balls scored high]]+Table1[[#This Row],[balls scored low]]</f>
        <v>0</v>
      </c>
      <c r="X694" s="8">
        <f>Table1[[#This Row],[Control Panel Spun Time]]+Table1[[#This Row],[Control Panel Color Time]]</f>
        <v>0</v>
      </c>
      <c r="Y694" s="8">
        <f>Table1[[#This Row],[Control Panels Spun]]+Table1[[#This Row],[Control Panel Color]]</f>
        <v>0</v>
      </c>
      <c r="Z694"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94" s="17">
        <f>(Table1[[#This Row],[Climbed]]*weighting!$B$18)+(Table1[[#This Row],[Adjustable Climber]]*weighting!$B$19)+(Table1[[#This Row],[Lift other Robot]]*weighting!$B$20)+(Table1[[#This Row],[Balanced]]*weighting!$B$21)</f>
        <v>0</v>
      </c>
      <c r="AL694" s="8">
        <f>+Table1[[#This Row],[Endgame our score]]+Table1[[#This Row],[teleop our score]]+Table1[[#This Row],[auton our score]]</f>
        <v>0</v>
      </c>
      <c r="AM694" s="20">
        <f t="shared" si="30"/>
        <v>0</v>
      </c>
      <c r="AN694" s="20">
        <f t="shared" si="31"/>
        <v>0</v>
      </c>
      <c r="AO694" s="20">
        <f t="shared" si="32"/>
        <v>0</v>
      </c>
      <c r="AP694" s="20">
        <f>Table1[[#This Row],[balls scored]]+Table1[[#This Row],[auton balls scored]]</f>
        <v>0</v>
      </c>
      <c r="AQ694" s="20">
        <f>Table1[[#This Row],[balls scored high]]+Table1[[#This Row],[Auton Scored High]]</f>
        <v>0</v>
      </c>
      <c r="AR694" s="20">
        <f>Table1[[#This Row],[balls scored low]]+Table1[[#This Row],[Auton Scored Low]]</f>
        <v>0</v>
      </c>
      <c r="AS694" s="50">
        <f>IF(Table1[[#This Row],[Control Panel Spun Time]]&gt;0,1,0)</f>
        <v>0</v>
      </c>
      <c r="AT694" s="20">
        <f>IF(Table1[[#This Row],[Control Panel Color Time]]&gt;0,1,0)</f>
        <v>0</v>
      </c>
    </row>
    <row r="695" spans="1:46" s="2" customFormat="1" x14ac:dyDescent="0.25">
      <c r="A695"/>
      <c r="B695"/>
      <c r="C695"/>
      <c r="D695"/>
      <c r="E695"/>
      <c r="F695"/>
      <c r="G695"/>
      <c r="H695"/>
      <c r="I695" s="8">
        <f>+Table1[[#This Row],[Auton ball picked up in our trench]]+Table1[[#This Row],[Auton Balls Picked Up in Mid]]+Table1[[#This Row],[Auton Balls Picked Up In Their Trench]]</f>
        <v>0</v>
      </c>
      <c r="J695" s="8">
        <f>+Table1[[#This Row],[Auton Scored High]]+Table1[[#This Row],[Auton Scored Low]]</f>
        <v>0</v>
      </c>
      <c r="K695"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95"/>
      <c r="M695"/>
      <c r="N695"/>
      <c r="O695"/>
      <c r="P695"/>
      <c r="Q695"/>
      <c r="R695"/>
      <c r="S695"/>
      <c r="T695"/>
      <c r="U695"/>
      <c r="V695" s="8">
        <f>Table1[[#This Row],[Balls Scored From Trench]]+Table1[[#This Row],[Balls Scored from Mid]]+Table1[[#This Row],[Balls Scored From Alliance zone]]</f>
        <v>0</v>
      </c>
      <c r="W695" s="8">
        <f>Table1[[#This Row],[balls scored high]]+Table1[[#This Row],[balls scored low]]</f>
        <v>0</v>
      </c>
      <c r="X695" s="8">
        <f>Table1[[#This Row],[Control Panel Spun Time]]+Table1[[#This Row],[Control Panel Color Time]]</f>
        <v>0</v>
      </c>
      <c r="Y695" s="8">
        <f>Table1[[#This Row],[Control Panels Spun]]+Table1[[#This Row],[Control Panel Color]]</f>
        <v>0</v>
      </c>
      <c r="Z695"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95"/>
      <c r="AB695"/>
      <c r="AC695"/>
      <c r="AD695"/>
      <c r="AE695"/>
      <c r="AF695"/>
      <c r="AG695"/>
      <c r="AH695"/>
      <c r="AI695"/>
      <c r="AJ695"/>
      <c r="AK695" s="17">
        <f>(Table1[[#This Row],[Climbed]]*weighting!$B$18)+(Table1[[#This Row],[Adjustable Climber]]*weighting!$B$19)+(Table1[[#This Row],[Lift other Robot]]*weighting!$B$20)+(Table1[[#This Row],[Balanced]]*weighting!$B$21)</f>
        <v>0</v>
      </c>
      <c r="AL695" s="8">
        <f>+Table1[[#This Row],[Endgame our score]]+Table1[[#This Row],[teleop our score]]+Table1[[#This Row],[auton our score]]</f>
        <v>0</v>
      </c>
      <c r="AM695" s="20">
        <f t="shared" si="30"/>
        <v>0</v>
      </c>
      <c r="AN695" s="20">
        <f t="shared" si="31"/>
        <v>0</v>
      </c>
      <c r="AO695" s="20">
        <f t="shared" si="32"/>
        <v>0</v>
      </c>
      <c r="AP695" s="20">
        <f>Table1[[#This Row],[balls scored]]+Table1[[#This Row],[auton balls scored]]</f>
        <v>0</v>
      </c>
      <c r="AQ695" s="20">
        <f>Table1[[#This Row],[balls scored high]]+Table1[[#This Row],[Auton Scored High]]</f>
        <v>0</v>
      </c>
      <c r="AR695" s="20">
        <f>Table1[[#This Row],[balls scored low]]+Table1[[#This Row],[Auton Scored Low]]</f>
        <v>0</v>
      </c>
      <c r="AS695" s="50">
        <f>IF(Table1[[#This Row],[Control Panel Spun Time]]&gt;0,1,0)</f>
        <v>0</v>
      </c>
      <c r="AT695" s="20">
        <f>IF(Table1[[#This Row],[Control Panel Color Time]]&gt;0,1,0)</f>
        <v>0</v>
      </c>
    </row>
    <row r="696" spans="1:46" x14ac:dyDescent="0.25">
      <c r="A696"/>
      <c r="I696" s="8">
        <f>+Table1[[#This Row],[Auton ball picked up in our trench]]+Table1[[#This Row],[Auton Balls Picked Up in Mid]]+Table1[[#This Row],[Auton Balls Picked Up In Their Trench]]</f>
        <v>0</v>
      </c>
      <c r="J696" s="8">
        <f>+Table1[[#This Row],[Auton Scored High]]+Table1[[#This Row],[Auton Scored Low]]</f>
        <v>0</v>
      </c>
      <c r="K696"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96" s="8">
        <f>Table1[[#This Row],[Balls Scored From Trench]]+Table1[[#This Row],[Balls Scored from Mid]]+Table1[[#This Row],[Balls Scored From Alliance zone]]</f>
        <v>0</v>
      </c>
      <c r="W696" s="8">
        <f>Table1[[#This Row],[balls scored high]]+Table1[[#This Row],[balls scored low]]</f>
        <v>0</v>
      </c>
      <c r="X696" s="8">
        <f>Table1[[#This Row],[Control Panel Spun Time]]+Table1[[#This Row],[Control Panel Color Time]]</f>
        <v>0</v>
      </c>
      <c r="Y696" s="8">
        <f>Table1[[#This Row],[Control Panels Spun]]+Table1[[#This Row],[Control Panel Color]]</f>
        <v>0</v>
      </c>
      <c r="Z696"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96" s="17">
        <f>(Table1[[#This Row],[Climbed]]*weighting!$B$18)+(Table1[[#This Row],[Adjustable Climber]]*weighting!$B$19)+(Table1[[#This Row],[Lift other Robot]]*weighting!$B$20)+(Table1[[#This Row],[Balanced]]*weighting!$B$21)</f>
        <v>0</v>
      </c>
      <c r="AL696" s="8">
        <f>+Table1[[#This Row],[Endgame our score]]+Table1[[#This Row],[teleop our score]]+Table1[[#This Row],[auton our score]]</f>
        <v>0</v>
      </c>
      <c r="AM696" s="20">
        <f t="shared" si="30"/>
        <v>0</v>
      </c>
      <c r="AN696" s="20">
        <f t="shared" si="31"/>
        <v>0</v>
      </c>
      <c r="AO696" s="20">
        <f t="shared" si="32"/>
        <v>0</v>
      </c>
      <c r="AP696" s="20">
        <f>Table1[[#This Row],[balls scored]]+Table1[[#This Row],[auton balls scored]]</f>
        <v>0</v>
      </c>
      <c r="AQ696" s="20">
        <f>Table1[[#This Row],[balls scored high]]+Table1[[#This Row],[Auton Scored High]]</f>
        <v>0</v>
      </c>
      <c r="AR696" s="20">
        <f>Table1[[#This Row],[balls scored low]]+Table1[[#This Row],[Auton Scored Low]]</f>
        <v>0</v>
      </c>
      <c r="AS696" s="50">
        <f>IF(Table1[[#This Row],[Control Panel Spun Time]]&gt;0,1,0)</f>
        <v>0</v>
      </c>
      <c r="AT696" s="20">
        <f>IF(Table1[[#This Row],[Control Panel Color Time]]&gt;0,1,0)</f>
        <v>0</v>
      </c>
    </row>
    <row r="697" spans="1:46" s="2" customFormat="1" x14ac:dyDescent="0.25">
      <c r="A697"/>
      <c r="B697"/>
      <c r="C697"/>
      <c r="D697"/>
      <c r="E697"/>
      <c r="F697"/>
      <c r="G697"/>
      <c r="H697"/>
      <c r="I697" s="8">
        <f>+Table1[[#This Row],[Auton ball picked up in our trench]]+Table1[[#This Row],[Auton Balls Picked Up in Mid]]+Table1[[#This Row],[Auton Balls Picked Up In Their Trench]]</f>
        <v>0</v>
      </c>
      <c r="J697" s="8">
        <f>+Table1[[#This Row],[Auton Scored High]]+Table1[[#This Row],[Auton Scored Low]]</f>
        <v>0</v>
      </c>
      <c r="K697"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97"/>
      <c r="M697"/>
      <c r="N697"/>
      <c r="O697"/>
      <c r="P697"/>
      <c r="Q697"/>
      <c r="R697"/>
      <c r="S697"/>
      <c r="T697"/>
      <c r="U697"/>
      <c r="V697" s="8">
        <f>Table1[[#This Row],[Balls Scored From Trench]]+Table1[[#This Row],[Balls Scored from Mid]]+Table1[[#This Row],[Balls Scored From Alliance zone]]</f>
        <v>0</v>
      </c>
      <c r="W697" s="8">
        <f>Table1[[#This Row],[balls scored high]]+Table1[[#This Row],[balls scored low]]</f>
        <v>0</v>
      </c>
      <c r="X697" s="8">
        <f>Table1[[#This Row],[Control Panel Spun Time]]+Table1[[#This Row],[Control Panel Color Time]]</f>
        <v>0</v>
      </c>
      <c r="Y697" s="8">
        <f>Table1[[#This Row],[Control Panels Spun]]+Table1[[#This Row],[Control Panel Color]]</f>
        <v>0</v>
      </c>
      <c r="Z697"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97"/>
      <c r="AB697"/>
      <c r="AC697"/>
      <c r="AD697"/>
      <c r="AE697"/>
      <c r="AF697"/>
      <c r="AG697"/>
      <c r="AH697"/>
      <c r="AI697"/>
      <c r="AJ697"/>
      <c r="AK697" s="17">
        <f>(Table1[[#This Row],[Climbed]]*weighting!$B$18)+(Table1[[#This Row],[Adjustable Climber]]*weighting!$B$19)+(Table1[[#This Row],[Lift other Robot]]*weighting!$B$20)+(Table1[[#This Row],[Balanced]]*weighting!$B$21)</f>
        <v>0</v>
      </c>
      <c r="AL697" s="8">
        <f>+Table1[[#This Row],[Endgame our score]]+Table1[[#This Row],[teleop our score]]+Table1[[#This Row],[auton our score]]</f>
        <v>0</v>
      </c>
      <c r="AM697" s="20">
        <f t="shared" si="30"/>
        <v>0</v>
      </c>
      <c r="AN697" s="20">
        <f t="shared" si="31"/>
        <v>0</v>
      </c>
      <c r="AO697" s="20">
        <f t="shared" si="32"/>
        <v>0</v>
      </c>
      <c r="AP697" s="20">
        <f>Table1[[#This Row],[balls scored]]+Table1[[#This Row],[auton balls scored]]</f>
        <v>0</v>
      </c>
      <c r="AQ697" s="20">
        <f>Table1[[#This Row],[balls scored high]]+Table1[[#This Row],[Auton Scored High]]</f>
        <v>0</v>
      </c>
      <c r="AR697" s="20">
        <f>Table1[[#This Row],[balls scored low]]+Table1[[#This Row],[Auton Scored Low]]</f>
        <v>0</v>
      </c>
      <c r="AS697" s="50">
        <f>IF(Table1[[#This Row],[Control Panel Spun Time]]&gt;0,1,0)</f>
        <v>0</v>
      </c>
      <c r="AT697" s="20">
        <f>IF(Table1[[#This Row],[Control Panel Color Time]]&gt;0,1,0)</f>
        <v>0</v>
      </c>
    </row>
    <row r="698" spans="1:46" x14ac:dyDescent="0.25">
      <c r="A698"/>
      <c r="I698" s="8">
        <f>+Table1[[#This Row],[Auton ball picked up in our trench]]+Table1[[#This Row],[Auton Balls Picked Up in Mid]]+Table1[[#This Row],[Auton Balls Picked Up In Their Trench]]</f>
        <v>0</v>
      </c>
      <c r="J698" s="8">
        <f>+Table1[[#This Row],[Auton Scored High]]+Table1[[#This Row],[Auton Scored Low]]</f>
        <v>0</v>
      </c>
      <c r="K698"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698" s="8">
        <f>Table1[[#This Row],[Balls Scored From Trench]]+Table1[[#This Row],[Balls Scored from Mid]]+Table1[[#This Row],[Balls Scored From Alliance zone]]</f>
        <v>0</v>
      </c>
      <c r="W698" s="8">
        <f>Table1[[#This Row],[balls scored high]]+Table1[[#This Row],[balls scored low]]</f>
        <v>0</v>
      </c>
      <c r="X698" s="8">
        <f>Table1[[#This Row],[Control Panel Spun Time]]+Table1[[#This Row],[Control Panel Color Time]]</f>
        <v>0</v>
      </c>
      <c r="Y698" s="8">
        <f>Table1[[#This Row],[Control Panels Spun]]+Table1[[#This Row],[Control Panel Color]]</f>
        <v>0</v>
      </c>
      <c r="Z698"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698" s="17">
        <f>(Table1[[#This Row],[Climbed]]*weighting!$B$18)+(Table1[[#This Row],[Adjustable Climber]]*weighting!$B$19)+(Table1[[#This Row],[Lift other Robot]]*weighting!$B$20)+(Table1[[#This Row],[Balanced]]*weighting!$B$21)</f>
        <v>0</v>
      </c>
      <c r="AL698" s="8">
        <f>+Table1[[#This Row],[Endgame our score]]+Table1[[#This Row],[teleop our score]]+Table1[[#This Row],[auton our score]]</f>
        <v>0</v>
      </c>
      <c r="AM698" s="20">
        <f t="shared" si="30"/>
        <v>0</v>
      </c>
      <c r="AN698" s="20">
        <f t="shared" si="31"/>
        <v>0</v>
      </c>
      <c r="AO698" s="20">
        <f t="shared" si="32"/>
        <v>0</v>
      </c>
      <c r="AP698" s="20">
        <f>Table1[[#This Row],[balls scored]]+Table1[[#This Row],[auton balls scored]]</f>
        <v>0</v>
      </c>
      <c r="AQ698" s="20">
        <f>Table1[[#This Row],[balls scored high]]+Table1[[#This Row],[Auton Scored High]]</f>
        <v>0</v>
      </c>
      <c r="AR698" s="20">
        <f>Table1[[#This Row],[balls scored low]]+Table1[[#This Row],[Auton Scored Low]]</f>
        <v>0</v>
      </c>
      <c r="AS698" s="50">
        <f>IF(Table1[[#This Row],[Control Panel Spun Time]]&gt;0,1,0)</f>
        <v>0</v>
      </c>
      <c r="AT698" s="20">
        <f>IF(Table1[[#This Row],[Control Panel Color Time]]&gt;0,1,0)</f>
        <v>0</v>
      </c>
    </row>
    <row r="699" spans="1:46" s="2" customFormat="1" x14ac:dyDescent="0.25">
      <c r="A699"/>
      <c r="B699"/>
      <c r="C699"/>
      <c r="D699"/>
      <c r="E699"/>
      <c r="F699"/>
      <c r="G699"/>
      <c r="H699"/>
      <c r="I699" s="8">
        <f>+Table1[[#This Row],[Auton ball picked up in our trench]]+Table1[[#This Row],[Auton Balls Picked Up in Mid]]+Table1[[#This Row],[Auton Balls Picked Up In Their Trench]]</f>
        <v>0</v>
      </c>
      <c r="J699" s="8">
        <f>+Table1[[#This Row],[Auton Scored High]]+Table1[[#This Row],[Auton Scored Low]]</f>
        <v>0</v>
      </c>
      <c r="K699"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L699"/>
      <c r="M699"/>
      <c r="N699"/>
      <c r="O699"/>
      <c r="P699"/>
      <c r="Q699"/>
      <c r="R699"/>
      <c r="S699"/>
      <c r="T699"/>
      <c r="U699"/>
      <c r="V699" s="8">
        <f>Table1[[#This Row],[Balls Scored From Trench]]+Table1[[#This Row],[Balls Scored from Mid]]+Table1[[#This Row],[Balls Scored From Alliance zone]]</f>
        <v>0</v>
      </c>
      <c r="W699" s="8">
        <f>Table1[[#This Row],[balls scored high]]+Table1[[#This Row],[balls scored low]]</f>
        <v>0</v>
      </c>
      <c r="X699" s="8">
        <f>Table1[[#This Row],[Control Panel Spun Time]]+Table1[[#This Row],[Control Panel Color Time]]</f>
        <v>0</v>
      </c>
      <c r="Y699" s="8">
        <f>Table1[[#This Row],[Control Panels Spun]]+Table1[[#This Row],[Control Panel Color]]</f>
        <v>0</v>
      </c>
      <c r="Z699"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A699"/>
      <c r="AB699"/>
      <c r="AC699"/>
      <c r="AD699"/>
      <c r="AE699"/>
      <c r="AF699"/>
      <c r="AG699"/>
      <c r="AH699"/>
      <c r="AI699"/>
      <c r="AJ699"/>
      <c r="AK699" s="17">
        <f>(Table1[[#This Row],[Climbed]]*weighting!$B$18)+(Table1[[#This Row],[Adjustable Climber]]*weighting!$B$19)+(Table1[[#This Row],[Lift other Robot]]*weighting!$B$20)+(Table1[[#This Row],[Balanced]]*weighting!$B$21)</f>
        <v>0</v>
      </c>
      <c r="AL699" s="8">
        <f>+Table1[[#This Row],[Endgame our score]]+Table1[[#This Row],[teleop our score]]+Table1[[#This Row],[auton our score]]</f>
        <v>0</v>
      </c>
      <c r="AM699" s="20">
        <f t="shared" si="30"/>
        <v>0</v>
      </c>
      <c r="AN699" s="20">
        <f t="shared" si="31"/>
        <v>0</v>
      </c>
      <c r="AO699" s="20">
        <f t="shared" si="32"/>
        <v>0</v>
      </c>
      <c r="AP699" s="20">
        <f>Table1[[#This Row],[balls scored]]+Table1[[#This Row],[auton balls scored]]</f>
        <v>0</v>
      </c>
      <c r="AQ699" s="20">
        <f>Table1[[#This Row],[balls scored high]]+Table1[[#This Row],[Auton Scored High]]</f>
        <v>0</v>
      </c>
      <c r="AR699" s="20">
        <f>Table1[[#This Row],[balls scored low]]+Table1[[#This Row],[Auton Scored Low]]</f>
        <v>0</v>
      </c>
      <c r="AS699" s="50">
        <f>IF(Table1[[#This Row],[Control Panel Spun Time]]&gt;0,1,0)</f>
        <v>0</v>
      </c>
      <c r="AT699" s="20">
        <f>IF(Table1[[#This Row],[Control Panel Color Time]]&gt;0,1,0)</f>
        <v>0</v>
      </c>
    </row>
    <row r="700" spans="1:46" x14ac:dyDescent="0.25">
      <c r="A700"/>
      <c r="I700" s="8">
        <f>+Table1[[#This Row],[Auton ball picked up in our trench]]+Table1[[#This Row],[Auton Balls Picked Up in Mid]]+Table1[[#This Row],[Auton Balls Picked Up In Their Trench]]</f>
        <v>0</v>
      </c>
      <c r="J700" s="8">
        <f>+Table1[[#This Row],[Auton Scored High]]+Table1[[#This Row],[Auton Scored Low]]</f>
        <v>0</v>
      </c>
      <c r="K700"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700" s="8">
        <f>Table1[[#This Row],[Balls Scored From Trench]]+Table1[[#This Row],[Balls Scored from Mid]]+Table1[[#This Row],[Balls Scored From Alliance zone]]</f>
        <v>0</v>
      </c>
      <c r="W700" s="8">
        <f>Table1[[#This Row],[balls scored high]]+Table1[[#This Row],[balls scored low]]</f>
        <v>0</v>
      </c>
      <c r="X700" s="8">
        <f>Table1[[#This Row],[Control Panel Spun Time]]+Table1[[#This Row],[Control Panel Color Time]]</f>
        <v>0</v>
      </c>
      <c r="Y700" s="8">
        <f>Table1[[#This Row],[Control Panels Spun]]+Table1[[#This Row],[Control Panel Color]]</f>
        <v>0</v>
      </c>
      <c r="Z700"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700" s="17">
        <f>(Table1[[#This Row],[Climbed]]*weighting!$B$18)+(Table1[[#This Row],[Adjustable Climber]]*weighting!$B$19)+(Table1[[#This Row],[Lift other Robot]]*weighting!$B$20)+(Table1[[#This Row],[Balanced]]*weighting!$B$21)</f>
        <v>0</v>
      </c>
      <c r="AL700" s="8">
        <f>+Table1[[#This Row],[Endgame our score]]+Table1[[#This Row],[teleop our score]]+Table1[[#This Row],[auton our score]]</f>
        <v>0</v>
      </c>
      <c r="AM700" s="20">
        <f t="shared" si="30"/>
        <v>0</v>
      </c>
      <c r="AN700" s="20">
        <f t="shared" si="31"/>
        <v>0</v>
      </c>
      <c r="AO700" s="20">
        <f t="shared" si="32"/>
        <v>0</v>
      </c>
      <c r="AP700" s="20">
        <f>Table1[[#This Row],[balls scored]]+Table1[[#This Row],[auton balls scored]]</f>
        <v>0</v>
      </c>
      <c r="AQ700" s="20">
        <f>Table1[[#This Row],[balls scored high]]+Table1[[#This Row],[Auton Scored High]]</f>
        <v>0</v>
      </c>
      <c r="AR700" s="20">
        <f>Table1[[#This Row],[balls scored low]]+Table1[[#This Row],[Auton Scored Low]]</f>
        <v>0</v>
      </c>
      <c r="AS700" s="50">
        <f>IF(Table1[[#This Row],[Control Panel Spun Time]]&gt;0,1,0)</f>
        <v>0</v>
      </c>
      <c r="AT700" s="20">
        <f>IF(Table1[[#This Row],[Control Panel Color Time]]&gt;0,1,0)</f>
        <v>0</v>
      </c>
    </row>
    <row r="701" spans="1:46" x14ac:dyDescent="0.25">
      <c r="A701"/>
      <c r="I701" s="8">
        <f>+Table1[[#This Row],[Auton ball picked up in our trench]]+Table1[[#This Row],[Auton Balls Picked Up in Mid]]+Table1[[#This Row],[Auton Balls Picked Up In Their Trench]]</f>
        <v>0</v>
      </c>
      <c r="J701" s="8">
        <f>+Table1[[#This Row],[Auton Scored High]]+Table1[[#This Row],[Auton Scored Low]]</f>
        <v>0</v>
      </c>
      <c r="K701"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701" s="8">
        <f>Table1[[#This Row],[Balls Scored From Trench]]+Table1[[#This Row],[Balls Scored from Mid]]+Table1[[#This Row],[Balls Scored From Alliance zone]]</f>
        <v>0</v>
      </c>
      <c r="W701" s="8">
        <f>Table1[[#This Row],[balls scored high]]+Table1[[#This Row],[balls scored low]]</f>
        <v>0</v>
      </c>
      <c r="X701" s="8">
        <f>Table1[[#This Row],[Control Panel Spun Time]]+Table1[[#This Row],[Control Panel Color Time]]</f>
        <v>0</v>
      </c>
      <c r="Y701" s="8">
        <f>Table1[[#This Row],[Control Panels Spun]]+Table1[[#This Row],[Control Panel Color]]</f>
        <v>0</v>
      </c>
      <c r="Z701"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701" s="17">
        <f>(Table1[[#This Row],[Climbed]]*weighting!$B$18)+(Table1[[#This Row],[Adjustable Climber]]*weighting!$B$19)+(Table1[[#This Row],[Lift other Robot]]*weighting!$B$20)+(Table1[[#This Row],[Balanced]]*weighting!$B$21)</f>
        <v>0</v>
      </c>
      <c r="AL701" s="8">
        <f>+Table1[[#This Row],[Endgame our score]]+Table1[[#This Row],[teleop our score]]+Table1[[#This Row],[auton our score]]</f>
        <v>0</v>
      </c>
      <c r="AM701" s="20">
        <f t="shared" si="30"/>
        <v>0</v>
      </c>
      <c r="AN701" s="20">
        <f t="shared" si="31"/>
        <v>0</v>
      </c>
      <c r="AO701" s="20">
        <f t="shared" si="32"/>
        <v>0</v>
      </c>
      <c r="AP701" s="20">
        <f>Table1[[#This Row],[balls scored]]+Table1[[#This Row],[auton balls scored]]</f>
        <v>0</v>
      </c>
      <c r="AQ701" s="20">
        <f>Table1[[#This Row],[balls scored high]]+Table1[[#This Row],[Auton Scored High]]</f>
        <v>0</v>
      </c>
      <c r="AR701" s="20">
        <f>Table1[[#This Row],[balls scored low]]+Table1[[#This Row],[Auton Scored Low]]</f>
        <v>0</v>
      </c>
      <c r="AS701" s="50">
        <f>IF(Table1[[#This Row],[Control Panel Spun Time]]&gt;0,1,0)</f>
        <v>0</v>
      </c>
      <c r="AT701" s="20">
        <f>IF(Table1[[#This Row],[Control Panel Color Time]]&gt;0,1,0)</f>
        <v>0</v>
      </c>
    </row>
    <row r="702" spans="1:46" x14ac:dyDescent="0.25">
      <c r="A702"/>
      <c r="I702" s="8">
        <f>+Table1[[#This Row],[Auton ball picked up in our trench]]+Table1[[#This Row],[Auton Balls Picked Up in Mid]]+Table1[[#This Row],[Auton Balls Picked Up In Their Trench]]</f>
        <v>0</v>
      </c>
      <c r="J702" s="8">
        <f>+Table1[[#This Row],[Auton Scored High]]+Table1[[#This Row],[Auton Scored Low]]</f>
        <v>0</v>
      </c>
      <c r="K702" s="8">
        <f>(Table1[[#This Row],[Auton Scored High]]*weighting!$B$1)+(Table1[[#This Row],[Auton Scored Low]]*weighting!$B$2)+(Table1[[#This Row],[Auton ball picked up in our trench]]*weighting!$B$6)+(Table1[[#This Row],[Auton Balls Picked Up In Their Trench]]*weighting!$B$3)+(Table1[[#This Row],[Auton Move Off Line]]*weighting!$B$4)+(Table1[[#This Row],[Auton Balls Picked Up in Mid]]*weighting!$B$5)</f>
        <v>0</v>
      </c>
      <c r="V702" s="8">
        <f>Table1[[#This Row],[Balls Scored From Trench]]+Table1[[#This Row],[Balls Scored from Mid]]+Table1[[#This Row],[Balls Scored From Alliance zone]]</f>
        <v>0</v>
      </c>
      <c r="W702" s="8">
        <f>Table1[[#This Row],[balls scored high]]+Table1[[#This Row],[balls scored low]]</f>
        <v>0</v>
      </c>
      <c r="X702" s="8">
        <f>Table1[[#This Row],[Control Panel Spun Time]]+Table1[[#This Row],[Control Panel Color Time]]</f>
        <v>0</v>
      </c>
      <c r="Y702" s="8">
        <f>Table1[[#This Row],[Control Panels Spun]]+Table1[[#This Row],[Control Panel Color]]</f>
        <v>0</v>
      </c>
      <c r="Z702" s="8">
        <f>(Table1[[#This Row],[Balls Scored From Trench]]*weighting!$B$8)+(Table1[[#This Row],[Balls Scored from Mid]]*weighting!$B$9)+(Table1[[#This Row],[Balls Scored From Alliance zone]]*weighting!$B$10)+(Table1[[#This Row],[balls scored low]]*weighting!$B$11)+(Table1[[#This Row],[Balls Passed]]*weighting!$B$12)+(Table1[[#This Row],[Control Panels Spun]]*weighting!$B$13)+(Table1[[#This Row],[Control Panel Color]]*weighting!$B$14)+(Table1[[#This Row],[Defense Level]]*weighting!$B$15)</f>
        <v>0</v>
      </c>
      <c r="AK702" s="17">
        <f>(Table1[[#This Row],[Climbed]]*weighting!$B$18)+(Table1[[#This Row],[Adjustable Climber]]*weighting!$B$19)+(Table1[[#This Row],[Lift other Robot]]*weighting!$B$20)+(Table1[[#This Row],[Balanced]]*weighting!$B$21)</f>
        <v>0</v>
      </c>
      <c r="AL702" s="8">
        <f>+Table1[[#This Row],[Endgame our score]]+Table1[[#This Row],[teleop our score]]+Table1[[#This Row],[auton our score]]</f>
        <v>0</v>
      </c>
      <c r="AM702" s="20">
        <f t="shared" si="30"/>
        <v>0</v>
      </c>
      <c r="AN702" s="20">
        <f t="shared" si="31"/>
        <v>0</v>
      </c>
      <c r="AO702" s="20">
        <f t="shared" si="32"/>
        <v>0</v>
      </c>
      <c r="AP702" s="20">
        <f>Table1[[#This Row],[balls scored]]+Table1[[#This Row],[auton balls scored]]</f>
        <v>0</v>
      </c>
      <c r="AQ702" s="20">
        <f>Table1[[#This Row],[balls scored high]]+Table1[[#This Row],[Auton Scored High]]</f>
        <v>0</v>
      </c>
      <c r="AR702" s="20">
        <f>Table1[[#This Row],[balls scored low]]+Table1[[#This Row],[Auton Scored Low]]</f>
        <v>0</v>
      </c>
      <c r="AS702" s="50">
        <f>IF(Table1[[#This Row],[Control Panel Spun Time]]&gt;0,1,0)</f>
        <v>0</v>
      </c>
      <c r="AT702" s="20">
        <f>IF(Table1[[#This Row],[Control Panel Color Time]]&gt;0,1,0)</f>
        <v>0</v>
      </c>
    </row>
  </sheetData>
  <phoneticPr fontId="9" type="noConversion"/>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55E07-F93B-4C61-889D-5035355461FF}">
  <sheetPr codeName="Sheet7"/>
  <dimension ref="A1:BD84"/>
  <sheetViews>
    <sheetView showGridLines="0" zoomScaleNormal="100" workbookViewId="0">
      <selection activeCell="G34" sqref="G34"/>
    </sheetView>
  </sheetViews>
  <sheetFormatPr defaultRowHeight="15" x14ac:dyDescent="0.25"/>
  <cols>
    <col min="29" max="29" width="8.42578125" customWidth="1"/>
    <col min="30" max="46" width="9.140625" style="18"/>
    <col min="47" max="50" width="9.140625" style="23"/>
    <col min="51" max="51" width="11.5703125" style="23" customWidth="1"/>
    <col min="52" max="53" width="9.140625" style="23"/>
    <col min="54" max="54" width="15.42578125" style="23" customWidth="1"/>
    <col min="55" max="56" width="9.140625" style="23"/>
  </cols>
  <sheetData>
    <row r="1" spans="1:54" x14ac:dyDescent="0.25">
      <c r="A1" s="22"/>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row>
    <row r="2" spans="1:54" x14ac:dyDescent="0.25">
      <c r="A2" s="22"/>
      <c r="B2" s="22"/>
      <c r="C2" s="22"/>
      <c r="D2" s="22"/>
      <c r="E2" s="22"/>
      <c r="F2" s="22"/>
      <c r="G2" s="22"/>
      <c r="H2" s="22"/>
      <c r="I2" s="22"/>
      <c r="J2" s="22"/>
      <c r="K2" s="22"/>
      <c r="L2" s="22"/>
      <c r="M2" s="22"/>
      <c r="N2" s="22"/>
      <c r="O2" s="22"/>
      <c r="P2" s="22"/>
      <c r="Q2" s="22"/>
      <c r="R2" s="22"/>
      <c r="S2" s="22"/>
      <c r="T2" s="22"/>
      <c r="U2" s="22"/>
      <c r="V2" s="22"/>
      <c r="W2" s="22"/>
      <c r="X2" s="22"/>
      <c r="Y2" s="22"/>
      <c r="Z2" s="22"/>
      <c r="AA2" s="22"/>
      <c r="AB2" s="22"/>
      <c r="AC2" s="22"/>
    </row>
    <row r="3" spans="1:54" x14ac:dyDescent="0.25">
      <c r="A3" s="22"/>
      <c r="B3" s="22"/>
      <c r="C3" s="22"/>
      <c r="D3" s="22"/>
      <c r="E3" s="22"/>
      <c r="F3" s="22"/>
      <c r="G3" s="22"/>
      <c r="H3" s="22"/>
      <c r="I3" s="22"/>
      <c r="J3" s="22"/>
      <c r="K3" s="22"/>
      <c r="L3" s="22"/>
      <c r="M3" s="22"/>
      <c r="N3" s="22"/>
      <c r="O3" s="22"/>
      <c r="P3" s="22"/>
      <c r="Q3" s="22"/>
      <c r="R3" s="22"/>
      <c r="S3" s="22"/>
      <c r="T3" s="22"/>
      <c r="U3" s="22"/>
      <c r="V3" s="22"/>
      <c r="W3" s="22"/>
      <c r="X3" s="22"/>
      <c r="Y3" s="22"/>
      <c r="Z3" s="22"/>
      <c r="AA3" s="22"/>
      <c r="AB3" s="22"/>
      <c r="AC3" s="22"/>
      <c r="AU3" s="23" t="s">
        <v>100</v>
      </c>
      <c r="AV3" s="23">
        <f ca="1">MAX(AV4:AV6)</f>
        <v>0</v>
      </c>
      <c r="AX3" s="23" t="s">
        <v>101</v>
      </c>
      <c r="AY3" s="23" t="s">
        <v>102</v>
      </c>
      <c r="AZ3" s="23" t="s">
        <v>103</v>
      </c>
      <c r="BB3" s="23" t="s">
        <v>104</v>
      </c>
    </row>
    <row r="4" spans="1:54" x14ac:dyDescent="0.25">
      <c r="A4" s="22"/>
      <c r="B4" s="22"/>
      <c r="C4" s="22"/>
      <c r="D4" s="22"/>
      <c r="E4" s="22"/>
      <c r="F4" s="22"/>
      <c r="G4" s="22"/>
      <c r="H4" s="22"/>
      <c r="I4" s="22"/>
      <c r="J4" s="22"/>
      <c r="K4" s="22"/>
      <c r="L4" s="22"/>
      <c r="M4" s="22"/>
      <c r="N4" s="22"/>
      <c r="O4" s="22"/>
      <c r="P4" s="22"/>
      <c r="Q4" s="22"/>
      <c r="R4" s="22"/>
      <c r="S4" s="22"/>
      <c r="T4" s="22"/>
      <c r="U4" s="22"/>
      <c r="V4" s="22"/>
      <c r="W4" s="22"/>
      <c r="X4" s="22"/>
      <c r="Y4" s="22"/>
      <c r="Z4" s="22"/>
      <c r="AA4" s="22"/>
      <c r="AB4" s="22"/>
      <c r="AC4" s="22"/>
      <c r="AU4" s="23">
        <f>alliance!B1</f>
        <v>316</v>
      </c>
      <c r="AV4" s="24">
        <f ca="1">alliance!D$26</f>
        <v>0</v>
      </c>
      <c r="AX4" s="23">
        <f ca="1">SUMIF(Team,alliance!$B1,auton_start_left)</f>
        <v>0</v>
      </c>
      <c r="AY4" s="23">
        <f ca="1">alliance!D15</f>
        <v>0</v>
      </c>
      <c r="AZ4" s="23">
        <f ca="1">alliance!D16</f>
        <v>0</v>
      </c>
      <c r="BB4" s="23">
        <f>alliance!D4</f>
        <v>2</v>
      </c>
    </row>
    <row r="5" spans="1:54" x14ac:dyDescent="0.25">
      <c r="A5" s="22"/>
      <c r="B5" s="22"/>
      <c r="C5" s="22"/>
      <c r="D5" s="22"/>
      <c r="E5" s="22"/>
      <c r="F5" s="22"/>
      <c r="G5" s="22"/>
      <c r="H5" s="22"/>
      <c r="I5" s="22"/>
      <c r="J5" s="22"/>
      <c r="K5" s="22"/>
      <c r="L5" s="22"/>
      <c r="M5" s="22"/>
      <c r="N5" s="22"/>
      <c r="O5" s="22"/>
      <c r="P5" s="22"/>
      <c r="Q5" s="22"/>
      <c r="R5" s="22"/>
      <c r="S5" s="22"/>
      <c r="T5" s="22"/>
      <c r="U5" s="22"/>
      <c r="V5" s="22"/>
      <c r="W5" s="22"/>
      <c r="X5" s="22"/>
      <c r="Y5" s="22"/>
      <c r="Z5" s="22"/>
      <c r="AA5" s="22"/>
      <c r="AB5" s="22"/>
      <c r="AC5" s="22"/>
      <c r="AU5" s="23">
        <f>alliance!B2</f>
        <v>1350</v>
      </c>
      <c r="AV5" s="24">
        <f ca="1">alliance!E26</f>
        <v>0</v>
      </c>
      <c r="AX5" s="23">
        <f ca="1">SUMIF(Team,alliance!$B2,auton_start_left)</f>
        <v>4</v>
      </c>
      <c r="AY5" s="23">
        <f ca="1">alliance!E15</f>
        <v>0</v>
      </c>
      <c r="AZ5" s="23">
        <f ca="1">alliance!E16</f>
        <v>0</v>
      </c>
      <c r="BB5" s="23">
        <f>alliance!E4</f>
        <v>0.7142857142857143</v>
      </c>
    </row>
    <row r="6" spans="1:54" x14ac:dyDescent="0.25">
      <c r="A6" s="22"/>
      <c r="B6" s="22"/>
      <c r="C6" s="22"/>
      <c r="D6" s="22"/>
      <c r="E6" s="22"/>
      <c r="F6" s="22"/>
      <c r="G6" s="22"/>
      <c r="H6" s="22"/>
      <c r="I6" s="22"/>
      <c r="J6" s="22"/>
      <c r="K6" s="22"/>
      <c r="L6" s="22"/>
      <c r="M6" s="22"/>
      <c r="N6" s="22"/>
      <c r="O6" s="22"/>
      <c r="P6" s="22"/>
      <c r="Q6" s="22"/>
      <c r="R6" s="22"/>
      <c r="S6" s="22"/>
      <c r="T6" s="22"/>
      <c r="U6" s="22"/>
      <c r="V6" s="22"/>
      <c r="W6" s="22"/>
      <c r="X6" s="22"/>
      <c r="Y6" s="22"/>
      <c r="Z6" s="22"/>
      <c r="AA6" s="22"/>
      <c r="AB6" s="22"/>
      <c r="AC6" s="22"/>
      <c r="AU6" s="23">
        <f>alliance!B3</f>
        <v>2262</v>
      </c>
      <c r="AV6" s="24">
        <f ca="1">alliance!F26</f>
        <v>0</v>
      </c>
      <c r="AX6" s="23">
        <f ca="1">SUMIF(Team,alliance!$B3,auton_start_left)</f>
        <v>0</v>
      </c>
      <c r="AY6" s="23">
        <f ca="1">alliance!F15</f>
        <v>0</v>
      </c>
      <c r="AZ6" s="23">
        <f ca="1">alliance!F16</f>
        <v>0</v>
      </c>
      <c r="BB6" s="23">
        <f>alliance!F4</f>
        <v>1</v>
      </c>
    </row>
    <row r="7" spans="1:54" x14ac:dyDescent="0.25">
      <c r="A7" s="22"/>
      <c r="B7" s="22"/>
      <c r="C7" s="22"/>
      <c r="D7" s="22"/>
      <c r="E7" s="22"/>
      <c r="F7" s="22"/>
      <c r="G7" s="22"/>
      <c r="H7" s="22"/>
      <c r="I7" s="22"/>
      <c r="J7" s="22"/>
      <c r="K7" s="22"/>
      <c r="L7" s="22"/>
      <c r="M7" s="22"/>
      <c r="N7" s="22"/>
      <c r="O7" s="22"/>
      <c r="P7" s="22"/>
      <c r="Q7" s="22"/>
      <c r="R7" s="22"/>
      <c r="S7" s="22"/>
      <c r="T7" s="22"/>
      <c r="U7" s="22"/>
      <c r="V7" s="22"/>
      <c r="W7" s="22"/>
      <c r="X7" s="22"/>
      <c r="Y7" s="22"/>
      <c r="Z7" s="22"/>
      <c r="AA7" s="22"/>
      <c r="AB7" s="22"/>
      <c r="AC7" s="22"/>
    </row>
    <row r="8" spans="1:54" x14ac:dyDescent="0.25">
      <c r="A8" s="22"/>
      <c r="B8" s="22"/>
      <c r="C8" s="22"/>
      <c r="D8" s="22"/>
      <c r="E8" s="22"/>
      <c r="F8" s="22"/>
      <c r="G8" s="22"/>
      <c r="H8" s="22"/>
      <c r="I8" s="22"/>
      <c r="J8" s="22"/>
      <c r="K8" s="22"/>
      <c r="L8" s="22"/>
      <c r="M8" s="22"/>
      <c r="N8" s="22"/>
      <c r="O8" s="22"/>
      <c r="P8" s="22"/>
      <c r="Q8" s="22"/>
      <c r="R8" s="22"/>
      <c r="S8" s="22"/>
      <c r="T8" s="22"/>
      <c r="U8" s="22"/>
      <c r="V8" s="22"/>
      <c r="W8" s="22"/>
      <c r="X8" s="22"/>
      <c r="Y8" s="22"/>
      <c r="Z8" s="22"/>
      <c r="AA8" s="22"/>
      <c r="AB8" s="22"/>
      <c r="AC8" s="22"/>
    </row>
    <row r="9" spans="1:54" x14ac:dyDescent="0.25">
      <c r="A9" s="22"/>
      <c r="B9" s="22"/>
      <c r="C9" s="22"/>
      <c r="D9" s="22"/>
      <c r="E9" s="22"/>
      <c r="F9" s="22"/>
      <c r="G9" s="22"/>
      <c r="H9" s="22"/>
      <c r="I9" s="22"/>
      <c r="J9" s="22"/>
      <c r="K9" s="22"/>
      <c r="L9" s="22"/>
      <c r="M9" s="22"/>
      <c r="N9" s="22"/>
      <c r="O9" s="22"/>
      <c r="P9" s="22"/>
      <c r="Q9" s="22"/>
      <c r="R9" s="22"/>
      <c r="S9" s="22"/>
      <c r="T9" s="22"/>
      <c r="U9" s="22"/>
      <c r="V9" s="22"/>
      <c r="W9" s="22"/>
      <c r="X9" s="22"/>
      <c r="Y9" s="22"/>
      <c r="Z9" s="22"/>
      <c r="AA9" s="22"/>
      <c r="AB9" s="22"/>
      <c r="AC9" s="22"/>
      <c r="AU9" s="23" t="s">
        <v>99</v>
      </c>
      <c r="AV9" s="23">
        <f ca="1">MAX(AV10:AV12)</f>
        <v>0</v>
      </c>
      <c r="AX9" s="23" t="s">
        <v>101</v>
      </c>
      <c r="AY9" s="23" t="s">
        <v>102</v>
      </c>
      <c r="AZ9" s="23" t="s">
        <v>103</v>
      </c>
      <c r="BB9" s="23" t="s">
        <v>104</v>
      </c>
    </row>
    <row r="10" spans="1:54" x14ac:dyDescent="0.25">
      <c r="A10" s="22"/>
      <c r="B10" s="22"/>
      <c r="C10" s="22"/>
      <c r="D10" s="22"/>
      <c r="E10" s="22"/>
      <c r="F10" s="22"/>
      <c r="G10" s="22"/>
      <c r="H10" s="22"/>
      <c r="I10" s="22"/>
      <c r="J10" s="22"/>
      <c r="K10" s="22"/>
      <c r="L10" s="22"/>
      <c r="M10" s="22"/>
      <c r="N10" s="22"/>
      <c r="O10" s="22"/>
      <c r="P10" s="22"/>
      <c r="Q10" s="22"/>
      <c r="R10" s="22"/>
      <c r="S10" s="22"/>
      <c r="T10" s="22"/>
      <c r="U10" s="22"/>
      <c r="V10" s="22"/>
      <c r="W10" s="22"/>
      <c r="X10" s="22"/>
      <c r="Y10" s="22"/>
      <c r="Z10" s="22"/>
      <c r="AA10" s="22"/>
      <c r="AB10" s="22"/>
      <c r="AC10" s="22"/>
      <c r="AU10" s="23">
        <f>alliance!B4</f>
        <v>7153</v>
      </c>
      <c r="AV10" s="24">
        <f ca="1">alliance!H26</f>
        <v>0</v>
      </c>
      <c r="AX10" s="23">
        <f ca="1">alliance!H14</f>
        <v>0</v>
      </c>
      <c r="AY10" s="23">
        <f ca="1">alliance!H15</f>
        <v>0</v>
      </c>
      <c r="AZ10" s="23">
        <f ca="1">alliance!H16</f>
        <v>0</v>
      </c>
      <c r="BB10" s="23">
        <f>alliance!H4</f>
        <v>0.33333333333333331</v>
      </c>
    </row>
    <row r="11" spans="1:54" x14ac:dyDescent="0.25">
      <c r="A11" s="22"/>
      <c r="B11" s="22"/>
      <c r="C11" s="22"/>
      <c r="D11" s="22"/>
      <c r="E11" s="22"/>
      <c r="F11" s="22"/>
      <c r="G11" s="22"/>
      <c r="H11" s="22"/>
      <c r="I11" s="22"/>
      <c r="J11" s="22"/>
      <c r="K11" s="22"/>
      <c r="L11" s="22"/>
      <c r="M11" s="22"/>
      <c r="N11" s="22"/>
      <c r="O11" s="22"/>
      <c r="P11" s="22"/>
      <c r="Q11" s="22"/>
      <c r="R11" s="22"/>
      <c r="S11" s="22"/>
      <c r="T11" s="22"/>
      <c r="U11" s="22"/>
      <c r="V11" s="22"/>
      <c r="W11" s="22"/>
      <c r="X11" s="22"/>
      <c r="Y11" s="22"/>
      <c r="Z11" s="22"/>
      <c r="AA11" s="22"/>
      <c r="AB11" s="22"/>
      <c r="AC11" s="22"/>
      <c r="AU11" s="23">
        <f>alliance!B5</f>
        <v>7760</v>
      </c>
      <c r="AV11" s="24">
        <f ca="1">alliance!I26</f>
        <v>0</v>
      </c>
      <c r="AX11" s="23">
        <f ca="1">alliance!I14</f>
        <v>0</v>
      </c>
      <c r="AY11" s="23">
        <f ca="1">alliance!I15</f>
        <v>0</v>
      </c>
      <c r="AZ11" s="23">
        <f ca="1">alliance!I16</f>
        <v>0</v>
      </c>
      <c r="BB11" s="23">
        <f>alliance!I4</f>
        <v>0.16666666666666666</v>
      </c>
    </row>
    <row r="12" spans="1:54" x14ac:dyDescent="0.25">
      <c r="A12" s="22"/>
      <c r="B12" s="22"/>
      <c r="C12" s="22"/>
      <c r="D12" s="22"/>
      <c r="E12" s="22"/>
      <c r="F12" s="22"/>
      <c r="G12" s="22"/>
      <c r="H12" s="22"/>
      <c r="I12" s="22"/>
      <c r="J12" s="22"/>
      <c r="K12" s="22"/>
      <c r="L12" s="22"/>
      <c r="M12" s="22"/>
      <c r="N12" s="22"/>
      <c r="O12" s="22"/>
      <c r="P12" s="22"/>
      <c r="Q12" s="22"/>
      <c r="R12" s="22"/>
      <c r="S12" s="22"/>
      <c r="T12" s="22"/>
      <c r="U12" s="22"/>
      <c r="V12" s="22"/>
      <c r="W12" s="22"/>
      <c r="X12" s="22"/>
      <c r="Y12" s="22"/>
      <c r="Z12" s="22"/>
      <c r="AA12" s="22"/>
      <c r="AB12" s="22"/>
      <c r="AC12" s="22"/>
      <c r="AU12" s="23">
        <f>alliance!B6</f>
        <v>4987</v>
      </c>
      <c r="AV12" s="24">
        <f ca="1">alliance!J26</f>
        <v>0</v>
      </c>
      <c r="AX12" s="23">
        <f ca="1">alliance!J14</f>
        <v>0</v>
      </c>
      <c r="AY12" s="23">
        <f ca="1">alliance!J15</f>
        <v>0</v>
      </c>
      <c r="AZ12" s="23">
        <f ca="1">alliance!J16</f>
        <v>0</v>
      </c>
      <c r="BB12" s="23">
        <f>alliance!J4</f>
        <v>1.3333333333333333</v>
      </c>
    </row>
    <row r="13" spans="1:54" x14ac:dyDescent="0.25">
      <c r="A13" s="22"/>
      <c r="B13" s="22"/>
      <c r="C13" s="22"/>
      <c r="D13" s="22"/>
      <c r="E13" s="22"/>
      <c r="F13" s="22"/>
      <c r="G13" s="22"/>
      <c r="H13" s="22"/>
      <c r="I13" s="22"/>
      <c r="J13" s="22"/>
      <c r="K13" s="22"/>
      <c r="L13" s="22"/>
      <c r="M13" s="22"/>
      <c r="N13" s="22"/>
      <c r="O13" s="22"/>
      <c r="P13" s="22"/>
      <c r="Q13" s="22"/>
      <c r="R13" s="22"/>
      <c r="S13" s="22"/>
      <c r="T13" s="22"/>
      <c r="U13" s="22"/>
      <c r="V13" s="22"/>
      <c r="W13" s="22"/>
      <c r="X13" s="22"/>
      <c r="Y13" s="22"/>
      <c r="Z13" s="22"/>
      <c r="AA13" s="22"/>
      <c r="AB13" s="22"/>
      <c r="AC13" s="22"/>
    </row>
    <row r="14" spans="1:54" x14ac:dyDescent="0.25">
      <c r="A14" s="22"/>
      <c r="B14" s="22"/>
      <c r="C14" s="22"/>
      <c r="D14" s="22"/>
      <c r="E14" s="22"/>
      <c r="F14" s="22"/>
      <c r="G14" s="22"/>
      <c r="H14" s="22"/>
      <c r="I14" s="22"/>
      <c r="J14" s="22"/>
      <c r="K14" s="22"/>
      <c r="L14" s="22"/>
      <c r="M14" s="22"/>
      <c r="N14" s="22"/>
      <c r="O14" s="22"/>
      <c r="P14" s="22"/>
      <c r="Q14" s="22"/>
      <c r="R14" s="22"/>
      <c r="S14" s="22"/>
      <c r="T14" s="22"/>
      <c r="U14" s="22"/>
      <c r="V14" s="22"/>
      <c r="W14" s="22"/>
      <c r="X14" s="22"/>
      <c r="Y14" s="22"/>
      <c r="Z14" s="22"/>
      <c r="AA14" s="22"/>
      <c r="AB14" s="22"/>
      <c r="AC14" s="22"/>
    </row>
    <row r="15" spans="1:54" x14ac:dyDescent="0.25">
      <c r="A15" s="22"/>
      <c r="B15" s="22"/>
      <c r="C15" s="22"/>
      <c r="D15" s="22"/>
      <c r="E15" s="22"/>
      <c r="F15" s="22"/>
      <c r="G15" s="22"/>
      <c r="H15" s="22"/>
      <c r="I15" s="22"/>
      <c r="J15" s="22"/>
      <c r="K15" s="22"/>
      <c r="L15" s="22"/>
      <c r="M15" s="22"/>
      <c r="N15" s="22"/>
      <c r="O15" s="22"/>
      <c r="P15" s="22"/>
      <c r="Q15" s="22"/>
      <c r="R15" s="22"/>
      <c r="S15" s="22"/>
      <c r="T15" s="22"/>
      <c r="U15" s="22"/>
      <c r="V15" s="22"/>
      <c r="W15" s="22"/>
      <c r="X15" s="22"/>
      <c r="Y15" s="22"/>
      <c r="Z15" s="22"/>
      <c r="AA15" s="22"/>
      <c r="AB15" s="22"/>
      <c r="AC15" s="22"/>
    </row>
    <row r="16" spans="1:54" x14ac:dyDescent="0.25">
      <c r="A16" s="22"/>
      <c r="B16" s="22"/>
      <c r="C16" s="22"/>
      <c r="D16" s="22"/>
      <c r="E16" s="22"/>
      <c r="F16" s="22"/>
      <c r="G16" s="22"/>
      <c r="H16" s="22"/>
      <c r="I16" s="22"/>
      <c r="J16" s="22"/>
      <c r="K16" s="22"/>
      <c r="L16" s="22"/>
      <c r="M16" s="22"/>
      <c r="N16" s="22"/>
      <c r="O16" s="22"/>
      <c r="P16" s="22"/>
      <c r="Q16" s="22"/>
      <c r="R16" s="22"/>
      <c r="S16" s="22"/>
      <c r="T16" s="22"/>
      <c r="U16" s="22"/>
      <c r="V16" s="22"/>
      <c r="W16" s="22"/>
      <c r="X16" s="22"/>
      <c r="Y16" s="22"/>
      <c r="Z16" s="22"/>
      <c r="AA16" s="22"/>
      <c r="AB16" s="22"/>
      <c r="AC16" s="22"/>
    </row>
    <row r="17" spans="1:29" x14ac:dyDescent="0.25">
      <c r="A17" s="22"/>
      <c r="B17" s="22"/>
      <c r="C17" s="22"/>
      <c r="D17" s="22"/>
      <c r="E17" s="22"/>
      <c r="F17" s="22"/>
      <c r="G17" s="22"/>
      <c r="H17" s="22"/>
      <c r="I17" s="22"/>
      <c r="J17" s="22"/>
      <c r="K17" s="22"/>
      <c r="L17" s="22"/>
      <c r="M17" s="22"/>
      <c r="N17" s="22"/>
      <c r="O17" s="22"/>
      <c r="P17" s="22"/>
      <c r="Q17" s="22"/>
      <c r="R17" s="22"/>
      <c r="S17" s="22"/>
      <c r="T17" s="22"/>
      <c r="U17" s="22"/>
      <c r="V17" s="22"/>
      <c r="W17" s="22"/>
      <c r="X17" s="22"/>
      <c r="Y17" s="22"/>
      <c r="Z17" s="22"/>
      <c r="AA17" s="22"/>
      <c r="AB17" s="22"/>
      <c r="AC17" s="22"/>
    </row>
    <row r="18" spans="1:29" x14ac:dyDescent="0.25">
      <c r="A18" s="22"/>
      <c r="B18" s="22"/>
      <c r="C18" s="22"/>
      <c r="D18" s="22"/>
      <c r="E18" s="22"/>
      <c r="F18" s="22"/>
      <c r="G18" s="22"/>
      <c r="H18" s="22"/>
      <c r="I18" s="22"/>
      <c r="J18" s="22"/>
      <c r="K18" s="22"/>
      <c r="L18" s="22"/>
      <c r="M18" s="22"/>
      <c r="N18" s="22"/>
      <c r="O18" s="22"/>
      <c r="P18" s="22"/>
      <c r="Q18" s="22"/>
      <c r="R18" s="22"/>
      <c r="S18" s="22"/>
      <c r="T18" s="22"/>
      <c r="U18" s="22"/>
      <c r="V18" s="22"/>
      <c r="W18" s="22"/>
      <c r="X18" s="22"/>
      <c r="Y18" s="22"/>
      <c r="Z18" s="22"/>
      <c r="AA18" s="22"/>
      <c r="AB18" s="22"/>
      <c r="AC18" s="22"/>
    </row>
    <row r="19" spans="1:29" x14ac:dyDescent="0.25">
      <c r="A19" s="22"/>
      <c r="B19" s="22"/>
      <c r="C19" s="22"/>
      <c r="D19" s="22"/>
      <c r="E19" s="22"/>
      <c r="F19" s="22"/>
      <c r="G19" s="22"/>
      <c r="H19" s="22"/>
      <c r="I19" s="22"/>
      <c r="J19" s="22"/>
      <c r="K19" s="22"/>
      <c r="L19" s="22"/>
      <c r="M19" s="22"/>
      <c r="N19" s="22"/>
      <c r="O19" s="22"/>
      <c r="P19" s="22"/>
      <c r="Q19" s="22"/>
      <c r="R19" s="22"/>
      <c r="S19" s="22"/>
      <c r="T19" s="22"/>
      <c r="U19" s="22"/>
      <c r="V19" s="22"/>
      <c r="W19" s="22"/>
      <c r="X19" s="22"/>
      <c r="Y19" s="22"/>
      <c r="Z19" s="22"/>
      <c r="AA19" s="22"/>
      <c r="AB19" s="22"/>
      <c r="AC19" s="22"/>
    </row>
    <row r="20" spans="1:29" x14ac:dyDescent="0.25">
      <c r="A20" s="22"/>
      <c r="B20" s="22"/>
      <c r="C20" s="22"/>
      <c r="D20" s="22"/>
      <c r="E20" s="22"/>
      <c r="F20" s="22"/>
      <c r="G20" s="22"/>
      <c r="H20" s="22"/>
      <c r="I20" s="22"/>
      <c r="J20" s="22"/>
      <c r="K20" s="22"/>
      <c r="L20" s="22"/>
      <c r="M20" s="22"/>
      <c r="N20" s="22"/>
      <c r="O20" s="22"/>
      <c r="P20" s="22"/>
      <c r="Q20" s="22"/>
      <c r="R20" s="22"/>
      <c r="S20" s="22"/>
      <c r="T20" s="22"/>
      <c r="U20" s="22"/>
      <c r="V20" s="22"/>
      <c r="W20" s="22"/>
      <c r="X20" s="22"/>
      <c r="Y20" s="22"/>
      <c r="Z20" s="22"/>
      <c r="AA20" s="22"/>
      <c r="AB20" s="22"/>
      <c r="AC20" s="22"/>
    </row>
    <row r="21" spans="1:29" x14ac:dyDescent="0.25">
      <c r="A21" s="22"/>
      <c r="B21" s="22"/>
      <c r="C21" s="22"/>
      <c r="D21" s="22"/>
      <c r="E21" s="22"/>
      <c r="F21" s="22"/>
      <c r="G21" s="22"/>
      <c r="H21" s="22"/>
      <c r="I21" s="22"/>
      <c r="J21" s="22"/>
      <c r="K21" s="22"/>
      <c r="L21" s="22"/>
      <c r="M21" s="22"/>
      <c r="N21" s="22"/>
      <c r="O21" s="22"/>
      <c r="P21" s="22"/>
      <c r="Q21" s="22"/>
      <c r="R21" s="22"/>
      <c r="S21" s="22"/>
      <c r="T21" s="22"/>
      <c r="U21" s="22"/>
      <c r="V21" s="22"/>
      <c r="W21" s="22"/>
      <c r="X21" s="22"/>
      <c r="Y21" s="22"/>
      <c r="Z21" s="22"/>
      <c r="AA21" s="22"/>
      <c r="AB21" s="22"/>
      <c r="AC21" s="22"/>
    </row>
    <row r="22" spans="1:29" x14ac:dyDescent="0.25">
      <c r="A22" s="22"/>
      <c r="B22" s="22"/>
      <c r="C22" s="22"/>
      <c r="D22" s="22"/>
      <c r="E22" s="22"/>
      <c r="F22" s="22"/>
      <c r="G22" s="22"/>
      <c r="H22" s="22"/>
      <c r="I22" s="22"/>
      <c r="J22" s="22"/>
      <c r="K22" s="22"/>
      <c r="L22" s="22"/>
      <c r="M22" s="22"/>
      <c r="N22" s="22"/>
      <c r="O22" s="22"/>
      <c r="P22" s="22"/>
      <c r="Q22" s="22"/>
      <c r="R22" s="22"/>
      <c r="S22" s="22"/>
      <c r="T22" s="22"/>
      <c r="U22" s="22"/>
      <c r="V22" s="22"/>
      <c r="W22" s="22"/>
      <c r="X22" s="22"/>
      <c r="Y22" s="22"/>
      <c r="Z22" s="22"/>
      <c r="AA22" s="22"/>
      <c r="AB22" s="22"/>
      <c r="AC22" s="22"/>
    </row>
    <row r="23" spans="1:29" x14ac:dyDescent="0.25">
      <c r="A23" s="22"/>
      <c r="B23" s="22"/>
      <c r="C23" s="22"/>
      <c r="D23" s="22"/>
      <c r="E23" s="22"/>
      <c r="F23" s="22"/>
      <c r="G23" s="22"/>
      <c r="H23" s="22"/>
      <c r="I23" s="22"/>
      <c r="J23" s="22"/>
      <c r="K23" s="22"/>
      <c r="L23" s="22"/>
      <c r="M23" s="22"/>
      <c r="N23" s="22"/>
      <c r="O23" s="22"/>
      <c r="P23" s="22"/>
      <c r="Q23" s="22"/>
      <c r="R23" s="22"/>
      <c r="S23" s="22"/>
      <c r="T23" s="22"/>
      <c r="U23" s="22"/>
      <c r="V23" s="22"/>
      <c r="W23" s="22"/>
      <c r="X23" s="22"/>
      <c r="Y23" s="22"/>
      <c r="Z23" s="22"/>
      <c r="AA23" s="22"/>
      <c r="AB23" s="22"/>
      <c r="AC23" s="22"/>
    </row>
    <row r="24" spans="1:29" x14ac:dyDescent="0.25">
      <c r="A24" s="22"/>
      <c r="B24" s="22"/>
      <c r="C24" s="22"/>
      <c r="D24" s="22"/>
      <c r="E24" s="22"/>
      <c r="F24" s="22"/>
      <c r="G24" s="22"/>
      <c r="H24" s="22"/>
      <c r="I24" s="22"/>
      <c r="J24" s="22"/>
      <c r="K24" s="22"/>
      <c r="L24" s="22"/>
      <c r="M24" s="22"/>
      <c r="N24" s="22"/>
      <c r="O24" s="22"/>
      <c r="P24" s="22"/>
      <c r="Q24" s="22"/>
      <c r="R24" s="22"/>
      <c r="S24" s="22"/>
      <c r="T24" s="22"/>
      <c r="U24" s="22"/>
      <c r="V24" s="22"/>
      <c r="W24" s="22"/>
      <c r="X24" s="22"/>
      <c r="Y24" s="22"/>
      <c r="Z24" s="22"/>
      <c r="AA24" s="22"/>
      <c r="AB24" s="22"/>
      <c r="AC24" s="22"/>
    </row>
    <row r="25" spans="1:29" x14ac:dyDescent="0.25">
      <c r="A25" s="22"/>
      <c r="B25" s="22"/>
      <c r="C25" s="22"/>
      <c r="D25" s="22"/>
      <c r="E25" s="22"/>
      <c r="F25" s="22"/>
      <c r="G25" s="22"/>
      <c r="H25" s="22"/>
      <c r="I25" s="22"/>
      <c r="J25" s="22"/>
      <c r="K25" s="22"/>
      <c r="L25" s="22"/>
      <c r="M25" s="22"/>
      <c r="N25" s="22"/>
      <c r="O25" s="22"/>
      <c r="P25" s="22"/>
      <c r="Q25" s="22"/>
      <c r="R25" s="22"/>
      <c r="S25" s="22"/>
      <c r="T25" s="22"/>
      <c r="U25" s="22"/>
      <c r="V25" s="22"/>
      <c r="W25" s="22"/>
      <c r="X25" s="22"/>
      <c r="Y25" s="22"/>
      <c r="Z25" s="22"/>
      <c r="AA25" s="22"/>
      <c r="AB25" s="22"/>
      <c r="AC25" s="22"/>
    </row>
    <row r="26" spans="1:29" x14ac:dyDescent="0.25">
      <c r="A26" s="22"/>
      <c r="B26" s="22"/>
      <c r="C26" s="22"/>
      <c r="D26" s="22"/>
      <c r="E26" s="22"/>
      <c r="F26" s="22"/>
      <c r="G26" s="22"/>
      <c r="H26" s="22"/>
      <c r="I26" s="22"/>
      <c r="J26" s="22"/>
      <c r="K26" s="22"/>
      <c r="L26" s="22"/>
      <c r="M26" s="22"/>
      <c r="N26" s="22"/>
      <c r="O26" s="22"/>
      <c r="P26" s="22"/>
      <c r="Q26" s="22"/>
      <c r="R26" s="22"/>
      <c r="S26" s="22"/>
      <c r="T26" s="22"/>
      <c r="U26" s="22"/>
      <c r="V26" s="22"/>
      <c r="W26" s="22"/>
      <c r="X26" s="22"/>
      <c r="Y26" s="22"/>
      <c r="Z26" s="22"/>
      <c r="AA26" s="22"/>
      <c r="AB26" s="22"/>
      <c r="AC26" s="22"/>
    </row>
    <row r="27" spans="1:29" x14ac:dyDescent="0.25">
      <c r="A27" s="22"/>
      <c r="B27" s="22"/>
      <c r="C27" s="22"/>
      <c r="D27" s="22"/>
      <c r="E27" s="22"/>
      <c r="F27" s="22"/>
      <c r="G27" s="22"/>
      <c r="H27" s="22"/>
      <c r="I27" s="22"/>
      <c r="J27" s="22"/>
      <c r="K27" s="22"/>
      <c r="L27" s="22"/>
      <c r="M27" s="22"/>
      <c r="N27" s="22"/>
      <c r="O27" s="22"/>
      <c r="P27" s="22"/>
      <c r="Q27" s="22"/>
      <c r="R27" s="22"/>
      <c r="S27" s="22"/>
      <c r="T27" s="22"/>
      <c r="U27" s="22"/>
      <c r="V27" s="22"/>
      <c r="W27" s="22"/>
      <c r="X27" s="22"/>
      <c r="Y27" s="22"/>
      <c r="Z27" s="22"/>
      <c r="AA27" s="22"/>
      <c r="AB27" s="22"/>
      <c r="AC27" s="22"/>
    </row>
    <row r="28" spans="1:29" x14ac:dyDescent="0.25">
      <c r="A28" s="22"/>
      <c r="B28" s="22"/>
      <c r="C28" s="22"/>
      <c r="D28" s="22"/>
      <c r="E28" s="22"/>
      <c r="F28" s="22"/>
      <c r="G28" s="22"/>
      <c r="H28" s="22"/>
      <c r="I28" s="22"/>
      <c r="J28" s="22"/>
      <c r="K28" s="22"/>
      <c r="L28" s="22"/>
      <c r="M28" s="22"/>
      <c r="N28" s="22"/>
      <c r="O28" s="22"/>
      <c r="P28" s="22"/>
      <c r="Q28" s="22"/>
      <c r="R28" s="22"/>
      <c r="S28" s="22"/>
      <c r="T28" s="22"/>
      <c r="U28" s="22"/>
      <c r="V28" s="22"/>
      <c r="W28" s="22"/>
      <c r="X28" s="22"/>
      <c r="Y28" s="22"/>
      <c r="Z28" s="22"/>
      <c r="AA28" s="22"/>
      <c r="AB28" s="22"/>
      <c r="AC28" s="22"/>
    </row>
    <row r="29" spans="1:29" x14ac:dyDescent="0.25">
      <c r="A29" s="22"/>
      <c r="B29" s="22"/>
      <c r="C29" s="22"/>
      <c r="D29" s="22"/>
      <c r="E29" s="22"/>
      <c r="F29" s="22"/>
      <c r="G29" s="22"/>
      <c r="H29" s="22"/>
      <c r="I29" s="22"/>
      <c r="J29" s="22"/>
      <c r="K29" s="22"/>
      <c r="L29" s="22"/>
      <c r="M29" s="22"/>
      <c r="N29" s="22"/>
      <c r="O29" s="22"/>
      <c r="P29" s="22"/>
      <c r="Q29" s="22"/>
      <c r="R29" s="22"/>
      <c r="S29" s="22"/>
      <c r="T29" s="22"/>
      <c r="U29" s="22"/>
      <c r="V29" s="22"/>
      <c r="W29" s="22"/>
      <c r="X29" s="22"/>
      <c r="Y29" s="22"/>
      <c r="Z29" s="22"/>
      <c r="AA29" s="22"/>
      <c r="AB29" s="22"/>
      <c r="AC29" s="22"/>
    </row>
    <row r="30" spans="1:29" x14ac:dyDescent="0.25">
      <c r="A30" s="22"/>
      <c r="B30" s="22"/>
      <c r="C30" s="22"/>
      <c r="D30" s="22"/>
      <c r="E30" s="22"/>
      <c r="F30" s="22"/>
      <c r="G30" s="22"/>
      <c r="H30" s="22"/>
      <c r="I30" s="22"/>
      <c r="J30" s="22"/>
      <c r="K30" s="22"/>
      <c r="L30" s="22"/>
      <c r="M30" s="22"/>
      <c r="N30" s="22"/>
      <c r="O30" s="22"/>
      <c r="P30" s="22"/>
      <c r="Q30" s="22"/>
      <c r="R30" s="22"/>
      <c r="S30" s="22"/>
      <c r="T30" s="22"/>
      <c r="U30" s="22"/>
      <c r="V30" s="22"/>
      <c r="W30" s="22"/>
      <c r="X30" s="22"/>
      <c r="Y30" s="22"/>
      <c r="Z30" s="22"/>
      <c r="AA30" s="22"/>
      <c r="AB30" s="22"/>
      <c r="AC30" s="22"/>
    </row>
    <row r="31" spans="1:29" x14ac:dyDescent="0.25">
      <c r="A31" s="22"/>
      <c r="B31" s="22"/>
      <c r="C31" s="22"/>
      <c r="D31" s="22"/>
      <c r="E31" s="22"/>
      <c r="F31" s="22"/>
      <c r="G31" s="22"/>
      <c r="H31" s="22"/>
      <c r="I31" s="22"/>
      <c r="J31" s="22"/>
      <c r="K31" s="22"/>
      <c r="L31" s="22"/>
      <c r="M31" s="22"/>
      <c r="N31" s="22"/>
      <c r="O31" s="22"/>
      <c r="P31" s="22"/>
      <c r="Q31" s="22"/>
      <c r="R31" s="22"/>
      <c r="S31" s="22"/>
      <c r="T31" s="22"/>
      <c r="U31" s="22"/>
      <c r="V31" s="22"/>
      <c r="W31" s="22"/>
      <c r="X31" s="22"/>
      <c r="Y31" s="22"/>
      <c r="Z31" s="22"/>
      <c r="AA31" s="22"/>
      <c r="AB31" s="22"/>
      <c r="AC31" s="22"/>
    </row>
    <row r="32" spans="1:29" x14ac:dyDescent="0.25">
      <c r="A32" s="22"/>
      <c r="B32" s="22"/>
      <c r="C32" s="22"/>
      <c r="D32" s="22"/>
      <c r="E32" s="22"/>
      <c r="F32" s="22"/>
      <c r="G32" s="22"/>
      <c r="H32" s="22"/>
      <c r="I32" s="22"/>
      <c r="J32" s="22"/>
      <c r="K32" s="22"/>
      <c r="L32" s="22"/>
      <c r="M32" s="22"/>
      <c r="N32" s="22"/>
      <c r="O32" s="22"/>
      <c r="P32" s="22"/>
      <c r="Q32" s="22"/>
      <c r="R32" s="22"/>
      <c r="S32" s="22"/>
      <c r="T32" s="22"/>
      <c r="U32" s="22"/>
      <c r="V32" s="22"/>
      <c r="W32" s="22"/>
      <c r="X32" s="22"/>
      <c r="Y32" s="22"/>
      <c r="Z32" s="22"/>
      <c r="AA32" s="22"/>
      <c r="AB32" s="22"/>
      <c r="AC32" s="22"/>
    </row>
    <row r="33" spans="1:56" x14ac:dyDescent="0.25">
      <c r="A33" s="22"/>
      <c r="B33" s="22"/>
      <c r="C33" s="22"/>
      <c r="D33" s="22"/>
      <c r="E33" s="22"/>
      <c r="F33" s="22"/>
      <c r="G33" s="22"/>
      <c r="H33" s="22"/>
      <c r="I33" s="22"/>
      <c r="J33" s="22"/>
      <c r="K33" s="22"/>
      <c r="L33" s="22"/>
      <c r="M33" s="22"/>
      <c r="N33" s="22"/>
      <c r="O33" s="22"/>
      <c r="P33" s="22"/>
      <c r="Q33" s="22"/>
      <c r="R33" s="22"/>
      <c r="S33" s="22"/>
      <c r="T33" s="22"/>
      <c r="U33" s="22"/>
      <c r="V33" s="22"/>
      <c r="W33" s="22"/>
      <c r="X33" s="22"/>
      <c r="Y33" s="22"/>
      <c r="Z33" s="22"/>
      <c r="AA33" s="22"/>
      <c r="AB33" s="22"/>
      <c r="AC33" s="22"/>
    </row>
    <row r="34" spans="1:56" x14ac:dyDescent="0.25">
      <c r="A34" s="22"/>
      <c r="B34" s="22"/>
      <c r="C34" s="22"/>
      <c r="D34" s="22"/>
      <c r="E34" s="22"/>
      <c r="F34" s="22"/>
      <c r="G34" s="22"/>
      <c r="H34" s="22"/>
      <c r="I34" s="22"/>
      <c r="J34" s="22"/>
      <c r="K34" s="22"/>
      <c r="L34" s="22"/>
      <c r="M34" s="22"/>
      <c r="N34" s="22"/>
      <c r="O34" s="22"/>
      <c r="P34" s="22"/>
      <c r="Q34" s="22"/>
      <c r="R34" s="22"/>
      <c r="S34" s="22"/>
      <c r="T34" s="22"/>
      <c r="U34" s="22"/>
      <c r="V34" s="22"/>
      <c r="W34" s="22"/>
      <c r="X34" s="22"/>
      <c r="Y34" s="22"/>
      <c r="Z34" s="22"/>
      <c r="AA34" s="22"/>
      <c r="AB34" s="22"/>
      <c r="AC34" s="22"/>
    </row>
    <row r="35" spans="1:56" x14ac:dyDescent="0.25">
      <c r="A35" s="22"/>
      <c r="B35" s="22"/>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row>
    <row r="36" spans="1:56" x14ac:dyDescent="0.25">
      <c r="A36" s="22"/>
      <c r="B36" s="22"/>
      <c r="C36" s="22"/>
      <c r="D36" s="22"/>
      <c r="E36" s="22"/>
      <c r="F36" s="22"/>
      <c r="G36" s="22"/>
      <c r="H36" s="22"/>
      <c r="I36" s="22"/>
      <c r="J36" s="22"/>
      <c r="K36" s="22"/>
      <c r="L36" s="22"/>
      <c r="M36" s="22"/>
      <c r="N36" s="22"/>
      <c r="O36" s="22"/>
      <c r="P36" s="22"/>
      <c r="Q36" s="22"/>
      <c r="R36" s="22"/>
      <c r="S36" s="22"/>
      <c r="T36" s="22"/>
      <c r="U36" s="22"/>
      <c r="V36" s="22"/>
      <c r="W36" s="22"/>
      <c r="X36" s="22"/>
      <c r="Y36" s="22"/>
      <c r="Z36" s="22"/>
      <c r="AA36" s="22"/>
      <c r="AB36" s="22"/>
      <c r="AC36" s="22"/>
    </row>
    <row r="37" spans="1:56" x14ac:dyDescent="0.25">
      <c r="A37" s="22"/>
      <c r="B37" s="22"/>
      <c r="C37" s="22"/>
      <c r="D37" s="22"/>
      <c r="E37" s="22"/>
      <c r="F37" s="22"/>
      <c r="G37" s="22"/>
      <c r="H37" s="22"/>
      <c r="I37" s="22"/>
      <c r="J37" s="22"/>
      <c r="K37" s="22"/>
      <c r="L37" s="22"/>
      <c r="M37" s="22"/>
      <c r="N37" s="22"/>
      <c r="O37" s="22"/>
      <c r="P37" s="22"/>
      <c r="Q37" s="22"/>
      <c r="R37" s="22"/>
      <c r="S37" s="22"/>
      <c r="T37" s="22"/>
      <c r="U37" s="22"/>
      <c r="V37" s="22"/>
      <c r="W37" s="22"/>
      <c r="X37" s="22"/>
      <c r="Y37" s="22"/>
      <c r="Z37" s="22"/>
      <c r="AA37" s="22"/>
      <c r="AB37" s="22"/>
      <c r="AC37" s="22"/>
    </row>
    <row r="38" spans="1:56" x14ac:dyDescent="0.25">
      <c r="A38" s="22"/>
      <c r="B38" s="22"/>
      <c r="C38" s="22"/>
      <c r="D38" s="22"/>
      <c r="E38" s="22"/>
      <c r="F38" s="22"/>
      <c r="G38" s="22"/>
      <c r="H38" s="22"/>
      <c r="I38" s="22"/>
      <c r="J38" s="22"/>
      <c r="K38" s="22"/>
      <c r="L38" s="22"/>
      <c r="M38" s="22"/>
      <c r="N38" s="22"/>
      <c r="O38" s="22"/>
      <c r="P38" s="22"/>
      <c r="Q38" s="22"/>
      <c r="R38" s="22"/>
      <c r="S38" s="22"/>
      <c r="T38" s="22"/>
      <c r="U38" s="22"/>
      <c r="V38" s="22"/>
      <c r="W38" s="22"/>
      <c r="X38" s="22"/>
      <c r="Y38" s="22"/>
      <c r="Z38" s="22"/>
      <c r="AA38" s="22"/>
      <c r="AB38" s="22"/>
      <c r="AC38" s="22"/>
    </row>
    <row r="39" spans="1:56" x14ac:dyDescent="0.25">
      <c r="A39" s="22"/>
      <c r="B39" s="22"/>
      <c r="C39" s="22"/>
      <c r="D39" s="22"/>
      <c r="E39" s="22"/>
      <c r="F39" s="22"/>
      <c r="G39" s="22"/>
      <c r="H39" s="22"/>
      <c r="I39" s="22"/>
      <c r="J39" s="22"/>
      <c r="K39" s="22"/>
      <c r="L39" s="22"/>
      <c r="M39" s="22"/>
      <c r="N39" s="22"/>
      <c r="O39" s="22"/>
      <c r="P39" s="22"/>
      <c r="Q39" s="22"/>
      <c r="R39" s="22"/>
      <c r="S39" s="22"/>
      <c r="T39" s="22"/>
      <c r="U39" s="22"/>
      <c r="V39" s="22"/>
      <c r="W39" s="22"/>
      <c r="X39" s="22"/>
      <c r="Y39" s="22"/>
      <c r="Z39" s="22"/>
      <c r="AA39" s="22"/>
      <c r="AB39" s="22"/>
      <c r="AC39" s="22"/>
    </row>
    <row r="40" spans="1:56" x14ac:dyDescent="0.25">
      <c r="A40" s="22"/>
      <c r="B40" s="22"/>
      <c r="C40" s="22"/>
      <c r="D40" s="22"/>
      <c r="E40" s="22"/>
      <c r="F40" s="22"/>
      <c r="G40" s="22"/>
      <c r="H40" s="22"/>
      <c r="I40" s="22"/>
      <c r="J40" s="22"/>
      <c r="K40" s="22"/>
      <c r="L40" s="22"/>
      <c r="M40" s="22"/>
      <c r="N40" s="22"/>
      <c r="O40" s="22"/>
      <c r="P40" s="22"/>
      <c r="Q40" s="22"/>
      <c r="R40" s="22"/>
      <c r="S40" s="22"/>
      <c r="T40" s="22"/>
      <c r="U40" s="22"/>
      <c r="V40" s="22"/>
      <c r="W40" s="22"/>
      <c r="X40" s="22"/>
      <c r="Y40" s="22"/>
      <c r="Z40" s="22"/>
      <c r="AA40" s="22"/>
      <c r="AB40" s="22"/>
      <c r="AC40" s="22"/>
    </row>
    <row r="41" spans="1:56" x14ac:dyDescent="0.25">
      <c r="A41" s="22"/>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row>
    <row r="42" spans="1:56" ht="12.75" customHeight="1" x14ac:dyDescent="0.25">
      <c r="A42" s="22"/>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56" s="18" customFormat="1" x14ac:dyDescent="0.25">
      <c r="AU43" s="23"/>
      <c r="AV43" s="23"/>
      <c r="AW43" s="23"/>
      <c r="AX43" s="23"/>
      <c r="AY43" s="23"/>
      <c r="AZ43" s="23"/>
      <c r="BA43" s="23"/>
      <c r="BB43" s="23"/>
      <c r="BC43" s="23"/>
      <c r="BD43" s="23"/>
    </row>
    <row r="44" spans="1:56" s="18" customFormat="1" x14ac:dyDescent="0.25">
      <c r="AU44" s="23"/>
      <c r="AV44" s="23"/>
      <c r="AW44" s="23"/>
      <c r="AX44" s="23"/>
      <c r="AY44" s="23"/>
      <c r="AZ44" s="23"/>
      <c r="BA44" s="23"/>
      <c r="BB44" s="23"/>
      <c r="BC44" s="23"/>
      <c r="BD44" s="23"/>
    </row>
    <row r="45" spans="1:56" s="18" customFormat="1" x14ac:dyDescent="0.25">
      <c r="AU45" s="23"/>
      <c r="AV45" s="23"/>
      <c r="AW45" s="23"/>
      <c r="AX45" s="23"/>
      <c r="AY45" s="23"/>
      <c r="AZ45" s="23"/>
      <c r="BA45" s="23"/>
      <c r="BB45" s="23"/>
      <c r="BC45" s="23"/>
      <c r="BD45" s="23"/>
    </row>
    <row r="46" spans="1:56" s="18" customFormat="1" x14ac:dyDescent="0.25">
      <c r="AU46" s="23"/>
      <c r="AV46" s="23"/>
      <c r="AW46" s="23"/>
      <c r="AX46" s="23"/>
      <c r="AY46" s="23"/>
      <c r="AZ46" s="23"/>
      <c r="BA46" s="23"/>
      <c r="BB46" s="23"/>
      <c r="BC46" s="23"/>
      <c r="BD46" s="23"/>
    </row>
    <row r="47" spans="1:56" s="18" customFormat="1" x14ac:dyDescent="0.25">
      <c r="AU47" s="23"/>
      <c r="AV47" s="23"/>
      <c r="AW47" s="23"/>
      <c r="AX47" s="23"/>
      <c r="AY47" s="23"/>
      <c r="AZ47" s="23"/>
      <c r="BA47" s="23"/>
      <c r="BB47" s="23"/>
      <c r="BC47" s="23"/>
      <c r="BD47" s="23"/>
    </row>
    <row r="48" spans="1:56" s="18" customFormat="1" x14ac:dyDescent="0.25">
      <c r="AU48" s="23"/>
      <c r="AV48" s="23"/>
      <c r="AW48" s="23"/>
      <c r="AX48" s="23"/>
      <c r="AY48" s="23"/>
      <c r="AZ48" s="23"/>
      <c r="BA48" s="23"/>
      <c r="BB48" s="23"/>
      <c r="BC48" s="23"/>
      <c r="BD48" s="23"/>
    </row>
    <row r="49" spans="47:56" s="18" customFormat="1" x14ac:dyDescent="0.25">
      <c r="AU49" s="23"/>
      <c r="AV49" s="23"/>
      <c r="AW49" s="23"/>
      <c r="AX49" s="23"/>
      <c r="AY49" s="23"/>
      <c r="AZ49" s="23"/>
      <c r="BA49" s="23"/>
      <c r="BB49" s="23"/>
      <c r="BC49" s="23"/>
      <c r="BD49" s="23"/>
    </row>
    <row r="50" spans="47:56" s="18" customFormat="1" x14ac:dyDescent="0.25">
      <c r="AU50" s="23"/>
      <c r="AV50" s="23"/>
      <c r="AW50" s="23"/>
      <c r="AX50" s="23"/>
      <c r="AY50" s="23"/>
      <c r="AZ50" s="23"/>
      <c r="BA50" s="23"/>
      <c r="BB50" s="23"/>
      <c r="BC50" s="23"/>
      <c r="BD50" s="23"/>
    </row>
    <row r="51" spans="47:56" s="18" customFormat="1" x14ac:dyDescent="0.25">
      <c r="AU51" s="23"/>
      <c r="AV51" s="23"/>
      <c r="AW51" s="23"/>
      <c r="AX51" s="23"/>
      <c r="AY51" s="23"/>
      <c r="AZ51" s="23"/>
      <c r="BA51" s="23"/>
      <c r="BB51" s="23"/>
      <c r="BC51" s="23"/>
      <c r="BD51" s="23"/>
    </row>
    <row r="52" spans="47:56" s="18" customFormat="1" x14ac:dyDescent="0.25">
      <c r="AU52" s="23"/>
      <c r="AV52" s="23"/>
      <c r="AW52" s="23"/>
      <c r="AX52" s="23"/>
      <c r="AY52" s="23"/>
      <c r="AZ52" s="23"/>
      <c r="BA52" s="23"/>
      <c r="BB52" s="23"/>
      <c r="BC52" s="23"/>
      <c r="BD52" s="23"/>
    </row>
    <row r="53" spans="47:56" s="18" customFormat="1" x14ac:dyDescent="0.25">
      <c r="AU53" s="23"/>
      <c r="AV53" s="23"/>
      <c r="AW53" s="23"/>
      <c r="AX53" s="23"/>
      <c r="AY53" s="23"/>
      <c r="AZ53" s="23"/>
      <c r="BA53" s="23"/>
      <c r="BB53" s="23"/>
      <c r="BC53" s="23"/>
      <c r="BD53" s="23"/>
    </row>
    <row r="54" spans="47:56" s="18" customFormat="1" x14ac:dyDescent="0.25">
      <c r="AU54" s="23"/>
      <c r="AV54" s="23"/>
      <c r="AW54" s="23"/>
      <c r="AX54" s="23"/>
      <c r="AY54" s="23"/>
      <c r="AZ54" s="23"/>
      <c r="BA54" s="23"/>
      <c r="BB54" s="23"/>
      <c r="BC54" s="23"/>
      <c r="BD54" s="23"/>
    </row>
    <row r="55" spans="47:56" s="18" customFormat="1" x14ac:dyDescent="0.25">
      <c r="AU55" s="23"/>
      <c r="AV55" s="23"/>
      <c r="AW55" s="23"/>
      <c r="AX55" s="23"/>
      <c r="AY55" s="23"/>
      <c r="AZ55" s="23"/>
      <c r="BA55" s="23"/>
      <c r="BB55" s="23"/>
      <c r="BC55" s="23"/>
      <c r="BD55" s="23"/>
    </row>
    <row r="56" spans="47:56" s="18" customFormat="1" x14ac:dyDescent="0.25">
      <c r="AU56" s="23"/>
      <c r="AV56" s="23"/>
      <c r="AW56" s="23"/>
      <c r="AX56" s="23"/>
      <c r="AY56" s="23"/>
      <c r="AZ56" s="23"/>
      <c r="BA56" s="23"/>
      <c r="BB56" s="23"/>
      <c r="BC56" s="23"/>
      <c r="BD56" s="23"/>
    </row>
    <row r="57" spans="47:56" s="18" customFormat="1" x14ac:dyDescent="0.25">
      <c r="AU57" s="23"/>
      <c r="AV57" s="23"/>
      <c r="AW57" s="23"/>
      <c r="AX57" s="23"/>
      <c r="AY57" s="23"/>
      <c r="AZ57" s="23"/>
      <c r="BA57" s="23"/>
      <c r="BB57" s="23"/>
      <c r="BC57" s="23"/>
      <c r="BD57" s="23"/>
    </row>
    <row r="58" spans="47:56" s="18" customFormat="1" x14ac:dyDescent="0.25">
      <c r="AU58" s="23"/>
      <c r="AV58" s="23"/>
      <c r="AW58" s="23"/>
      <c r="AX58" s="23"/>
      <c r="AY58" s="23"/>
      <c r="AZ58" s="23"/>
      <c r="BA58" s="23"/>
      <c r="BB58" s="23"/>
      <c r="BC58" s="23"/>
      <c r="BD58" s="23"/>
    </row>
    <row r="59" spans="47:56" s="18" customFormat="1" x14ac:dyDescent="0.25">
      <c r="AU59" s="23"/>
      <c r="AV59" s="23"/>
      <c r="AW59" s="23"/>
      <c r="AX59" s="23"/>
      <c r="AY59" s="23"/>
      <c r="AZ59" s="23"/>
      <c r="BA59" s="23"/>
      <c r="BB59" s="23"/>
      <c r="BC59" s="23"/>
      <c r="BD59" s="23"/>
    </row>
    <row r="60" spans="47:56" s="18" customFormat="1" x14ac:dyDescent="0.25">
      <c r="AU60" s="23"/>
      <c r="AV60" s="23"/>
      <c r="AW60" s="23"/>
      <c r="AX60" s="23"/>
      <c r="AY60" s="23"/>
      <c r="AZ60" s="23"/>
      <c r="BA60" s="23"/>
      <c r="BB60" s="23"/>
      <c r="BC60" s="23"/>
      <c r="BD60" s="23"/>
    </row>
    <row r="61" spans="47:56" s="18" customFormat="1" x14ac:dyDescent="0.25">
      <c r="AU61" s="23"/>
      <c r="AV61" s="23"/>
      <c r="AW61" s="23"/>
      <c r="AX61" s="23"/>
      <c r="AY61" s="23"/>
      <c r="AZ61" s="23"/>
      <c r="BA61" s="23"/>
      <c r="BB61" s="23"/>
      <c r="BC61" s="23"/>
      <c r="BD61" s="23"/>
    </row>
    <row r="62" spans="47:56" s="18" customFormat="1" x14ac:dyDescent="0.25">
      <c r="AU62" s="23"/>
      <c r="AV62" s="23"/>
      <c r="AW62" s="23"/>
      <c r="AX62" s="23"/>
      <c r="AY62" s="23"/>
      <c r="AZ62" s="23"/>
      <c r="BA62" s="23"/>
      <c r="BB62" s="23"/>
      <c r="BC62" s="23"/>
      <c r="BD62" s="23"/>
    </row>
    <row r="63" spans="47:56" s="18" customFormat="1" x14ac:dyDescent="0.25">
      <c r="AU63" s="23"/>
      <c r="AV63" s="23"/>
      <c r="AW63" s="23"/>
      <c r="AX63" s="23"/>
      <c r="AY63" s="23"/>
      <c r="AZ63" s="23"/>
      <c r="BA63" s="23"/>
      <c r="BB63" s="23"/>
      <c r="BC63" s="23"/>
      <c r="BD63" s="23"/>
    </row>
    <row r="64" spans="47:56" s="18" customFormat="1" x14ac:dyDescent="0.25">
      <c r="AU64" s="23"/>
      <c r="AV64" s="23"/>
      <c r="AW64" s="23"/>
      <c r="AX64" s="23"/>
      <c r="AY64" s="23"/>
      <c r="AZ64" s="23"/>
      <c r="BA64" s="23"/>
      <c r="BB64" s="23"/>
      <c r="BC64" s="23"/>
      <c r="BD64" s="23"/>
    </row>
    <row r="65" spans="47:56" s="18" customFormat="1" x14ac:dyDescent="0.25">
      <c r="AU65" s="23"/>
      <c r="AV65" s="23"/>
      <c r="AW65" s="23"/>
      <c r="AX65" s="23"/>
      <c r="AY65" s="23"/>
      <c r="AZ65" s="23"/>
      <c r="BA65" s="23"/>
      <c r="BB65" s="23"/>
      <c r="BC65" s="23"/>
      <c r="BD65" s="23"/>
    </row>
    <row r="66" spans="47:56" s="18" customFormat="1" x14ac:dyDescent="0.25">
      <c r="AU66" s="23"/>
      <c r="AV66" s="23"/>
      <c r="AW66" s="23"/>
      <c r="AX66" s="23"/>
      <c r="AY66" s="23"/>
      <c r="AZ66" s="23"/>
      <c r="BA66" s="23"/>
      <c r="BB66" s="23"/>
      <c r="BC66" s="23"/>
      <c r="BD66" s="23"/>
    </row>
    <row r="67" spans="47:56" s="18" customFormat="1" x14ac:dyDescent="0.25">
      <c r="AU67" s="23"/>
      <c r="AV67" s="23"/>
      <c r="AW67" s="23"/>
      <c r="AX67" s="23"/>
      <c r="AY67" s="23"/>
      <c r="AZ67" s="23"/>
      <c r="BA67" s="23"/>
      <c r="BB67" s="23"/>
      <c r="BC67" s="23"/>
      <c r="BD67" s="23"/>
    </row>
    <row r="68" spans="47:56" s="18" customFormat="1" x14ac:dyDescent="0.25">
      <c r="AU68" s="23"/>
      <c r="AV68" s="23"/>
      <c r="AW68" s="23"/>
      <c r="AX68" s="23"/>
      <c r="AY68" s="23"/>
      <c r="AZ68" s="23"/>
      <c r="BA68" s="23"/>
      <c r="BB68" s="23"/>
      <c r="BC68" s="23"/>
      <c r="BD68" s="23"/>
    </row>
    <row r="69" spans="47:56" s="18" customFormat="1" x14ac:dyDescent="0.25">
      <c r="AU69" s="23"/>
      <c r="AV69" s="23"/>
      <c r="AW69" s="23"/>
      <c r="AX69" s="23"/>
      <c r="AY69" s="23"/>
      <c r="AZ69" s="23"/>
      <c r="BA69" s="23"/>
      <c r="BB69" s="23"/>
      <c r="BC69" s="23"/>
      <c r="BD69" s="23"/>
    </row>
    <row r="70" spans="47:56" s="18" customFormat="1" x14ac:dyDescent="0.25">
      <c r="AU70" s="23"/>
      <c r="AV70" s="23"/>
      <c r="AW70" s="23"/>
      <c r="AX70" s="23"/>
      <c r="AY70" s="23"/>
      <c r="AZ70" s="23"/>
      <c r="BA70" s="23"/>
      <c r="BB70" s="23"/>
      <c r="BC70" s="23"/>
      <c r="BD70" s="23"/>
    </row>
    <row r="71" spans="47:56" s="18" customFormat="1" x14ac:dyDescent="0.25">
      <c r="AU71" s="23"/>
      <c r="AV71" s="23"/>
      <c r="AW71" s="23"/>
      <c r="AX71" s="23"/>
      <c r="AY71" s="23"/>
      <c r="AZ71" s="23"/>
      <c r="BA71" s="23"/>
      <c r="BB71" s="23"/>
      <c r="BC71" s="23"/>
      <c r="BD71" s="23"/>
    </row>
    <row r="72" spans="47:56" s="18" customFormat="1" x14ac:dyDescent="0.25">
      <c r="AU72" s="23"/>
      <c r="AV72" s="23"/>
      <c r="AW72" s="23"/>
      <c r="AX72" s="23"/>
      <c r="AY72" s="23"/>
      <c r="AZ72" s="23"/>
      <c r="BA72" s="23"/>
      <c r="BB72" s="23"/>
      <c r="BC72" s="23"/>
      <c r="BD72" s="23"/>
    </row>
    <row r="73" spans="47:56" s="18" customFormat="1" x14ac:dyDescent="0.25">
      <c r="AU73" s="23"/>
      <c r="AV73" s="23"/>
      <c r="AW73" s="23"/>
      <c r="AX73" s="23"/>
      <c r="AY73" s="23"/>
      <c r="AZ73" s="23"/>
      <c r="BA73" s="23"/>
      <c r="BB73" s="23"/>
      <c r="BC73" s="23"/>
      <c r="BD73" s="23"/>
    </row>
    <row r="74" spans="47:56" s="18" customFormat="1" x14ac:dyDescent="0.25">
      <c r="AU74" s="23"/>
      <c r="AV74" s="23"/>
      <c r="AW74" s="23"/>
      <c r="AX74" s="23"/>
      <c r="AY74" s="23"/>
      <c r="AZ74" s="23"/>
      <c r="BA74" s="23"/>
      <c r="BB74" s="23"/>
      <c r="BC74" s="23"/>
      <c r="BD74" s="23"/>
    </row>
    <row r="75" spans="47:56" s="18" customFormat="1" x14ac:dyDescent="0.25">
      <c r="AU75" s="23"/>
      <c r="AV75" s="23"/>
      <c r="AW75" s="23"/>
      <c r="AX75" s="23"/>
      <c r="AY75" s="23"/>
      <c r="AZ75" s="23"/>
      <c r="BA75" s="23"/>
      <c r="BB75" s="23"/>
      <c r="BC75" s="23"/>
      <c r="BD75" s="23"/>
    </row>
    <row r="76" spans="47:56" s="18" customFormat="1" x14ac:dyDescent="0.25">
      <c r="AU76" s="23"/>
      <c r="AV76" s="23"/>
      <c r="AW76" s="23"/>
      <c r="AX76" s="23"/>
      <c r="AY76" s="23"/>
      <c r="AZ76" s="23"/>
      <c r="BA76" s="23"/>
      <c r="BB76" s="23"/>
      <c r="BC76" s="23"/>
      <c r="BD76" s="23"/>
    </row>
    <row r="77" spans="47:56" s="18" customFormat="1" x14ac:dyDescent="0.25">
      <c r="AU77" s="23"/>
      <c r="AV77" s="23"/>
      <c r="AW77" s="23"/>
      <c r="AX77" s="23"/>
      <c r="AY77" s="23"/>
      <c r="AZ77" s="23"/>
      <c r="BA77" s="23"/>
      <c r="BB77" s="23"/>
      <c r="BC77" s="23"/>
      <c r="BD77" s="23"/>
    </row>
    <row r="78" spans="47:56" s="18" customFormat="1" x14ac:dyDescent="0.25">
      <c r="AU78" s="23"/>
      <c r="AV78" s="23"/>
      <c r="AW78" s="23"/>
      <c r="AX78" s="23"/>
      <c r="AY78" s="23"/>
      <c r="AZ78" s="23"/>
      <c r="BA78" s="23"/>
      <c r="BB78" s="23"/>
      <c r="BC78" s="23"/>
      <c r="BD78" s="23"/>
    </row>
    <row r="79" spans="47:56" s="18" customFormat="1" x14ac:dyDescent="0.25">
      <c r="AU79" s="23"/>
      <c r="AV79" s="23"/>
      <c r="AW79" s="23"/>
      <c r="AX79" s="23"/>
      <c r="AY79" s="23"/>
      <c r="AZ79" s="23"/>
      <c r="BA79" s="23"/>
      <c r="BB79" s="23"/>
      <c r="BC79" s="23"/>
      <c r="BD79" s="23"/>
    </row>
    <row r="80" spans="47:56" s="18" customFormat="1" x14ac:dyDescent="0.25">
      <c r="AU80" s="23"/>
      <c r="AV80" s="23"/>
      <c r="AW80" s="23"/>
      <c r="AX80" s="23"/>
      <c r="AY80" s="23"/>
      <c r="AZ80" s="23"/>
      <c r="BA80" s="23"/>
      <c r="BB80" s="23"/>
      <c r="BC80" s="23"/>
      <c r="BD80" s="23"/>
    </row>
    <row r="81" spans="47:56" s="18" customFormat="1" x14ac:dyDescent="0.25">
      <c r="AU81" s="23"/>
      <c r="AV81" s="23"/>
      <c r="AW81" s="23"/>
      <c r="AX81" s="23"/>
      <c r="AY81" s="23"/>
      <c r="AZ81" s="23"/>
      <c r="BA81" s="23"/>
      <c r="BB81" s="23"/>
      <c r="BC81" s="23"/>
      <c r="BD81" s="23"/>
    </row>
    <row r="82" spans="47:56" s="18" customFormat="1" x14ac:dyDescent="0.25">
      <c r="AU82" s="23"/>
      <c r="AV82" s="23"/>
      <c r="AW82" s="23"/>
      <c r="AX82" s="23"/>
      <c r="AY82" s="23"/>
      <c r="AZ82" s="23"/>
      <c r="BA82" s="23"/>
      <c r="BB82" s="23"/>
      <c r="BC82" s="23"/>
      <c r="BD82" s="23"/>
    </row>
    <row r="83" spans="47:56" s="18" customFormat="1" x14ac:dyDescent="0.25">
      <c r="AU83" s="23"/>
      <c r="AV83" s="23"/>
      <c r="AW83" s="23"/>
      <c r="AX83" s="23"/>
      <c r="AY83" s="23"/>
      <c r="AZ83" s="23"/>
      <c r="BA83" s="23"/>
      <c r="BB83" s="23"/>
      <c r="BC83" s="23"/>
      <c r="BD83" s="23"/>
    </row>
    <row r="84" spans="47:56" s="18" customFormat="1" x14ac:dyDescent="0.25">
      <c r="AU84" s="23"/>
      <c r="AV84" s="23"/>
      <c r="AW84" s="23"/>
      <c r="AX84" s="23"/>
      <c r="AY84" s="23"/>
      <c r="AZ84" s="23"/>
      <c r="BA84" s="23"/>
      <c r="BB84" s="23"/>
      <c r="BC84" s="23"/>
      <c r="BD84" s="23"/>
    </row>
  </sheetData>
  <pageMargins left="0.7" right="0.7" top="0.75" bottom="0.75" header="0.3" footer="0.3"/>
  <drawing r:id="rId1"/>
  <picture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5DD02-88A4-4E2F-B178-767D45F599DE}">
  <sheetPr codeName="Sheet9"/>
  <dimension ref="A1:U54"/>
  <sheetViews>
    <sheetView topLeftCell="C1" zoomScale="88" workbookViewId="0">
      <selection activeCell="K13" sqref="K13"/>
    </sheetView>
  </sheetViews>
  <sheetFormatPr defaultRowHeight="26.25" x14ac:dyDescent="0.4"/>
  <cols>
    <col min="1" max="2" width="9.140625" customWidth="1"/>
    <col min="3" max="3" width="8.140625" customWidth="1"/>
    <col min="4" max="4" width="3.5703125" customWidth="1"/>
    <col min="5" max="5" width="3" customWidth="1"/>
    <col min="6" max="6" width="22.7109375" customWidth="1"/>
    <col min="7" max="7" width="17.140625" customWidth="1"/>
    <col min="8" max="8" width="18.140625" customWidth="1"/>
    <col min="9" max="9" width="3.140625" customWidth="1"/>
    <col min="10" max="10" width="22.85546875" style="25" bestFit="1" customWidth="1"/>
    <col min="11" max="11" width="23.85546875" style="26" bestFit="1" customWidth="1"/>
    <col min="12" max="12" width="25.42578125" style="25" customWidth="1"/>
    <col min="13" max="13" width="3.140625" style="40" customWidth="1"/>
    <col min="14" max="14" width="22.7109375" style="26" customWidth="1"/>
    <col min="15" max="15" width="23.85546875" style="26" bestFit="1" customWidth="1"/>
    <col min="16" max="16" width="24.85546875" style="25" bestFit="1" customWidth="1"/>
    <col min="17" max="17" width="3.28515625" customWidth="1"/>
    <col min="18" max="18" width="20" customWidth="1"/>
    <col min="19" max="19" width="21" customWidth="1"/>
    <col min="20" max="20" width="24.28515625" customWidth="1"/>
    <col min="21" max="21" width="3" customWidth="1"/>
  </cols>
  <sheetData>
    <row r="1" spans="1:21" ht="33.75" customHeight="1" x14ac:dyDescent="0.4">
      <c r="I1" s="18"/>
      <c r="J1" s="27"/>
      <c r="K1" s="28"/>
      <c r="L1" s="27"/>
      <c r="M1" s="27"/>
      <c r="N1" s="28"/>
      <c r="O1" s="28"/>
      <c r="P1" s="27"/>
      <c r="Q1" s="18"/>
    </row>
    <row r="2" spans="1:21" ht="33" customHeight="1" x14ac:dyDescent="0.4">
      <c r="A2">
        <v>1</v>
      </c>
      <c r="B2">
        <f>VLOOKUP(A2,'team listing'!$A$1:$B$40,2)</f>
        <v>61</v>
      </c>
      <c r="I2" s="18"/>
      <c r="J2" s="32" t="s">
        <v>105</v>
      </c>
      <c r="K2" s="35" t="s">
        <v>128</v>
      </c>
      <c r="L2" s="32" t="s">
        <v>127</v>
      </c>
      <c r="M2" s="36"/>
      <c r="N2" s="35" t="s">
        <v>105</v>
      </c>
      <c r="O2" s="35" t="s">
        <v>128</v>
      </c>
      <c r="P2" s="32" t="s">
        <v>127</v>
      </c>
      <c r="Q2" s="18"/>
    </row>
    <row r="3" spans="1:21" ht="31.5" customHeight="1" x14ac:dyDescent="0.4">
      <c r="A3">
        <v>4</v>
      </c>
      <c r="B3">
        <f>VLOOKUP(A3,'team listing'!$A$1:$B$40,2)</f>
        <v>166</v>
      </c>
      <c r="I3" s="18"/>
      <c r="K3" s="26">
        <f ca="1">AVERAGEIF(Team,$B2,our_score)</f>
        <v>36.375</v>
      </c>
      <c r="L3" s="25">
        <f ca="1">SUMIF(Team,$B2,our_score)</f>
        <v>291</v>
      </c>
      <c r="M3" s="36"/>
      <c r="O3" s="26">
        <f ca="1">AVERAGEIF(Team,$B5,our_score)</f>
        <v>30.428571428571427</v>
      </c>
      <c r="P3" s="25">
        <f ca="1">SUMIF(Team,B5,our_score)</f>
        <v>213</v>
      </c>
      <c r="Q3" s="18"/>
    </row>
    <row r="4" spans="1:21" ht="33.75" customHeight="1" x14ac:dyDescent="0.4">
      <c r="A4">
        <v>1</v>
      </c>
      <c r="B4">
        <f>VLOOKUP(A4,'team listing'!$A$1:$B$40,2)</f>
        <v>61</v>
      </c>
      <c r="I4" s="18"/>
      <c r="K4" s="26">
        <f ca="1">AVERAGEIF(Team,$B3,our_score)</f>
        <v>31.142857142857142</v>
      </c>
      <c r="L4" s="25">
        <f ca="1">SUMIF(Team,$B3,our_score)</f>
        <v>218</v>
      </c>
      <c r="M4" s="36"/>
      <c r="O4" s="26">
        <f ca="1">AVERAGEIF(Team,$B6,our_score)</f>
        <v>10</v>
      </c>
      <c r="P4" s="25">
        <f ca="1">SUMIF(Team,B6,our_score)</f>
        <v>70</v>
      </c>
      <c r="Q4" s="18"/>
    </row>
    <row r="5" spans="1:21" ht="34.5" customHeight="1" x14ac:dyDescent="0.4">
      <c r="A5">
        <v>8</v>
      </c>
      <c r="B5">
        <f>VLOOKUP(A5,'team listing'!$A$1:$B$40,2)</f>
        <v>316</v>
      </c>
      <c r="I5" s="18"/>
      <c r="K5" s="26">
        <f ca="1">AVERAGEIF(Team,$B4,our_score)</f>
        <v>36.375</v>
      </c>
      <c r="L5" s="25">
        <f ca="1">SUMIF(Team,$B4,our_score)</f>
        <v>291</v>
      </c>
      <c r="M5" s="36"/>
      <c r="O5" s="26">
        <f ca="1">AVERAGEIF(Team,$B7,our_score)</f>
        <v>36.375</v>
      </c>
      <c r="P5" s="25">
        <f ca="1">SUMIF(Team,B7,our_score)</f>
        <v>291</v>
      </c>
      <c r="Q5" s="18"/>
    </row>
    <row r="6" spans="1:21" ht="24" customHeight="1" x14ac:dyDescent="0.4">
      <c r="A6" s="14">
        <v>11</v>
      </c>
      <c r="B6" s="14">
        <f>VLOOKUP(A6,'team listing'!$A$1:$B$40,2)</f>
        <v>1100</v>
      </c>
      <c r="I6" s="18"/>
      <c r="J6" s="25" t="s">
        <v>108</v>
      </c>
      <c r="K6" s="26">
        <f ca="1">K3+K4+K5</f>
        <v>103.89285714285714</v>
      </c>
      <c r="L6" s="25">
        <f ca="1">L5+L4+L3</f>
        <v>800</v>
      </c>
      <c r="M6" s="36"/>
      <c r="N6" s="26" t="s">
        <v>108</v>
      </c>
      <c r="O6" s="26">
        <f ca="1">O5+O4+O3</f>
        <v>76.803571428571431</v>
      </c>
      <c r="P6" s="25">
        <f ca="1">P5+P4+P3</f>
        <v>574</v>
      </c>
      <c r="Q6" s="18"/>
    </row>
    <row r="7" spans="1:21" s="14" customFormat="1" ht="16.5" customHeight="1" x14ac:dyDescent="0.4">
      <c r="A7">
        <v>1</v>
      </c>
      <c r="B7">
        <f>VLOOKUP(A7,'team listing'!$A$1:$B$40,2)</f>
        <v>61</v>
      </c>
      <c r="E7" s="18"/>
      <c r="F7" s="18"/>
      <c r="G7" s="18"/>
      <c r="H7" s="18"/>
      <c r="I7" s="18"/>
      <c r="J7" s="36"/>
      <c r="K7" s="38"/>
      <c r="L7" s="36"/>
      <c r="M7" s="36"/>
      <c r="N7" s="38"/>
      <c r="O7" s="38"/>
      <c r="P7" s="36"/>
      <c r="Q7" s="18"/>
      <c r="R7" s="18"/>
      <c r="S7" s="18"/>
      <c r="T7" s="18"/>
      <c r="U7" s="18"/>
    </row>
    <row r="8" spans="1:21" ht="30" customHeight="1" x14ac:dyDescent="0.4">
      <c r="E8" s="18"/>
      <c r="F8" s="39" t="s">
        <v>105</v>
      </c>
      <c r="G8" s="34" t="s">
        <v>106</v>
      </c>
      <c r="H8" s="33" t="s">
        <v>107</v>
      </c>
      <c r="I8" s="36"/>
      <c r="J8" s="33"/>
      <c r="K8" s="33"/>
      <c r="L8" s="33"/>
      <c r="M8" s="36"/>
      <c r="N8" s="33" t="s">
        <v>129</v>
      </c>
      <c r="O8" s="33"/>
      <c r="P8" s="33"/>
      <c r="Q8" s="41"/>
      <c r="R8" s="34" t="s">
        <v>124</v>
      </c>
      <c r="S8" s="34" t="s">
        <v>125</v>
      </c>
      <c r="T8" s="33" t="s">
        <v>126</v>
      </c>
      <c r="U8" s="18"/>
    </row>
    <row r="9" spans="1:21" x14ac:dyDescent="0.4">
      <c r="E9" s="18"/>
      <c r="F9" s="31">
        <f>$B2</f>
        <v>61</v>
      </c>
      <c r="G9" s="25">
        <f ca="1">AVERAGEIF(Team,$B2,all_balls_scored_Low)</f>
        <v>0</v>
      </c>
      <c r="H9" s="26">
        <f ca="1">AVERAGEIF(Team,B2,all_balls_scored_high)</f>
        <v>2.125</v>
      </c>
      <c r="I9" s="36"/>
      <c r="M9" s="36"/>
      <c r="N9" s="26">
        <f>SUMIF(Team,$B2,Climbed)</f>
        <v>7</v>
      </c>
      <c r="Q9" s="41"/>
      <c r="R9" s="26">
        <f>AVERAGEIF(Team,$B2,auton_our_score)</f>
        <v>4</v>
      </c>
      <c r="S9" s="26">
        <f>AVERAGEIF(Team,$B2,teleop_our_score)</f>
        <v>1.125</v>
      </c>
      <c r="T9" s="26">
        <f>AVERAGEIF(Team,$B2,Endgame_our_score)</f>
        <v>31.25</v>
      </c>
      <c r="U9" s="18"/>
    </row>
    <row r="10" spans="1:21" x14ac:dyDescent="0.4">
      <c r="E10" s="18"/>
      <c r="F10" s="31">
        <f>$B3</f>
        <v>166</v>
      </c>
      <c r="G10" s="25">
        <f>AVERAGEIF(Team,$B3,balls_scored_low)</f>
        <v>0</v>
      </c>
      <c r="H10" s="26">
        <f ca="1">AVERAGEIF(Team,B3,all_balls_scored_high)</f>
        <v>5.4285714285714288</v>
      </c>
      <c r="I10" s="36"/>
      <c r="M10" s="36"/>
      <c r="N10" s="26">
        <f>SUMIF(Team,$B3,Climbed)</f>
        <v>4</v>
      </c>
      <c r="Q10" s="41"/>
      <c r="R10" s="26">
        <f>AVERAGEIF(Team,$B3,auton_our_score)</f>
        <v>9.7142857142857135</v>
      </c>
      <c r="S10" s="26">
        <f>AVERAGEIF(Team,$B3,teleop_our_score)</f>
        <v>5</v>
      </c>
      <c r="T10" s="26">
        <f>AVERAGEIF(Team,$B3,Endgame_our_score)</f>
        <v>16.428571428571427</v>
      </c>
      <c r="U10" s="18"/>
    </row>
    <row r="11" spans="1:21" x14ac:dyDescent="0.4">
      <c r="E11" s="18"/>
      <c r="F11" s="31">
        <f>$B4</f>
        <v>61</v>
      </c>
      <c r="G11" s="25">
        <f>AVERAGEIF(Team,$B4,balls_scored_low)</f>
        <v>0</v>
      </c>
      <c r="H11" s="26">
        <f ca="1">AVERAGEIF(Team,B4,all_balls_scored_high)</f>
        <v>2.125</v>
      </c>
      <c r="I11" s="36"/>
      <c r="M11" s="36"/>
      <c r="N11" s="26">
        <f>SUMIF(Team,$B4,Climbed)</f>
        <v>7</v>
      </c>
      <c r="Q11" s="41"/>
      <c r="R11" s="26">
        <f>AVERAGEIF(Team,$B4,auton_our_score)</f>
        <v>4</v>
      </c>
      <c r="S11" s="26">
        <f>AVERAGEIF(Team,$B4,teleop_our_score)</f>
        <v>1.125</v>
      </c>
      <c r="T11" s="26">
        <f>AVERAGEIF(Team,$B4,Endgame_our_score)</f>
        <v>31.25</v>
      </c>
      <c r="U11" s="18"/>
    </row>
    <row r="12" spans="1:21" x14ac:dyDescent="0.4">
      <c r="E12" s="18"/>
      <c r="F12" s="29" t="s">
        <v>108</v>
      </c>
      <c r="G12" s="30">
        <f ca="1">G11+G10+G9</f>
        <v>0</v>
      </c>
      <c r="H12" s="30">
        <f ca="1">H11+H10+H9</f>
        <v>9.6785714285714288</v>
      </c>
      <c r="I12" s="37"/>
      <c r="J12" s="30"/>
      <c r="K12" s="30"/>
      <c r="L12" s="30"/>
      <c r="M12" s="36"/>
      <c r="N12" s="30">
        <f>SUM(N9+N10+N11)</f>
        <v>18</v>
      </c>
      <c r="O12" s="30"/>
      <c r="P12" s="30"/>
      <c r="Q12" s="41"/>
      <c r="R12" s="30">
        <f>R9+R10+R11</f>
        <v>17.714285714285715</v>
      </c>
      <c r="S12" s="30">
        <f>S9+S10+S11</f>
        <v>7.25</v>
      </c>
      <c r="T12" s="30">
        <f>T9+T10+T11</f>
        <v>78.928571428571431</v>
      </c>
      <c r="U12" s="18"/>
    </row>
    <row r="13" spans="1:21" x14ac:dyDescent="0.4">
      <c r="E13" s="18"/>
      <c r="F13" s="31">
        <f>$B5</f>
        <v>316</v>
      </c>
      <c r="G13" s="25">
        <f>AVERAGEIF(Team,$B5,balls_scored_low)</f>
        <v>0</v>
      </c>
      <c r="H13" s="26">
        <f ca="1">AVERAGEIF(Team,B5,all_balls_scored_high)</f>
        <v>6</v>
      </c>
      <c r="I13" s="36"/>
      <c r="M13" s="36"/>
      <c r="N13" s="26">
        <f>SUMIF(Team,$B5,Climbed)</f>
        <v>3</v>
      </c>
      <c r="Q13" s="41"/>
      <c r="R13" s="26">
        <f>AVERAGEIF(Team,$B5,auton_our_score)</f>
        <v>7</v>
      </c>
      <c r="S13" s="26">
        <f>AVERAGEIF(Team,$B5,teleop_our_score)</f>
        <v>8.4285714285714288</v>
      </c>
      <c r="T13" s="26">
        <f>AVERAGEIF(Team,$B5,Endgame_our_score)</f>
        <v>15</v>
      </c>
      <c r="U13" s="18"/>
    </row>
    <row r="14" spans="1:21" x14ac:dyDescent="0.4">
      <c r="E14" s="18"/>
      <c r="F14" s="31">
        <f>$B6</f>
        <v>1100</v>
      </c>
      <c r="G14" s="25">
        <f>AVERAGEIF(Team,$B6,balls_scored_low)</f>
        <v>0</v>
      </c>
      <c r="H14" s="26">
        <f ca="1">AVERAGEIF(Team,B6,all_balls_scored_high)</f>
        <v>1.8571428571428572</v>
      </c>
      <c r="I14" s="36"/>
      <c r="M14" s="36"/>
      <c r="N14" s="26">
        <f>SUMIF(Team,$B6,Climbed)</f>
        <v>1</v>
      </c>
      <c r="Q14" s="41"/>
      <c r="R14" s="26">
        <f>AVERAGEIF(Team,$B6,auton_our_score)</f>
        <v>4.5714285714285712</v>
      </c>
      <c r="S14" s="26">
        <f>AVERAGEIF(Team,$B6,teleop_our_score)</f>
        <v>1.8571428571428572</v>
      </c>
      <c r="T14" s="26">
        <f>AVERAGEIF(Team,$B6,Endgame_our_score)</f>
        <v>3.5714285714285716</v>
      </c>
      <c r="U14" s="18"/>
    </row>
    <row r="15" spans="1:21" x14ac:dyDescent="0.4">
      <c r="E15" s="18"/>
      <c r="F15" s="31">
        <f>$B7</f>
        <v>61</v>
      </c>
      <c r="G15" s="25">
        <f>AVERAGEIF(Team,$B7,balls_scored_low)</f>
        <v>0</v>
      </c>
      <c r="H15" s="26">
        <f ca="1">AVERAGEIF(Team,B7,all_balls_scored_high)</f>
        <v>2.125</v>
      </c>
      <c r="I15" s="36"/>
      <c r="M15" s="36"/>
      <c r="N15" s="26">
        <f>SUMIF(Team,$B7,Climbed)</f>
        <v>7</v>
      </c>
      <c r="Q15" s="41"/>
      <c r="R15" s="26">
        <f>AVERAGEIF(Team,$B7,auton_our_score)</f>
        <v>4</v>
      </c>
      <c r="S15" s="26">
        <f>AVERAGEIF(Team,$B7,teleop_our_score)</f>
        <v>1.125</v>
      </c>
      <c r="T15" s="26">
        <f>AVERAGEIF(Team,$B7,Endgame_our_score)</f>
        <v>31.25</v>
      </c>
      <c r="U15" s="18"/>
    </row>
    <row r="16" spans="1:21" x14ac:dyDescent="0.4">
      <c r="E16" s="18"/>
      <c r="F16" s="29" t="s">
        <v>108</v>
      </c>
      <c r="G16" s="30">
        <f>G13+G14+G15</f>
        <v>0</v>
      </c>
      <c r="H16" s="30">
        <f ca="1">H13+H14+H15</f>
        <v>9.9821428571428577</v>
      </c>
      <c r="I16" s="37"/>
      <c r="M16" s="36"/>
      <c r="N16" s="26">
        <f>SUM(N13:N15)</f>
        <v>11</v>
      </c>
      <c r="Q16" s="41"/>
      <c r="R16" s="30">
        <f>R13+R14+R15</f>
        <v>15.571428571428571</v>
      </c>
      <c r="S16" s="30">
        <f>S13+S14+S15</f>
        <v>11.410714285714286</v>
      </c>
      <c r="T16" s="30">
        <f>T13+T14+T15</f>
        <v>49.821428571428569</v>
      </c>
      <c r="U16" s="18"/>
    </row>
    <row r="17" spans="5:21" ht="18.75" customHeight="1" x14ac:dyDescent="0.4">
      <c r="E17" s="18"/>
      <c r="F17" s="27"/>
      <c r="G17" s="28"/>
      <c r="H17" s="27"/>
      <c r="I17" s="27"/>
      <c r="J17" s="28"/>
      <c r="K17" s="28"/>
      <c r="L17" s="27"/>
      <c r="M17" s="18"/>
      <c r="N17" s="18"/>
      <c r="O17" s="18"/>
      <c r="P17" s="18"/>
      <c r="Q17" s="18"/>
      <c r="R17" s="18"/>
      <c r="S17" s="18"/>
      <c r="T17" s="18"/>
      <c r="U17" s="18"/>
    </row>
    <row r="54" spans="1:1" x14ac:dyDescent="0.4">
      <c r="A54">
        <v>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Drop Down 1">
              <controlPr defaultSize="0" autoLine="0" autoPict="0">
                <anchor moveWithCells="1">
                  <from>
                    <xdr:col>13</xdr:col>
                    <xdr:colOff>0</xdr:colOff>
                    <xdr:row>4</xdr:row>
                    <xdr:rowOff>0</xdr:rowOff>
                  </from>
                  <to>
                    <xdr:col>13</xdr:col>
                    <xdr:colOff>771525</xdr:colOff>
                    <xdr:row>4</xdr:row>
                    <xdr:rowOff>381000</xdr:rowOff>
                  </to>
                </anchor>
              </controlPr>
            </control>
          </mc:Choice>
        </mc:AlternateContent>
        <mc:AlternateContent xmlns:mc="http://schemas.openxmlformats.org/markup-compatibility/2006">
          <mc:Choice Requires="x14">
            <control shapeId="8194" r:id="rId5" name="Drop Down 2">
              <controlPr defaultSize="0" autoLine="0" autoPict="0" macro="[0]!DropDown2_Change">
                <anchor moveWithCells="1">
                  <from>
                    <xdr:col>9</xdr:col>
                    <xdr:colOff>28575</xdr:colOff>
                    <xdr:row>1</xdr:row>
                    <xdr:rowOff>419100</xdr:rowOff>
                  </from>
                  <to>
                    <xdr:col>9</xdr:col>
                    <xdr:colOff>800100</xdr:colOff>
                    <xdr:row>2</xdr:row>
                    <xdr:rowOff>371475</xdr:rowOff>
                  </to>
                </anchor>
              </controlPr>
            </control>
          </mc:Choice>
        </mc:AlternateContent>
        <mc:AlternateContent xmlns:mc="http://schemas.openxmlformats.org/markup-compatibility/2006">
          <mc:Choice Requires="x14">
            <control shapeId="8195" r:id="rId6" name="Drop Down 3">
              <controlPr defaultSize="0" autoLine="0" autoPict="0">
                <anchor moveWithCells="1">
                  <from>
                    <xdr:col>9</xdr:col>
                    <xdr:colOff>19050</xdr:colOff>
                    <xdr:row>3</xdr:row>
                    <xdr:rowOff>28575</xdr:rowOff>
                  </from>
                  <to>
                    <xdr:col>9</xdr:col>
                    <xdr:colOff>790575</xdr:colOff>
                    <xdr:row>3</xdr:row>
                    <xdr:rowOff>409575</xdr:rowOff>
                  </to>
                </anchor>
              </controlPr>
            </control>
          </mc:Choice>
        </mc:AlternateContent>
        <mc:AlternateContent xmlns:mc="http://schemas.openxmlformats.org/markup-compatibility/2006">
          <mc:Choice Requires="x14">
            <control shapeId="8196" r:id="rId7" name="Drop Down 4">
              <controlPr defaultSize="0" autoLine="0" autoPict="0">
                <anchor moveWithCells="1">
                  <from>
                    <xdr:col>9</xdr:col>
                    <xdr:colOff>19050</xdr:colOff>
                    <xdr:row>4</xdr:row>
                    <xdr:rowOff>19050</xdr:rowOff>
                  </from>
                  <to>
                    <xdr:col>9</xdr:col>
                    <xdr:colOff>790575</xdr:colOff>
                    <xdr:row>4</xdr:row>
                    <xdr:rowOff>400050</xdr:rowOff>
                  </to>
                </anchor>
              </controlPr>
            </control>
          </mc:Choice>
        </mc:AlternateContent>
        <mc:AlternateContent xmlns:mc="http://schemas.openxmlformats.org/markup-compatibility/2006">
          <mc:Choice Requires="x14">
            <control shapeId="8197" r:id="rId8" name="Drop Down 5">
              <controlPr defaultSize="0" autoLine="0" autoPict="0">
                <anchor moveWithCells="1">
                  <from>
                    <xdr:col>13</xdr:col>
                    <xdr:colOff>0</xdr:colOff>
                    <xdr:row>1</xdr:row>
                    <xdr:rowOff>619125</xdr:rowOff>
                  </from>
                  <to>
                    <xdr:col>13</xdr:col>
                    <xdr:colOff>771525</xdr:colOff>
                    <xdr:row>2</xdr:row>
                    <xdr:rowOff>381000</xdr:rowOff>
                  </to>
                </anchor>
              </controlPr>
            </control>
          </mc:Choice>
        </mc:AlternateContent>
        <mc:AlternateContent xmlns:mc="http://schemas.openxmlformats.org/markup-compatibility/2006">
          <mc:Choice Requires="x14">
            <control shapeId="8198" r:id="rId9" name="Drop Down 6">
              <controlPr defaultSize="0" autoLine="0" autoPict="0">
                <anchor moveWithCells="1">
                  <from>
                    <xdr:col>13</xdr:col>
                    <xdr:colOff>0</xdr:colOff>
                    <xdr:row>3</xdr:row>
                    <xdr:rowOff>0</xdr:rowOff>
                  </from>
                  <to>
                    <xdr:col>13</xdr:col>
                    <xdr:colOff>771525</xdr:colOff>
                    <xdr:row>3</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4024-C535-49AA-AD56-11C57EADBBD9}">
  <sheetPr codeName="Sheet3"/>
  <dimension ref="A1:AU319"/>
  <sheetViews>
    <sheetView topLeftCell="C1" zoomScale="90" zoomScaleNormal="72" workbookViewId="0">
      <selection activeCell="K28" sqref="K28"/>
    </sheetView>
  </sheetViews>
  <sheetFormatPr defaultRowHeight="18.75" x14ac:dyDescent="0.25"/>
  <cols>
    <col min="1" max="2" width="9.140625" style="52" hidden="1" customWidth="1"/>
    <col min="3" max="3" width="34.42578125" style="113" customWidth="1"/>
    <col min="4" max="5" width="12.140625" style="102" customWidth="1"/>
    <col min="6" max="6" width="12.28515625" style="102" customWidth="1"/>
    <col min="7" max="7" width="1.140625" style="114" customWidth="1"/>
    <col min="8" max="8" width="12.42578125" style="102" customWidth="1"/>
    <col min="9" max="9" width="12.5703125" style="102" customWidth="1"/>
    <col min="10" max="10" width="12.7109375" style="102" customWidth="1"/>
    <col min="11" max="11" width="2.28515625" style="58" customWidth="1"/>
    <col min="12" max="19" width="8.85546875" style="52"/>
    <col min="20" max="20" width="7.7109375" style="52" customWidth="1"/>
    <col min="21" max="21" width="6.28515625" style="52" customWidth="1"/>
    <col min="22" max="22" width="2" style="58" customWidth="1"/>
    <col min="23" max="30" width="9.140625" style="115"/>
    <col min="31" max="31" width="9.140625" style="58"/>
    <col min="32" max="32" width="113" style="58" customWidth="1"/>
    <col min="33" max="33" width="17.42578125" style="52" customWidth="1"/>
    <col min="34" max="34" width="11.7109375" style="52" customWidth="1"/>
    <col min="35" max="35" width="10.5703125" style="52" customWidth="1"/>
    <col min="36" max="36" width="8.85546875" style="52"/>
    <col min="37" max="37" width="10.42578125" style="52" customWidth="1"/>
    <col min="38" max="38" width="10" style="52" customWidth="1"/>
    <col min="39" max="39" width="8.85546875" style="52"/>
    <col min="40" max="40" width="13.85546875" style="52" customWidth="1"/>
    <col min="41" max="41" width="10.7109375" style="52" customWidth="1"/>
    <col min="42" max="42" width="16.7109375" style="52" customWidth="1"/>
    <col min="43" max="43" width="14" style="52" customWidth="1"/>
    <col min="44" max="47" width="8.85546875" style="52"/>
  </cols>
  <sheetData>
    <row r="1" spans="1:47" ht="43.15" customHeight="1" x14ac:dyDescent="0.25">
      <c r="A1" s="52">
        <v>8</v>
      </c>
      <c r="B1" s="52">
        <f>VLOOKUP(A1,'team listing'!$A$1:$B$40,2)</f>
        <v>316</v>
      </c>
      <c r="C1" s="53" t="s">
        <v>139</v>
      </c>
      <c r="D1" s="54"/>
      <c r="E1" s="54"/>
      <c r="F1" s="55"/>
      <c r="G1" s="56"/>
      <c r="H1" s="57"/>
      <c r="I1" s="57"/>
      <c r="J1" s="57"/>
      <c r="L1" s="58"/>
      <c r="M1" s="58"/>
      <c r="N1" s="58"/>
      <c r="O1" s="58"/>
      <c r="P1" s="58"/>
      <c r="Q1" s="58"/>
      <c r="R1" s="58"/>
      <c r="S1" s="58"/>
      <c r="T1" s="58"/>
      <c r="U1" s="58"/>
      <c r="W1" s="58"/>
      <c r="X1" s="58"/>
      <c r="Y1" s="58"/>
      <c r="Z1" s="58"/>
      <c r="AA1" s="58"/>
      <c r="AB1" s="58"/>
      <c r="AC1" s="58"/>
      <c r="AD1" s="58"/>
      <c r="AG1" s="52" t="s">
        <v>80</v>
      </c>
      <c r="AH1" s="52" t="s">
        <v>81</v>
      </c>
      <c r="AJ1" s="52" t="s">
        <v>84</v>
      </c>
      <c r="AM1" s="52" t="s">
        <v>85</v>
      </c>
      <c r="AP1" s="116" t="s">
        <v>138</v>
      </c>
      <c r="AQ1" s="116"/>
      <c r="AR1" s="116" t="s">
        <v>148</v>
      </c>
      <c r="AS1" s="116" t="s">
        <v>149</v>
      </c>
      <c r="AT1" s="116" t="s">
        <v>150</v>
      </c>
      <c r="AU1" s="116" t="s">
        <v>151</v>
      </c>
    </row>
    <row r="2" spans="1:47" x14ac:dyDescent="0.25">
      <c r="A2" s="52">
        <v>13</v>
      </c>
      <c r="B2" s="52">
        <f>VLOOKUP(A2,'team listing'!$A$1:$B$40,2)</f>
        <v>1350</v>
      </c>
      <c r="C2" s="59" t="s">
        <v>55</v>
      </c>
      <c r="D2" s="60">
        <f>COUNTIF(Team,$B1)</f>
        <v>7</v>
      </c>
      <c r="E2" s="60">
        <f>COUNTIF(Team,$B2)</f>
        <v>7</v>
      </c>
      <c r="F2" s="61">
        <f>COUNTIF(Team,$B3)</f>
        <v>8</v>
      </c>
      <c r="G2" s="62"/>
      <c r="H2" s="63">
        <f>COUNTIF(Team,$B4)</f>
        <v>6</v>
      </c>
      <c r="I2" s="63">
        <f>COUNTIF(Team,$B5)</f>
        <v>6</v>
      </c>
      <c r="J2" s="63">
        <f>COUNTIF(Team,$B6)</f>
        <v>6</v>
      </c>
      <c r="L2" s="64"/>
      <c r="M2" s="64"/>
      <c r="N2" s="64"/>
      <c r="O2" s="64"/>
      <c r="P2" s="64"/>
      <c r="Q2" s="64"/>
      <c r="R2" s="64"/>
      <c r="S2" s="64"/>
      <c r="T2" s="64"/>
      <c r="U2" s="64"/>
      <c r="W2" s="58"/>
      <c r="X2" s="58"/>
      <c r="Y2" s="58"/>
      <c r="Z2" s="58"/>
      <c r="AA2" s="58"/>
      <c r="AB2" s="58"/>
      <c r="AC2" s="58"/>
      <c r="AD2" s="58"/>
      <c r="AG2" s="52" cm="1">
        <f t="array" ref="AG2">MAX(IF(Team=$B1,all_balls_scored_high))</f>
        <v>12</v>
      </c>
      <c r="AH2" s="52">
        <f>100/(MAX(all_balls_scored_high))</f>
        <v>5.882352941176471</v>
      </c>
      <c r="AJ2" s="52">
        <v>25</v>
      </c>
      <c r="AL2" s="65">
        <f>($AG$2*$AH$2)/100</f>
        <v>0.70588235294117652</v>
      </c>
      <c r="AM2" s="66">
        <v>0.01</v>
      </c>
      <c r="AN2" s="67">
        <f>150%-SUM(AL2:AM2)</f>
        <v>0.78411764705882347</v>
      </c>
      <c r="AP2" s="116">
        <v>564</v>
      </c>
      <c r="AQ2" s="116" t="s">
        <v>154</v>
      </c>
      <c r="AR2" s="116">
        <v>844</v>
      </c>
      <c r="AS2" s="116">
        <v>-973</v>
      </c>
      <c r="AT2" s="116">
        <v>1364</v>
      </c>
      <c r="AU2" s="116">
        <v>0</v>
      </c>
    </row>
    <row r="3" spans="1:47" ht="21" x14ac:dyDescent="0.25">
      <c r="A3" s="52">
        <v>21</v>
      </c>
      <c r="B3" s="52">
        <f>VLOOKUP(A3,'team listing'!$A$1:$B$40,2)</f>
        <v>2262</v>
      </c>
      <c r="C3" s="68" t="s">
        <v>136</v>
      </c>
      <c r="D3" s="69">
        <f ca="1">AVERAGEIF(Team,$B1,(our_score))</f>
        <v>30.428571428571427</v>
      </c>
      <c r="E3" s="69">
        <f ca="1">AVERAGEIF(Team,$B2,(our_score))</f>
        <v>9</v>
      </c>
      <c r="F3" s="69">
        <f ca="1">AVERAGEIF(Team,$B3,(our_score))</f>
        <v>20</v>
      </c>
      <c r="G3" s="70"/>
      <c r="H3" s="69">
        <f ca="1">AVERAGEIF(Team,$B4,(our_score))</f>
        <v>1.6666666666666667</v>
      </c>
      <c r="I3" s="69">
        <f ca="1">AVERAGEIF(Team,$B5,(our_score))</f>
        <v>8.1666666666666661</v>
      </c>
      <c r="J3" s="69">
        <f ca="1">AVERAGEIF(Team,$B6,(our_score))</f>
        <v>5.666666666666667</v>
      </c>
      <c r="L3" s="64"/>
      <c r="M3" s="64"/>
      <c r="N3" s="64"/>
      <c r="O3" s="64"/>
      <c r="P3" s="64"/>
      <c r="Q3" s="64"/>
      <c r="R3" s="64"/>
      <c r="S3" s="64"/>
      <c r="T3" s="64"/>
      <c r="U3" s="64"/>
      <c r="W3" s="58"/>
      <c r="X3" s="58"/>
      <c r="Y3" s="58"/>
      <c r="Z3" s="58"/>
      <c r="AA3" s="58"/>
      <c r="AB3" s="58"/>
      <c r="AC3" s="58"/>
      <c r="AD3" s="58"/>
      <c r="AG3" s="52" cm="1">
        <f t="array" ref="AG3">MAX(IF(Team=$B2,all_balls_scored_high))</f>
        <v>3</v>
      </c>
      <c r="AJ3" s="52">
        <v>75</v>
      </c>
      <c r="AL3" s="65">
        <f>($AG$3*$AH$2)/100</f>
        <v>0.17647058823529413</v>
      </c>
      <c r="AM3" s="66">
        <v>0.01</v>
      </c>
      <c r="AN3" s="67">
        <f>150%-SUM(AL3:AM3)</f>
        <v>1.3135294117647058</v>
      </c>
      <c r="AP3" s="116" t="s">
        <v>138</v>
      </c>
      <c r="AQ3" s="116" t="s">
        <v>156</v>
      </c>
      <c r="AR3" s="116">
        <v>2</v>
      </c>
      <c r="AS3" s="116">
        <v>1</v>
      </c>
      <c r="AT3" s="116">
        <v>-3</v>
      </c>
      <c r="AU3" s="116">
        <v>1</v>
      </c>
    </row>
    <row r="4" spans="1:47" x14ac:dyDescent="0.25">
      <c r="A4" s="52">
        <v>37</v>
      </c>
      <c r="B4" s="52">
        <f>VLOOKUP(A4,'team listing'!$A$1:$B$40,2)</f>
        <v>7153</v>
      </c>
      <c r="C4" s="71" t="s">
        <v>57</v>
      </c>
      <c r="D4" s="72">
        <f>AVERAGEIF(Team,$B1,auton_balls_scored)</f>
        <v>2</v>
      </c>
      <c r="E4" s="72">
        <f>AVERAGEIF(Team,$B2,auton_balls_scored)</f>
        <v>0.7142857142857143</v>
      </c>
      <c r="F4" s="72">
        <f>AVERAGEIF(Team,$B3,auton_balls_scored)</f>
        <v>1</v>
      </c>
      <c r="G4" s="73"/>
      <c r="H4" s="72">
        <f>AVERAGEIF(Team,$B4,auton_balls_scored)</f>
        <v>0.33333333333333331</v>
      </c>
      <c r="I4" s="72">
        <f>AVERAGEIF(Team,$B5,auton_balls_scored)</f>
        <v>0.16666666666666666</v>
      </c>
      <c r="J4" s="72">
        <f>AVERAGEIF(Team,$B6,auton_balls_scored)</f>
        <v>1.3333333333333333</v>
      </c>
      <c r="L4" s="64"/>
      <c r="M4" s="64"/>
      <c r="N4" s="64"/>
      <c r="O4" s="64"/>
      <c r="P4" s="64"/>
      <c r="Q4" s="64"/>
      <c r="R4" s="64"/>
      <c r="S4" s="64"/>
      <c r="T4" s="64"/>
      <c r="U4" s="64"/>
      <c r="W4" s="58"/>
      <c r="X4" s="58"/>
      <c r="Y4" s="58"/>
      <c r="Z4" s="58"/>
      <c r="AA4" s="58"/>
      <c r="AB4" s="58"/>
      <c r="AC4" s="58"/>
      <c r="AD4" s="58"/>
      <c r="AG4" s="52" cm="1">
        <f t="array" ref="AG4">MAX(IF(Team=$B3,all_balls_scored_high))</f>
        <v>3</v>
      </c>
      <c r="AJ4" s="52">
        <v>50</v>
      </c>
      <c r="AL4" s="65">
        <f>($AG$4*$AH$2)/100</f>
        <v>0.17647058823529413</v>
      </c>
      <c r="AM4" s="66">
        <v>0.01</v>
      </c>
      <c r="AN4" s="67">
        <f>150%-SUM(AL4:AM4)</f>
        <v>1.3135294117647058</v>
      </c>
      <c r="AP4" s="116">
        <v>38</v>
      </c>
      <c r="AQ4" s="116" t="s">
        <v>157</v>
      </c>
      <c r="AR4" s="116"/>
      <c r="AS4" s="116"/>
      <c r="AT4" s="116"/>
      <c r="AU4" s="116"/>
    </row>
    <row r="5" spans="1:47" x14ac:dyDescent="0.25">
      <c r="A5" s="52">
        <v>39</v>
      </c>
      <c r="B5" s="52">
        <f>VLOOKUP(A5,'team listing'!$A$1:$B$40,2)</f>
        <v>7760</v>
      </c>
      <c r="C5" s="71" t="s">
        <v>58</v>
      </c>
      <c r="D5" s="74" cm="1">
        <f t="array" ref="D5">MAX(IF(Team=$B1,auton_balls_scored))</f>
        <v>3</v>
      </c>
      <c r="E5" s="74" cm="1">
        <f t="array" ref="E5">MAX(IF(Team=$B2,auton_balls_scored))</f>
        <v>3</v>
      </c>
      <c r="F5" s="74" cm="1">
        <f t="array" ref="F5">MAX(IF(Team=$B3,auton_balls_scored))</f>
        <v>3</v>
      </c>
      <c r="G5" s="75"/>
      <c r="H5" s="76" cm="1">
        <f t="array" ref="H5">MAX(IF(Team=$B4,auton_balls_scored))</f>
        <v>2</v>
      </c>
      <c r="I5" s="76" cm="1">
        <f t="array" ref="I5">MAX(IF(Team=$B5,auton_balls_scored))</f>
        <v>1</v>
      </c>
      <c r="J5" s="76" cm="1">
        <f t="array" ref="J5">MAX(IF(Team=$B6,auton_balls_scored))</f>
        <v>3</v>
      </c>
      <c r="L5" s="64"/>
      <c r="M5" s="64"/>
      <c r="N5" s="64"/>
      <c r="O5" s="64"/>
      <c r="P5" s="64"/>
      <c r="Q5" s="64"/>
      <c r="R5" s="64"/>
      <c r="S5" s="64"/>
      <c r="T5" s="64"/>
      <c r="U5" s="64"/>
      <c r="W5" s="58"/>
      <c r="X5" s="58"/>
      <c r="Y5" s="58"/>
      <c r="Z5" s="58"/>
      <c r="AA5" s="58"/>
      <c r="AB5" s="58"/>
      <c r="AC5" s="58"/>
      <c r="AD5" s="58"/>
      <c r="AP5" s="116"/>
      <c r="AQ5" s="116">
        <f>SUM(AR5:AU5)</f>
        <v>-973</v>
      </c>
      <c r="AR5" s="116">
        <f>IF($A$8=1,$AR$2,0)</f>
        <v>0</v>
      </c>
      <c r="AS5" s="116">
        <f>IF($A$8=2,$AS$2,0)</f>
        <v>-973</v>
      </c>
      <c r="AT5" s="116">
        <f>IF($A$8=3,$AT$2,0)</f>
        <v>0</v>
      </c>
      <c r="AU5" s="116">
        <f>IF($A$8=4,$AU$2,0)</f>
        <v>0</v>
      </c>
    </row>
    <row r="6" spans="1:47" ht="36.75" customHeight="1" x14ac:dyDescent="0.25">
      <c r="A6" s="52">
        <v>29</v>
      </c>
      <c r="B6" s="52">
        <f>VLOOKUP(A6,'team listing'!$A$1:$B$40,2)</f>
        <v>4987</v>
      </c>
      <c r="C6" s="77" t="s">
        <v>143</v>
      </c>
      <c r="D6" s="72">
        <f>AVERAGEIF(Team,$B1,(Balls_Scored_From_Trench))</f>
        <v>0</v>
      </c>
      <c r="E6" s="72">
        <f>AVERAGEIF(Team,$B2,(Balls_Scored_From_Trench))</f>
        <v>0</v>
      </c>
      <c r="F6" s="72">
        <f>AVERAGEIF(Team,$B3,(Balls_Scored_From_Trench))</f>
        <v>0</v>
      </c>
      <c r="G6" s="78"/>
      <c r="H6" s="72">
        <f>AVERAGEIF(Team,$B4,(Balls_Scored_From_Trench))</f>
        <v>0</v>
      </c>
      <c r="I6" s="72">
        <f>AVERAGEIF(Team,$B5,(Balls_Scored_From_Trench))</f>
        <v>0</v>
      </c>
      <c r="J6" s="72">
        <f>AVERAGEIF(Team,$B6,(Balls_Scored_From_Trench))</f>
        <v>0</v>
      </c>
      <c r="L6" s="64"/>
      <c r="M6" s="64"/>
      <c r="N6" s="64"/>
      <c r="O6" s="64"/>
      <c r="P6" s="64"/>
      <c r="Q6" s="64"/>
      <c r="R6" s="64"/>
      <c r="S6" s="64"/>
      <c r="T6" s="64"/>
      <c r="U6" s="64"/>
      <c r="W6" s="58"/>
      <c r="X6" s="58"/>
      <c r="Y6" s="58"/>
      <c r="Z6" s="58"/>
      <c r="AA6" s="58"/>
      <c r="AB6" s="58"/>
      <c r="AC6" s="58"/>
      <c r="AD6" s="58"/>
      <c r="AG6" s="52" t="s">
        <v>86</v>
      </c>
      <c r="AH6" s="52" t="s">
        <v>87</v>
      </c>
    </row>
    <row r="7" spans="1:47" ht="34.5" customHeight="1" x14ac:dyDescent="0.25">
      <c r="A7" s="52" t="s">
        <v>152</v>
      </c>
      <c r="C7" s="59" t="s">
        <v>59</v>
      </c>
      <c r="D7" s="74" cm="1">
        <f t="array" ref="D7">MAX(IF(Team=B1,Balls_Scored_From_Trench))</f>
        <v>0</v>
      </c>
      <c r="E7" s="74" cm="1">
        <f t="array" ref="E7">MAX(IF(Team=B2,Balls_Scored_From_Trench))</f>
        <v>0</v>
      </c>
      <c r="F7" s="74" cm="1">
        <f t="array" ref="F7">MAX(IF(Team=B3,Balls_Scored_From_Trench))</f>
        <v>0</v>
      </c>
      <c r="G7" s="79"/>
      <c r="H7" s="76" cm="1">
        <f t="array" ref="H7">MAX(IF(Team=B4,Balls_Scored_From_Trench))</f>
        <v>0</v>
      </c>
      <c r="I7" s="76" cm="1">
        <f t="array" ref="I7">MAX(IF(Team=B5,Balls_Scored_From_Trench))</f>
        <v>0</v>
      </c>
      <c r="J7" s="76" cm="1">
        <f t="array" ref="J7">MAX(IF(Team=B6,Balls_Scored_From_Trench))</f>
        <v>0</v>
      </c>
      <c r="L7" s="64"/>
      <c r="M7" s="64"/>
      <c r="N7" s="64"/>
      <c r="O7" s="64"/>
      <c r="P7" s="64"/>
      <c r="Q7" s="64"/>
      <c r="R7" s="64"/>
      <c r="S7" s="64"/>
      <c r="T7" s="64"/>
      <c r="U7" s="64"/>
      <c r="W7" s="58"/>
      <c r="X7" s="58"/>
      <c r="Y7" s="58"/>
      <c r="Z7" s="58"/>
      <c r="AA7" s="58"/>
      <c r="AB7" s="58"/>
      <c r="AC7" s="58"/>
      <c r="AD7" s="58"/>
      <c r="AG7" s="52">
        <f>AVERAGEIF(Team,$B1,Defense_Level)</f>
        <v>0.5</v>
      </c>
      <c r="AH7" s="52">
        <f>100/MAX(Defense_Level)</f>
        <v>20</v>
      </c>
      <c r="AL7" s="65">
        <f>(AG7*AH7)/100</f>
        <v>0.1</v>
      </c>
      <c r="AM7" s="66">
        <v>0.01</v>
      </c>
      <c r="AN7" s="67">
        <f>150%-SUM(AL7:AM7)</f>
        <v>1.39</v>
      </c>
    </row>
    <row r="8" spans="1:47" ht="39" customHeight="1" x14ac:dyDescent="0.25">
      <c r="A8" s="52">
        <v>2</v>
      </c>
      <c r="B8" s="52" t="str">
        <f>VLOOKUP(A8,'team listing'!D2:E7,2)</f>
        <v>Sethy poo</v>
      </c>
      <c r="C8" s="77" t="s">
        <v>142</v>
      </c>
      <c r="D8" s="72">
        <f>AVERAGEIF(Team,$B1,(Balls_Scored_from_Mid))</f>
        <v>3.4285714285714284</v>
      </c>
      <c r="E8" s="72">
        <f>AVERAGEIF(Team,$B2,(Balls_Scored_from_Mid))</f>
        <v>0</v>
      </c>
      <c r="F8" s="72">
        <f>AVERAGEIF(Team,$B3,(Balls_Scored_from_Mid))</f>
        <v>0</v>
      </c>
      <c r="G8" s="79"/>
      <c r="H8" s="72">
        <f>AVERAGEIF(Team,$B4,(Balls_Scored_from_Mid))</f>
        <v>0</v>
      </c>
      <c r="I8" s="72">
        <f>AVERAGEIF(Team,$B5,(Balls_Scored_from_Mid))</f>
        <v>0</v>
      </c>
      <c r="J8" s="72">
        <f>AVERAGEIF(Team,$B6,(Balls_Scored_from_Mid))</f>
        <v>0.5</v>
      </c>
      <c r="L8" s="64"/>
      <c r="M8" s="64"/>
      <c r="N8" s="64"/>
      <c r="O8" s="64"/>
      <c r="P8" s="64"/>
      <c r="Q8" s="64"/>
      <c r="R8" s="64"/>
      <c r="S8" s="64"/>
      <c r="T8" s="64"/>
      <c r="U8" s="64"/>
      <c r="W8" s="58"/>
      <c r="X8" s="58"/>
      <c r="Y8" s="58"/>
      <c r="Z8" s="58"/>
      <c r="AA8" s="58"/>
      <c r="AB8" s="58"/>
      <c r="AC8" s="58"/>
      <c r="AD8" s="58"/>
      <c r="AG8" s="52">
        <f>AVERAGEIF(Team,$B2,Defense_Level)</f>
        <v>0.14285714285714285</v>
      </c>
      <c r="AL8" s="65">
        <f>(AG8*AH7)/100</f>
        <v>2.8571428571428567E-2</v>
      </c>
      <c r="AM8" s="66">
        <v>0.01</v>
      </c>
      <c r="AN8" s="67">
        <f>150%-SUM(AL8:AM8)</f>
        <v>1.4614285714285715</v>
      </c>
    </row>
    <row r="9" spans="1:47" ht="35.25" customHeight="1" x14ac:dyDescent="0.25">
      <c r="C9" s="59" t="s">
        <v>141</v>
      </c>
      <c r="D9" s="74">
        <f>AVERAGEIF(Team,$B1,(Balls_Scored_From_Alliance_zone))</f>
        <v>0.5714285714285714</v>
      </c>
      <c r="E9" s="74">
        <f>AVERAGEIF(Team,$B2,(Balls_Scored_From_Alliance_zone))</f>
        <v>0.42857142857142855</v>
      </c>
      <c r="F9" s="74">
        <f>AVERAGEIF(Team,$B3,(Balls_Scored_From_Alliance_zone))</f>
        <v>0.375</v>
      </c>
      <c r="G9" s="79"/>
      <c r="H9" s="76">
        <f>AVERAGEIF(Team,$B4,(Balls_Scored_From_Alliance_zone))</f>
        <v>0.16666666666666666</v>
      </c>
      <c r="I9" s="76">
        <f>AVERAGEIF(Team,$B5,(Balls_Scored_From_Alliance_zone))</f>
        <v>0</v>
      </c>
      <c r="J9" s="76">
        <f>AVERAGEIF(Team,$B6,(Balls_Scored_From_Alliance_zone))</f>
        <v>0</v>
      </c>
      <c r="L9" s="64"/>
      <c r="M9" s="64"/>
      <c r="N9" s="64"/>
      <c r="O9" s="64"/>
      <c r="P9" s="64"/>
      <c r="Q9" s="64"/>
      <c r="R9" s="64"/>
      <c r="S9" s="64"/>
      <c r="T9" s="64"/>
      <c r="U9" s="64"/>
      <c r="W9" s="58"/>
      <c r="X9" s="58"/>
      <c r="Y9" s="58"/>
      <c r="Z9" s="58"/>
      <c r="AA9" s="58"/>
      <c r="AB9" s="58"/>
      <c r="AC9" s="58"/>
      <c r="AD9" s="58"/>
      <c r="AG9" s="52">
        <f>AVERAGEIF(Team,$B3,Defense_Level)</f>
        <v>0.625</v>
      </c>
      <c r="AL9" s="65">
        <f>(AG9*AH7)/100</f>
        <v>0.125</v>
      </c>
      <c r="AM9" s="66">
        <v>0.01</v>
      </c>
      <c r="AN9" s="67">
        <f>150%-SUM(AL9:AM9)</f>
        <v>1.365</v>
      </c>
      <c r="AP9" s="52" t="s">
        <v>159</v>
      </c>
      <c r="AR9" s="52" t="s">
        <v>161</v>
      </c>
    </row>
    <row r="10" spans="1:47" x14ac:dyDescent="0.25">
      <c r="C10" s="77" t="s">
        <v>140</v>
      </c>
      <c r="D10" s="72">
        <f>AVERAGEIF(Team,$B1,(balls_scored_low))</f>
        <v>0</v>
      </c>
      <c r="E10" s="72">
        <f>AVERAGEIF(Team,$B2,(balls_scored_low))</f>
        <v>0</v>
      </c>
      <c r="F10" s="72">
        <f>AVERAGEIF(Team,$B3,(balls_scored_low))</f>
        <v>0</v>
      </c>
      <c r="G10" s="79"/>
      <c r="H10" s="72">
        <f>AVERAGEIF(Team,$B4,(balls_scored_low))</f>
        <v>0</v>
      </c>
      <c r="I10" s="72">
        <f>AVERAGEIF(Team,$B5,(balls_scored_low))</f>
        <v>2.5</v>
      </c>
      <c r="J10" s="72">
        <f>AVERAGEIF(Team,$B6,(balls_scored_low))</f>
        <v>0</v>
      </c>
      <c r="L10" s="64"/>
      <c r="M10" s="64"/>
      <c r="N10" s="64"/>
      <c r="O10" s="64"/>
      <c r="P10" s="64"/>
      <c r="Q10" s="64"/>
      <c r="R10" s="64"/>
      <c r="S10" s="64"/>
      <c r="T10" s="64"/>
      <c r="U10" s="64"/>
      <c r="W10" s="58"/>
      <c r="X10" s="58"/>
      <c r="Y10" s="58"/>
      <c r="Z10" s="58"/>
      <c r="AA10" s="58"/>
      <c r="AB10" s="58"/>
      <c r="AC10" s="58"/>
      <c r="AD10" s="58"/>
      <c r="AG10" s="52" t="s">
        <v>88</v>
      </c>
      <c r="AP10" s="52">
        <f t="shared" ref="AP10:AP15" ca="1" si="0">IF(AQ10&gt;0,AQ10,1)</f>
        <v>1</v>
      </c>
      <c r="AQ10" s="52">
        <f ca="1">SUMIF(Team,$B1,time_spun_w__out_0)</f>
        <v>0</v>
      </c>
      <c r="AR10" s="52">
        <f ca="1">IF(AS10&gt;0,AS10,1)</f>
        <v>1</v>
      </c>
      <c r="AS10" s="52">
        <f t="shared" ref="AS10:AS11" ca="1" si="1">SUMIF(Team,$B1,time_spun_color_w__out_0)</f>
        <v>0</v>
      </c>
    </row>
    <row r="11" spans="1:47" ht="16.5" customHeight="1" x14ac:dyDescent="0.25">
      <c r="C11" s="80" t="s">
        <v>90</v>
      </c>
      <c r="D11" s="81">
        <f>AVERAGEIF(Team,$B1,(balls_scored))</f>
        <v>4</v>
      </c>
      <c r="E11" s="81">
        <f>AVERAGEIF(Team,$B2,(balls_scored))</f>
        <v>0.42857142857142855</v>
      </c>
      <c r="F11" s="81">
        <f>AVERAGEIF(Team,$B3,(balls_scored))</f>
        <v>0.375</v>
      </c>
      <c r="G11" s="79"/>
      <c r="H11" s="82">
        <f>AVERAGEIF(Team,$B4,(balls_scored))</f>
        <v>0.16666666666666666</v>
      </c>
      <c r="I11" s="82">
        <f>AVERAGEIF(Team,$B5,(balls_scored))</f>
        <v>2.5</v>
      </c>
      <c r="J11" s="82">
        <f>AVERAGEIF(Team,$B6,(balls_scored))</f>
        <v>0.5</v>
      </c>
      <c r="L11" s="64"/>
      <c r="M11" s="64"/>
      <c r="N11" s="64"/>
      <c r="O11" s="64"/>
      <c r="P11" s="83"/>
      <c r="Q11" s="64"/>
      <c r="R11" s="64"/>
      <c r="S11" s="64"/>
      <c r="T11" s="64"/>
      <c r="U11" s="64"/>
      <c r="W11" s="58"/>
      <c r="X11" s="58"/>
      <c r="Y11" s="58"/>
      <c r="Z11" s="58"/>
      <c r="AA11" s="58"/>
      <c r="AB11" s="58"/>
      <c r="AC11" s="58"/>
      <c r="AD11" s="58"/>
      <c r="AG11" s="52">
        <f>SUMIF(Team,$B1,Climbed)</f>
        <v>3</v>
      </c>
      <c r="AH11" s="52">
        <f>100/COUNTIF(Team,$B1)</f>
        <v>14.285714285714286</v>
      </c>
      <c r="AL11" s="65">
        <f>(AG11*AH11)/100</f>
        <v>0.4285714285714286</v>
      </c>
      <c r="AM11" s="66">
        <v>0.01</v>
      </c>
      <c r="AN11" s="67">
        <f>150%-SUM(AL11:AM11)</f>
        <v>1.0614285714285714</v>
      </c>
      <c r="AP11" s="52">
        <f t="shared" ca="1" si="0"/>
        <v>1</v>
      </c>
      <c r="AQ11" s="52">
        <f t="shared" ref="AQ11" ca="1" si="2">SUMIF(Team,$B2,time_spun_w__out_0)</f>
        <v>0</v>
      </c>
      <c r="AR11" s="52">
        <f t="shared" ref="AR11:AR15" ca="1" si="3">IF(AS11&gt;0,AS11,1)</f>
        <v>1</v>
      </c>
      <c r="AS11" s="52">
        <f t="shared" ca="1" si="1"/>
        <v>0</v>
      </c>
    </row>
    <row r="12" spans="1:47" ht="21" x14ac:dyDescent="0.25">
      <c r="C12" s="84" t="s">
        <v>60</v>
      </c>
      <c r="D12" s="85" cm="1">
        <f t="array" ref="D12">MAX(IF(Team=$B$1,balls_scored))</f>
        <v>9</v>
      </c>
      <c r="E12" s="85" cm="1">
        <f t="array" ref="E12">MAX(IF(Team=$B$2,balls_scored))</f>
        <v>3</v>
      </c>
      <c r="F12" s="85" cm="1">
        <f t="array" ref="F12">MAX(IF(Team=$B$3,balls_scored))</f>
        <v>2</v>
      </c>
      <c r="G12" s="79"/>
      <c r="H12" s="85" cm="1">
        <f t="array" ref="H12">MAX(IF(Team=$B$4,balls_scored))</f>
        <v>1</v>
      </c>
      <c r="I12" s="85" cm="1">
        <f t="array" ref="I12">MAX(IF(Team=$B$5,balls_scored))</f>
        <v>7</v>
      </c>
      <c r="J12" s="85" cm="1">
        <f t="array" ref="J12">MAX(IF(Team=$B$6,balls_scored))</f>
        <v>2</v>
      </c>
      <c r="L12" s="64"/>
      <c r="M12" s="64"/>
      <c r="N12" s="64"/>
      <c r="O12" s="64"/>
      <c r="P12" s="64"/>
      <c r="Q12" s="64"/>
      <c r="R12" s="64"/>
      <c r="S12" s="64"/>
      <c r="T12" s="64"/>
      <c r="U12" s="64"/>
      <c r="W12" s="58"/>
      <c r="X12" s="58"/>
      <c r="Y12" s="58"/>
      <c r="Z12" s="58"/>
      <c r="AA12" s="58"/>
      <c r="AB12" s="58"/>
      <c r="AC12" s="58"/>
      <c r="AD12" s="58"/>
      <c r="AG12" s="52">
        <f>SUMIF(Team,$B2,Climbed)</f>
        <v>1</v>
      </c>
      <c r="AH12" s="52">
        <f>100/COUNTIF(Team,$B2)</f>
        <v>14.285714285714286</v>
      </c>
      <c r="AL12" s="65">
        <f>(AG12*AH12)/100</f>
        <v>0.14285714285714288</v>
      </c>
      <c r="AM12" s="66">
        <v>0.01</v>
      </c>
      <c r="AN12" s="67">
        <f>150%-SUM(AL12:AM12)</f>
        <v>1.3471428571428572</v>
      </c>
      <c r="AP12" s="52">
        <f ca="1">IF(AQ12&gt;0,AQ12,1)</f>
        <v>1</v>
      </c>
      <c r="AQ12" s="52">
        <f ca="1">SUMIF(Team,#REF!,time_spun_w__out_0)</f>
        <v>0</v>
      </c>
      <c r="AR12" s="52">
        <f t="shared" ca="1" si="3"/>
        <v>1</v>
      </c>
      <c r="AS12" s="52">
        <f ca="1">SUMIF(Team,#REF!,time_spun_color_w__out_0)</f>
        <v>0</v>
      </c>
    </row>
    <row r="13" spans="1:47" ht="21" x14ac:dyDescent="0.25">
      <c r="C13" s="86" t="s">
        <v>130</v>
      </c>
      <c r="D13" s="87">
        <f>SUMIF(Team,$B1,(Climbed))</f>
        <v>3</v>
      </c>
      <c r="E13" s="87">
        <f>SUMIF(Team,$B2,(Climbed))</f>
        <v>1</v>
      </c>
      <c r="F13" s="87">
        <f>SUMIF(Team,$B3,(Climbed))</f>
        <v>3</v>
      </c>
      <c r="G13" s="79"/>
      <c r="H13" s="88">
        <f>SUMIF(Team,$B4,(Climbed))</f>
        <v>0</v>
      </c>
      <c r="I13" s="88">
        <f>SUMIF(Team,$B5,(Climbed))</f>
        <v>1</v>
      </c>
      <c r="J13" s="88">
        <f>SUMIF(Team,$B6,(Climbed))</f>
        <v>0</v>
      </c>
      <c r="L13" s="64"/>
      <c r="M13" s="64"/>
      <c r="N13" s="64"/>
      <c r="O13" s="64"/>
      <c r="P13" s="64"/>
      <c r="Q13" s="64"/>
      <c r="R13" s="64"/>
      <c r="S13" s="64"/>
      <c r="T13" s="64"/>
      <c r="U13" s="64"/>
      <c r="W13" s="58"/>
      <c r="X13" s="58"/>
      <c r="Y13" s="58"/>
      <c r="Z13" s="58"/>
      <c r="AA13" s="58"/>
      <c r="AB13" s="58"/>
      <c r="AC13" s="58"/>
      <c r="AD13" s="58"/>
      <c r="AG13" s="52">
        <f>SUMIF(Team,$B3,Climbed)</f>
        <v>3</v>
      </c>
      <c r="AH13" s="52">
        <f>100/COUNTIF(Team,$B3)</f>
        <v>12.5</v>
      </c>
      <c r="AL13" s="65">
        <f>(AG13*AH13)/100</f>
        <v>0.375</v>
      </c>
      <c r="AM13" s="66">
        <v>0.01</v>
      </c>
      <c r="AN13" s="67">
        <f>150%-SUM(AL13:AM13)</f>
        <v>1.115</v>
      </c>
      <c r="AP13" s="52">
        <f t="shared" ca="1" si="0"/>
        <v>1</v>
      </c>
      <c r="AQ13" s="52">
        <f ca="1">SUMIF(Team,$B3,time_spun_w__out_0)</f>
        <v>0</v>
      </c>
      <c r="AR13" s="52">
        <f t="shared" ca="1" si="3"/>
        <v>1</v>
      </c>
      <c r="AS13" s="52">
        <f ca="1">SUMIF(Team,$B3,time_spun_color_w__out_0)</f>
        <v>0</v>
      </c>
    </row>
    <row r="14" spans="1:47" x14ac:dyDescent="0.25">
      <c r="C14" s="89" t="s">
        <v>133</v>
      </c>
      <c r="D14" s="72">
        <f ca="1">AVERAGEIF(Team,$B1,Auton_Balls_Picked_Up_In_our_Trench)</f>
        <v>0</v>
      </c>
      <c r="E14" s="72">
        <f ca="1">AVERAGEIF(Team,$B2,Auton_Balls_Picked_Up_In_our_Trench)</f>
        <v>0</v>
      </c>
      <c r="F14" s="72">
        <f ca="1">AVERAGEIF(Team,$B3,Auton_Balls_Picked_Up_In_our_Trench)</f>
        <v>0</v>
      </c>
      <c r="G14" s="79"/>
      <c r="H14" s="72">
        <f ca="1">AVERAGEIF(Team,$B4,Auton_Balls_Picked_Up_In_our_Trench)</f>
        <v>0</v>
      </c>
      <c r="I14" s="72">
        <f ca="1">AVERAGEIF(Team,$B5,Auton_Balls_Picked_Up_In_our_Trench)</f>
        <v>0</v>
      </c>
      <c r="J14" s="72">
        <f ca="1">AVERAGEIF(Team,$B6,Auton_Balls_Picked_Up_In_our_Trench)</f>
        <v>0</v>
      </c>
      <c r="L14" s="64"/>
      <c r="M14" s="64"/>
      <c r="N14" s="64"/>
      <c r="O14" s="64"/>
      <c r="P14" s="64"/>
      <c r="Q14" s="64"/>
      <c r="R14" s="64"/>
      <c r="S14" s="64"/>
      <c r="T14" s="64"/>
      <c r="U14" s="64"/>
      <c r="W14" s="58"/>
      <c r="X14" s="58"/>
      <c r="Y14" s="58"/>
      <c r="Z14" s="58"/>
      <c r="AA14" s="58"/>
      <c r="AB14" s="58"/>
      <c r="AC14" s="58"/>
      <c r="AD14" s="58"/>
      <c r="AP14" s="52">
        <f t="shared" ca="1" si="0"/>
        <v>1</v>
      </c>
      <c r="AQ14" s="52">
        <f ca="1">SUMIF(Team,$B4,time_spun_w__out_0)</f>
        <v>0</v>
      </c>
      <c r="AR14" s="52">
        <f t="shared" ca="1" si="3"/>
        <v>1</v>
      </c>
      <c r="AS14" s="52">
        <f ca="1">SUMIF(Team,$B4,time_spun_color_w__out_0)</f>
        <v>0</v>
      </c>
    </row>
    <row r="15" spans="1:47" ht="18" customHeight="1" x14ac:dyDescent="0.25">
      <c r="C15" s="71" t="s">
        <v>134</v>
      </c>
      <c r="D15" s="74">
        <f ca="1">AVERAGEIF(Team,$B1,Auton_Balls_Picked_Up_In_Their_Trench)</f>
        <v>0</v>
      </c>
      <c r="E15" s="74">
        <f ca="1">AVERAGEIF(Team,$B2,Auton_Balls_Picked_Up_In_Their_Trench)</f>
        <v>0</v>
      </c>
      <c r="F15" s="74">
        <f ca="1">AVERAGEIF(Team,$B3,Auton_Balls_Picked_Up_In_Their_Trench)</f>
        <v>0</v>
      </c>
      <c r="G15" s="79"/>
      <c r="H15" s="76">
        <f ca="1">AVERAGEIF(Team,$B4,Auton_Balls_Picked_Up_In_Their_Trench)</f>
        <v>0</v>
      </c>
      <c r="I15" s="76">
        <f ca="1">AVERAGEIF(Team,$B5,Auton_Balls_Picked_Up_In_Their_Trench)</f>
        <v>0</v>
      </c>
      <c r="J15" s="76">
        <f ca="1">AVERAGEIF(Team,$B6,Auton_Balls_Picked_Up_In_Their_Trench)</f>
        <v>0</v>
      </c>
      <c r="L15" s="64"/>
      <c r="M15" s="64"/>
      <c r="N15" s="64"/>
      <c r="O15" s="64"/>
      <c r="P15" s="64"/>
      <c r="Q15" s="64"/>
      <c r="R15" s="64"/>
      <c r="S15" s="64"/>
      <c r="T15" s="64"/>
      <c r="U15" s="64"/>
      <c r="W15" s="58"/>
      <c r="X15" s="58"/>
      <c r="Y15" s="58"/>
      <c r="Z15" s="58"/>
      <c r="AA15" s="58"/>
      <c r="AB15" s="58"/>
      <c r="AC15" s="58"/>
      <c r="AD15" s="58"/>
      <c r="AG15" s="52" t="s">
        <v>44</v>
      </c>
      <c r="AH15" s="52" t="s">
        <v>131</v>
      </c>
      <c r="AP15" s="52">
        <f t="shared" ca="1" si="0"/>
        <v>1</v>
      </c>
      <c r="AQ15" s="52">
        <f ca="1">SUMIF(Team,$B5,time_spun_w__out_0)</f>
        <v>0</v>
      </c>
      <c r="AR15" s="52">
        <f t="shared" ca="1" si="3"/>
        <v>1</v>
      </c>
      <c r="AS15" s="52">
        <f ca="1">SUMIF(Team,$B5,time_spun_color_w__out_0)</f>
        <v>0</v>
      </c>
    </row>
    <row r="16" spans="1:47" x14ac:dyDescent="0.25">
      <c r="C16" s="89" t="s">
        <v>135</v>
      </c>
      <c r="D16" s="72">
        <f ca="1">AVERAGEIF(Team,$B1,Auton_Balls_Picked_Up_in_Mid)</f>
        <v>0</v>
      </c>
      <c r="E16" s="72">
        <f ca="1">AVERAGEIF(Team,$B2,Auton_Balls_Picked_Up_in_Mid)</f>
        <v>0</v>
      </c>
      <c r="F16" s="72">
        <f ca="1">AVERAGEIF(Team,$B3,Auton_Balls_Picked_Up_in_Mid)</f>
        <v>0</v>
      </c>
      <c r="G16" s="79"/>
      <c r="H16" s="72">
        <f ca="1">AVERAGEIF(Team,$B4,Auton_Balls_Picked_Up_in_Mid)</f>
        <v>0</v>
      </c>
      <c r="I16" s="72">
        <f ca="1">AVERAGEIF(Team,$B5,Auton_Balls_Picked_Up_in_Mid)</f>
        <v>0</v>
      </c>
      <c r="J16" s="72">
        <f ca="1">AVERAGEIF(Team,$B6,Auton_Balls_Picked_Up_in_Mid)</f>
        <v>0</v>
      </c>
      <c r="L16" s="64"/>
      <c r="M16" s="64"/>
      <c r="N16" s="64"/>
      <c r="O16" s="64"/>
      <c r="P16" s="64"/>
      <c r="Q16" s="64"/>
      <c r="R16" s="64"/>
      <c r="S16" s="64"/>
      <c r="T16" s="64"/>
      <c r="U16" s="64"/>
      <c r="W16" s="58"/>
      <c r="X16" s="58"/>
      <c r="Y16" s="58"/>
      <c r="Z16" s="58"/>
      <c r="AA16" s="58"/>
      <c r="AB16" s="58"/>
      <c r="AC16" s="58"/>
      <c r="AD16" s="58"/>
      <c r="AG16" s="52" cm="1">
        <f t="array" ref="AG16">MAX(IF(Team=$B1,our_score))</f>
        <v>59</v>
      </c>
      <c r="AH16" s="52">
        <f>100/(MAX(our_score))</f>
        <v>0.99009900990099009</v>
      </c>
      <c r="AK16" s="65">
        <f ca="1">AVERAGEIF(Team,B1, our_score)/100</f>
        <v>0.30428571428571427</v>
      </c>
      <c r="AL16" s="65">
        <f>(AG16*$AH$16)/100</f>
        <v>0.58415841584158412</v>
      </c>
      <c r="AM16" s="66">
        <v>0.01</v>
      </c>
      <c r="AN16" s="67">
        <f>150%-SUM(AL16:AM16)</f>
        <v>0.90584158415841587</v>
      </c>
    </row>
    <row r="17" spans="1:47" x14ac:dyDescent="0.25">
      <c r="C17" s="59" t="s">
        <v>120</v>
      </c>
      <c r="D17" s="90">
        <f ca="1">SUMIF(Team,$B1,Control_Panel_Spun_Time)/$AP$10</f>
        <v>0</v>
      </c>
      <c r="E17" s="90">
        <f ca="1">SUMIF(Team,$B2,Control_Panel_Spun_Time)/$AP$11</f>
        <v>0</v>
      </c>
      <c r="F17" s="90">
        <f ca="1">SUMIF(Team,#REF!,Control_Panel_Spun_Time)/$AP$12</f>
        <v>0</v>
      </c>
      <c r="G17" s="79"/>
      <c r="H17" s="91">
        <f ca="1">SUMIF(Team,$B3,Control_Panel_Spun_Time)/$AP$13</f>
        <v>0</v>
      </c>
      <c r="I17" s="91">
        <f ca="1">SUMIF(Team,$B4,Control_Panel_Spun_Time)/$AP$14</f>
        <v>0</v>
      </c>
      <c r="J17" s="91">
        <f ca="1">SUMIF(Team,$B5,Control_Panel_Spun_Time)/$AP$15</f>
        <v>0</v>
      </c>
      <c r="L17" s="64"/>
      <c r="M17" s="64"/>
      <c r="N17" s="64"/>
      <c r="O17" s="64"/>
      <c r="P17" s="64"/>
      <c r="Q17" s="64"/>
      <c r="R17" s="64"/>
      <c r="S17" s="64"/>
      <c r="T17" s="64"/>
      <c r="U17" s="64"/>
      <c r="W17" s="58"/>
      <c r="X17" s="58"/>
      <c r="Y17" s="58"/>
      <c r="Z17" s="58"/>
      <c r="AA17" s="58"/>
      <c r="AB17" s="58"/>
      <c r="AC17" s="58"/>
      <c r="AD17" s="58"/>
      <c r="AG17" s="52" cm="1">
        <f t="array" ref="AG17">MAX(IF(Team=$B2,our_score))</f>
        <v>52</v>
      </c>
      <c r="AK17" s="65">
        <f ca="1">AVERAGEIF(Team,B2, our_score)/100</f>
        <v>0.09</v>
      </c>
      <c r="AL17" s="65">
        <f t="shared" ref="AL17:AL18" si="4">(AG17*$AH$16)/100</f>
        <v>0.51485148514851486</v>
      </c>
      <c r="AM17" s="66">
        <v>0.01</v>
      </c>
      <c r="AN17" s="67">
        <f t="shared" ref="AN17:AN18" si="5">150%-SUM(AL17:AM17)</f>
        <v>0.97514851485148513</v>
      </c>
    </row>
    <row r="18" spans="1:47" x14ac:dyDescent="0.25">
      <c r="C18" s="77" t="s">
        <v>112</v>
      </c>
      <c r="D18" s="92">
        <f ca="1">SUMIF(Team,$B1,Control_Panel_Color_Time)/$AR$10</f>
        <v>0</v>
      </c>
      <c r="E18" s="92">
        <f ca="1">SUMIF(Team,$B2,Control_Panel_Color_Time)/$AR$11</f>
        <v>0</v>
      </c>
      <c r="F18" s="92">
        <f ca="1">SUMIF(Team,#REF!,Control_Panel_Color_Time)/$AR$12</f>
        <v>0</v>
      </c>
      <c r="G18" s="79"/>
      <c r="H18" s="92">
        <f ca="1">SUMIF(Team,$B3,Control_Panel_Color_Time)/$AR$13</f>
        <v>0</v>
      </c>
      <c r="I18" s="92">
        <f ca="1">SUMIF(Team,$B4,Control_Panel_Color_Time)/$AR$14</f>
        <v>0</v>
      </c>
      <c r="J18" s="92">
        <f ca="1">SUMIF(Team,$B5,Control_Panel_Color_Time)/$AR$15</f>
        <v>0</v>
      </c>
      <c r="L18" s="64"/>
      <c r="M18" s="64"/>
      <c r="N18" s="64"/>
      <c r="O18" s="64"/>
      <c r="P18" s="64"/>
      <c r="Q18" s="64"/>
      <c r="R18" s="64"/>
      <c r="S18" s="64"/>
      <c r="T18" s="64"/>
      <c r="U18" s="64"/>
      <c r="W18" s="58"/>
      <c r="X18" s="58"/>
      <c r="Y18" s="58"/>
      <c r="Z18" s="58"/>
      <c r="AA18" s="58"/>
      <c r="AB18" s="58"/>
      <c r="AC18" s="58"/>
      <c r="AD18" s="58"/>
      <c r="AG18" s="52" cm="1">
        <f t="array" ref="AG18">MAX(IF(Team=$B3,our_score))</f>
        <v>50</v>
      </c>
      <c r="AK18" s="65">
        <f ca="1">AVERAGEIF(Team,B3, our_score)/100</f>
        <v>0.2</v>
      </c>
      <c r="AL18" s="65">
        <f t="shared" si="4"/>
        <v>0.49504950495049505</v>
      </c>
      <c r="AM18" s="66">
        <v>0.01</v>
      </c>
      <c r="AN18" s="67">
        <f t="shared" si="5"/>
        <v>0.99495049504950495</v>
      </c>
    </row>
    <row r="19" spans="1:47" x14ac:dyDescent="0.3">
      <c r="C19" s="59" t="s">
        <v>64</v>
      </c>
      <c r="D19" s="74">
        <f>AVERAGEIF(Team,$B1,(Defense_Level))</f>
        <v>0.5</v>
      </c>
      <c r="E19" s="74">
        <f>AVERAGEIF(Team,$B2,(Defense_Level))</f>
        <v>0.14285714285714285</v>
      </c>
      <c r="F19" s="74">
        <f>AVERAGEIF(Team,$B3,(Defense_Level))</f>
        <v>0.625</v>
      </c>
      <c r="G19" s="79"/>
      <c r="H19" s="76">
        <f>AVERAGEIF(Team,$B4,(Defense_Level))</f>
        <v>0.16666666666666666</v>
      </c>
      <c r="I19" s="76">
        <f>AVERAGEIF(Team,$B5,(Defense_Level))</f>
        <v>0</v>
      </c>
      <c r="J19" s="76">
        <f>AVERAGEIF(Team,$B6,(Defense_Level))</f>
        <v>0</v>
      </c>
      <c r="L19" s="64"/>
      <c r="M19" s="64"/>
      <c r="N19" s="64"/>
      <c r="O19" s="64"/>
      <c r="P19" s="64"/>
      <c r="Q19" s="64"/>
      <c r="R19" s="64"/>
      <c r="S19" s="64"/>
      <c r="T19" s="64"/>
      <c r="U19" s="64"/>
      <c r="V19" s="93"/>
      <c r="W19" s="58"/>
      <c r="X19" s="58"/>
      <c r="Y19" s="58"/>
      <c r="Z19" s="58"/>
      <c r="AA19" s="58"/>
      <c r="AB19" s="58"/>
      <c r="AC19" s="58"/>
      <c r="AD19" s="58"/>
    </row>
    <row r="20" spans="1:47" s="48" customFormat="1" x14ac:dyDescent="0.25">
      <c r="A20" s="94"/>
      <c r="B20" s="94"/>
      <c r="C20" s="71" t="s">
        <v>144</v>
      </c>
      <c r="D20" s="95">
        <f>AVERAGEIF(Team,B1,auton_our_score)</f>
        <v>7</v>
      </c>
      <c r="E20" s="95">
        <f>AVERAGEIF(Team,B2,auton_our_score)</f>
        <v>2.5714285714285716</v>
      </c>
      <c r="F20" s="95">
        <f>AVERAGEIF(Team,B3,auton_our_score)</f>
        <v>4</v>
      </c>
      <c r="G20" s="79"/>
      <c r="H20" s="95">
        <f>AVERAGEIF(Team,B4,auton_our_score)</f>
        <v>1.1666666666666667</v>
      </c>
      <c r="I20" s="95">
        <f>AVERAGEIF(Team,B5,auton_our_score)</f>
        <v>1.5</v>
      </c>
      <c r="J20" s="95">
        <f>AVERAGEIF(Team,B6,auton_our_score)</f>
        <v>4.666666666666667</v>
      </c>
      <c r="K20" s="96"/>
      <c r="L20" s="97"/>
      <c r="M20" s="97"/>
      <c r="N20" s="97"/>
      <c r="O20" s="97"/>
      <c r="P20" s="97"/>
      <c r="Q20" s="97"/>
      <c r="R20" s="97"/>
      <c r="S20" s="97"/>
      <c r="T20" s="97"/>
      <c r="U20" s="97"/>
      <c r="V20" s="96"/>
      <c r="W20" s="96"/>
      <c r="X20" s="96"/>
      <c r="Y20" s="96"/>
      <c r="Z20" s="96"/>
      <c r="AA20" s="96"/>
      <c r="AB20" s="96"/>
      <c r="AC20" s="96"/>
      <c r="AD20" s="96"/>
      <c r="AE20" s="96"/>
      <c r="AF20" s="96"/>
      <c r="AG20" s="94"/>
      <c r="AH20" s="94">
        <v>1</v>
      </c>
      <c r="AI20" s="94"/>
      <c r="AJ20" s="94"/>
      <c r="AK20" s="94"/>
      <c r="AL20" s="94"/>
      <c r="AM20" s="94"/>
      <c r="AN20" s="94"/>
      <c r="AO20" s="94"/>
      <c r="AP20" s="94"/>
      <c r="AQ20" s="94"/>
      <c r="AR20" s="94"/>
      <c r="AS20" s="94"/>
      <c r="AT20" s="94"/>
      <c r="AU20" s="94"/>
    </row>
    <row r="21" spans="1:47" x14ac:dyDescent="0.25">
      <c r="C21" s="77" t="s">
        <v>145</v>
      </c>
      <c r="D21" s="98">
        <f>AVERAGEIF(Team,B1,teleop_our_score)</f>
        <v>8.4285714285714288</v>
      </c>
      <c r="E21" s="98">
        <f>AVERAGEIF(Team,B2,teleop_our_score)</f>
        <v>0.7142857142857143</v>
      </c>
      <c r="F21" s="98">
        <f>AVERAGEIF(Team,B3,teleop_our_score)</f>
        <v>1.625</v>
      </c>
      <c r="G21" s="79"/>
      <c r="H21" s="99">
        <f>AVERAGEIF(Team,B4,teleop_our_score)</f>
        <v>0.5</v>
      </c>
      <c r="I21" s="99">
        <f>AVERAGEIF(Team,B5,teleop_our_score)</f>
        <v>2.5</v>
      </c>
      <c r="J21" s="99">
        <f>AVERAGEIF(Team,B6,teleop_our_score)</f>
        <v>1</v>
      </c>
      <c r="L21" s="64"/>
      <c r="M21" s="64"/>
      <c r="N21" s="64"/>
      <c r="O21" s="64"/>
      <c r="P21" s="64"/>
      <c r="Q21" s="64"/>
      <c r="R21" s="64"/>
      <c r="S21" s="64"/>
      <c r="T21" s="64"/>
      <c r="U21" s="64"/>
      <c r="W21" s="58"/>
      <c r="X21" s="58"/>
      <c r="Y21" s="58"/>
      <c r="Z21" s="58"/>
      <c r="AA21" s="58"/>
      <c r="AB21" s="58"/>
      <c r="AC21" s="58"/>
      <c r="AD21" s="58"/>
    </row>
    <row r="22" spans="1:47" x14ac:dyDescent="0.25">
      <c r="C22" s="77" t="s">
        <v>146</v>
      </c>
      <c r="D22" s="95">
        <f>AVERAGEIF(Team,B1,Endgame_our_score)</f>
        <v>15</v>
      </c>
      <c r="E22" s="95">
        <f>AVERAGEIF(Team,B2,Endgame_our_score)</f>
        <v>5.7142857142857144</v>
      </c>
      <c r="F22" s="95">
        <f>AVERAGEIF(Team,B3,Endgame_our_score)</f>
        <v>14.375</v>
      </c>
      <c r="G22" s="79"/>
      <c r="H22" s="95">
        <f>AVERAGEIF(Team,B4,Endgame_our_score)</f>
        <v>0</v>
      </c>
      <c r="I22" s="95">
        <f>AVERAGEIF(Team,B5,Endgame_our_score)</f>
        <v>4.166666666666667</v>
      </c>
      <c r="J22" s="95">
        <f>AVERAGEIF(Team,B6,Endgame_our_score)</f>
        <v>0</v>
      </c>
      <c r="L22" s="64"/>
      <c r="M22" s="64"/>
      <c r="N22" s="64"/>
      <c r="O22" s="64"/>
      <c r="P22" s="64"/>
      <c r="Q22" s="64"/>
      <c r="R22" s="64"/>
      <c r="S22" s="64"/>
      <c r="T22" s="64"/>
      <c r="U22" s="64"/>
      <c r="W22" s="58"/>
      <c r="X22" s="58"/>
      <c r="Y22" s="58"/>
      <c r="Z22" s="58"/>
      <c r="AA22" s="58"/>
      <c r="AB22" s="58"/>
      <c r="AC22" s="58"/>
      <c r="AD22" s="58"/>
    </row>
    <row r="23" spans="1:47" x14ac:dyDescent="0.25">
      <c r="C23" s="100" t="s">
        <v>1</v>
      </c>
      <c r="D23" s="74">
        <f>SUMIF(Team,$B1,Auton_Scored_High)</f>
        <v>14</v>
      </c>
      <c r="E23" s="74">
        <f>SUMIF(Team,$B2,Auton_Scored_High)</f>
        <v>5</v>
      </c>
      <c r="F23" s="74">
        <f>SUMIF(Team,$B3,Auton_Scored_High)</f>
        <v>8</v>
      </c>
      <c r="G23" s="79"/>
      <c r="H23" s="76">
        <f>SUMIF(Team,$B4,Auton_Scored_High)</f>
        <v>2</v>
      </c>
      <c r="I23" s="76">
        <f>SUMIF(Team,$B5,Auton_Scored_High)</f>
        <v>1</v>
      </c>
      <c r="J23" s="76">
        <f>SUMIF(Team,$B6,Auton_Scored_High)</f>
        <v>8</v>
      </c>
      <c r="L23" s="64"/>
      <c r="M23" s="64"/>
      <c r="N23" s="64"/>
      <c r="O23" s="64"/>
      <c r="P23" s="64"/>
      <c r="Q23" s="64"/>
      <c r="R23" s="64"/>
      <c r="S23" s="64"/>
      <c r="T23" s="64"/>
      <c r="U23" s="64"/>
      <c r="W23" s="58"/>
      <c r="X23" s="58"/>
      <c r="Y23" s="58"/>
      <c r="Z23" s="58"/>
      <c r="AA23" s="58"/>
      <c r="AB23" s="58"/>
      <c r="AC23" s="58"/>
      <c r="AD23" s="58"/>
    </row>
    <row r="24" spans="1:47" ht="17.25" customHeight="1" x14ac:dyDescent="0.25">
      <c r="C24" s="100" t="s">
        <v>65</v>
      </c>
      <c r="D24" s="72">
        <f>SUMIF(Team,$B1,Auton_Scored_Low)</f>
        <v>0</v>
      </c>
      <c r="E24" s="72">
        <f>SUMIF(Team,$B2,Auton_Scored_Low)</f>
        <v>0</v>
      </c>
      <c r="F24" s="72">
        <f>SUMIF(Team,$B3,Auton_Scored_Low)</f>
        <v>0</v>
      </c>
      <c r="G24" s="79"/>
      <c r="H24" s="72">
        <f>SUMIF(Team,$B4,Auton_Scored_Low)</f>
        <v>0</v>
      </c>
      <c r="I24" s="72">
        <f>SUMIF(Team,$B5,Auton_Scored_Low)</f>
        <v>0</v>
      </c>
      <c r="J24" s="72">
        <f>SUMIF(Team,$B6,Auton_Scored_Low)</f>
        <v>0</v>
      </c>
      <c r="L24" s="64"/>
      <c r="M24" s="64"/>
      <c r="N24" s="64"/>
      <c r="O24" s="64"/>
      <c r="P24" s="64"/>
      <c r="Q24" s="64"/>
      <c r="R24" s="64"/>
      <c r="S24" s="64"/>
      <c r="T24" s="64"/>
      <c r="U24" s="64"/>
      <c r="W24" s="58"/>
      <c r="X24" s="58"/>
      <c r="Y24" s="58"/>
      <c r="Z24" s="58"/>
      <c r="AA24" s="58"/>
      <c r="AB24" s="58"/>
      <c r="AC24" s="58"/>
      <c r="AD24" s="58"/>
    </row>
    <row r="25" spans="1:47" x14ac:dyDescent="0.25">
      <c r="C25" s="100" t="s">
        <v>28</v>
      </c>
      <c r="D25" s="74">
        <f>SUMIF(Team,$B1,Auton_Extra_Balls_Picked_Up)</f>
        <v>0</v>
      </c>
      <c r="E25" s="74">
        <f>SUMIF(Team,$B2,Auton_Extra_Balls_Picked_Up)</f>
        <v>0</v>
      </c>
      <c r="F25" s="74">
        <f>SUMIF(Team,$B3,Auton_Extra_Balls_Picked_Up)</f>
        <v>0</v>
      </c>
      <c r="G25" s="79"/>
      <c r="H25" s="76">
        <f>SUMIF(Team,$B4,Auton_Extra_Balls_Picked_Up)</f>
        <v>0</v>
      </c>
      <c r="I25" s="76">
        <f>SUMIF(Team,$B5,Auton_Extra_Balls_Picked_Up)</f>
        <v>0</v>
      </c>
      <c r="J25" s="76">
        <f>SUMIF(Team,$B6,Auton_Extra_Balls_Picked_Up)</f>
        <v>0</v>
      </c>
      <c r="L25" s="64"/>
      <c r="M25" s="64"/>
      <c r="N25" s="64"/>
      <c r="O25" s="64"/>
      <c r="P25" s="64"/>
      <c r="Q25" s="64"/>
      <c r="R25" s="64"/>
      <c r="S25" s="64"/>
      <c r="T25" s="64"/>
      <c r="U25" s="64"/>
      <c r="W25" s="58"/>
      <c r="X25" s="58"/>
      <c r="Y25" s="58"/>
      <c r="Z25" s="58"/>
      <c r="AA25" s="58"/>
      <c r="AB25" s="58"/>
      <c r="AC25" s="58"/>
      <c r="AD25" s="58"/>
    </row>
    <row r="26" spans="1:47" x14ac:dyDescent="0.25">
      <c r="C26" s="100" t="s">
        <v>66</v>
      </c>
      <c r="D26" s="72">
        <f ca="1">SUMIF(Team,$B1,Auton_Balls_Picked_Up_In_our_Trench)</f>
        <v>0</v>
      </c>
      <c r="E26" s="72">
        <f ca="1">SUMIF(Team,$B2,Auton_Balls_Picked_Up_In_our_Trench)</f>
        <v>0</v>
      </c>
      <c r="F26" s="72">
        <f ca="1">SUMIF(Team,$B3,Auton_Balls_Picked_Up_In_our_Trench)</f>
        <v>0</v>
      </c>
      <c r="G26" s="79"/>
      <c r="H26" s="72">
        <f ca="1">SUMIF(Team,$B4,Auton_Balls_Picked_Up_In_our_Trench)</f>
        <v>0</v>
      </c>
      <c r="I26" s="72">
        <f ca="1">SUMIF(Team,$B5,Auton_Balls_Picked_Up_In_our_Trench)</f>
        <v>0</v>
      </c>
      <c r="J26" s="72">
        <f ca="1">SUMIF(Team,$B6,Auton_Balls_Picked_Up_In_our_Trench)</f>
        <v>0</v>
      </c>
      <c r="L26" s="64"/>
      <c r="M26" s="64"/>
      <c r="N26" s="64"/>
      <c r="O26" s="64"/>
      <c r="P26" s="64"/>
      <c r="Q26" s="64"/>
      <c r="R26" s="64"/>
      <c r="S26" s="64"/>
      <c r="T26" s="64"/>
      <c r="U26" s="64"/>
      <c r="W26" s="58"/>
      <c r="X26" s="58"/>
      <c r="Y26" s="58"/>
      <c r="Z26" s="58"/>
      <c r="AA26" s="58"/>
      <c r="AB26" s="58"/>
      <c r="AC26" s="58"/>
      <c r="AD26" s="58"/>
    </row>
    <row r="27" spans="1:47" x14ac:dyDescent="0.25">
      <c r="C27" s="100" t="s">
        <v>67</v>
      </c>
      <c r="D27" s="74">
        <f>SUMIF(Team,$B1,Auton_Move_Off_Line)</f>
        <v>7</v>
      </c>
      <c r="E27" s="74">
        <f>SUMIF(Team,$B2,Auton_Move_Off_Line)</f>
        <v>3</v>
      </c>
      <c r="F27" s="74">
        <f>SUMIF(Team,$B3,Auton_Move_Off_Line)</f>
        <v>8</v>
      </c>
      <c r="G27" s="79"/>
      <c r="H27" s="76">
        <f>SUMIF(Team,$B4,Auton_Move_Off_Line)</f>
        <v>1</v>
      </c>
      <c r="I27" s="76">
        <f>SUMIF(Team,$B5,Auton_Move_Off_Line)</f>
        <v>6</v>
      </c>
      <c r="J27" s="76">
        <f>SUMIF(Team,$B6,Auton_Move_Off_Line)</f>
        <v>4</v>
      </c>
      <c r="L27" s="64"/>
      <c r="M27" s="64"/>
      <c r="N27" s="64"/>
      <c r="O27" s="64"/>
      <c r="P27" s="64"/>
      <c r="Q27" s="64"/>
      <c r="R27" s="64"/>
      <c r="S27" s="64"/>
      <c r="T27" s="64"/>
      <c r="U27" s="64"/>
      <c r="W27" s="58"/>
      <c r="X27" s="58"/>
      <c r="Y27" s="58"/>
      <c r="Z27" s="58"/>
      <c r="AA27" s="58"/>
      <c r="AB27" s="58"/>
      <c r="AC27" s="58"/>
      <c r="AD27" s="58"/>
      <c r="AH27" s="52">
        <f>$B1</f>
        <v>316</v>
      </c>
      <c r="AI27" s="52">
        <f>$B2</f>
        <v>1350</v>
      </c>
      <c r="AJ27" s="52">
        <f>$B3</f>
        <v>2262</v>
      </c>
      <c r="AK27" s="52" t="s">
        <v>89</v>
      </c>
      <c r="AL27" s="52">
        <f>$B4</f>
        <v>7153</v>
      </c>
      <c r="AM27" s="52">
        <f>$B5</f>
        <v>7760</v>
      </c>
      <c r="AN27" s="52">
        <f>$B6</f>
        <v>4987</v>
      </c>
      <c r="AO27" s="52" t="s">
        <v>89</v>
      </c>
    </row>
    <row r="28" spans="1:47" x14ac:dyDescent="0.25">
      <c r="C28" s="100" t="s">
        <v>68</v>
      </c>
      <c r="D28" s="72">
        <f>SUMIF(Team,$B1,auton_balls_scored)</f>
        <v>14</v>
      </c>
      <c r="E28" s="72">
        <f>SUMIF(Team,$B2,auton_balls_scored)</f>
        <v>5</v>
      </c>
      <c r="F28" s="72">
        <f>SUMIF(Team,$B3,auton_balls_scored)</f>
        <v>8</v>
      </c>
      <c r="G28" s="79"/>
      <c r="H28" s="72">
        <f>SUMIF(Team,$B4,auton_balls_scored)</f>
        <v>2</v>
      </c>
      <c r="I28" s="72">
        <f>SUMIF(Team,$B5,auton_balls_scored)</f>
        <v>1</v>
      </c>
      <c r="J28" s="72">
        <f>SUMIF(Team,$B6,auton_balls_scored)</f>
        <v>8</v>
      </c>
      <c r="L28" s="64"/>
      <c r="M28" s="64"/>
      <c r="N28" s="64"/>
      <c r="O28" s="64"/>
      <c r="P28" s="64"/>
      <c r="Q28" s="64"/>
      <c r="R28" s="64"/>
      <c r="S28" s="64"/>
      <c r="T28" s="64"/>
      <c r="U28" s="64"/>
      <c r="W28" s="58"/>
      <c r="X28" s="58"/>
      <c r="Y28" s="58"/>
      <c r="Z28" s="58"/>
      <c r="AA28" s="58"/>
      <c r="AB28" s="58"/>
      <c r="AC28" s="58"/>
      <c r="AD28" s="58"/>
      <c r="AG28" s="52" t="s">
        <v>90</v>
      </c>
      <c r="AH28" s="74">
        <f>AVERAGEIF(Team,$B1,(balls_scored))</f>
        <v>4</v>
      </c>
      <c r="AI28" s="74">
        <f>AVERAGEIF(Team,$B2,(balls_scored))</f>
        <v>0.42857142857142855</v>
      </c>
      <c r="AJ28" s="74">
        <f>AVERAGEIF(Team,$B3,(balls_scored))</f>
        <v>0.375</v>
      </c>
      <c r="AK28" s="101">
        <f>AH28+AI28+AJ28</f>
        <v>4.8035714285714288</v>
      </c>
      <c r="AL28" s="76">
        <f>AVERAGEIF(Team,$B4,(balls_scored))</f>
        <v>0.16666666666666666</v>
      </c>
      <c r="AM28" s="76">
        <f>AVERAGEIF(Team,$B5,(balls_scored))</f>
        <v>2.5</v>
      </c>
      <c r="AN28" s="76">
        <f>AVERAGEIF(Team,$B6,(balls_scored))</f>
        <v>0.5</v>
      </c>
      <c r="AO28" s="102">
        <f>AL28+AM28+AN28</f>
        <v>3.1666666666666665</v>
      </c>
    </row>
    <row r="29" spans="1:47" x14ac:dyDescent="0.25">
      <c r="C29" s="100" t="s">
        <v>36</v>
      </c>
      <c r="D29" s="74">
        <f>AVERAGEIF(Team,$B1,auton_our_score)</f>
        <v>7</v>
      </c>
      <c r="E29" s="74">
        <f>AVERAGEIF(Team,$B2,auton_our_score)</f>
        <v>2.5714285714285716</v>
      </c>
      <c r="F29" s="74">
        <f>AVERAGEIF(Team,$B3,auton_our_score)</f>
        <v>4</v>
      </c>
      <c r="G29" s="79"/>
      <c r="H29" s="76">
        <f>AVERAGEIF(Team,$B4,auton_our_score)</f>
        <v>1.1666666666666667</v>
      </c>
      <c r="I29" s="76">
        <f>AVERAGEIF(Team,$B5,auton_our_score)</f>
        <v>1.5</v>
      </c>
      <c r="J29" s="76">
        <f>AVERAGEIF(Team,$B6,auton_our_score)</f>
        <v>4.666666666666667</v>
      </c>
      <c r="L29" s="64"/>
      <c r="M29" s="64"/>
      <c r="N29" s="64"/>
      <c r="O29" s="64"/>
      <c r="P29" s="64"/>
      <c r="Q29" s="64"/>
      <c r="R29" s="64"/>
      <c r="S29" s="64"/>
      <c r="T29" s="64"/>
      <c r="U29" s="64"/>
      <c r="W29" s="58"/>
      <c r="X29" s="58"/>
      <c r="Y29" s="58"/>
      <c r="Z29" s="58"/>
      <c r="AA29" s="58"/>
      <c r="AB29" s="58"/>
      <c r="AC29" s="58"/>
      <c r="AD29" s="58"/>
      <c r="AG29" s="52" t="s">
        <v>60</v>
      </c>
      <c r="AH29" s="72" cm="1">
        <f t="array" ref="AH29">MAX(IF(Team=$B$1,balls_scored))</f>
        <v>9</v>
      </c>
      <c r="AI29" s="72" cm="1">
        <f t="array" ref="AI29">MAX(IF(Team=$B$2,balls_scored))</f>
        <v>3</v>
      </c>
      <c r="AJ29" s="72" cm="1">
        <f t="array" ref="AJ29">MAX(IF(Team=$B$3,balls_scored))</f>
        <v>2</v>
      </c>
      <c r="AK29" s="103">
        <f>AH29+AI29+AJ29</f>
        <v>14</v>
      </c>
      <c r="AL29" s="72" cm="1">
        <f t="array" ref="AL29">MAX(IF(Team=$B$4,balls_scored))</f>
        <v>1</v>
      </c>
      <c r="AM29" s="72" cm="1">
        <f t="array" ref="AM29">MAX(IF(Team=$B$5,balls_scored))</f>
        <v>7</v>
      </c>
      <c r="AN29" s="72" cm="1">
        <f t="array" ref="AN29">MAX(IF(Team=$B$6,balls_scored))</f>
        <v>2</v>
      </c>
      <c r="AO29" s="102">
        <f>AL29+AM29+AN29</f>
        <v>10</v>
      </c>
    </row>
    <row r="30" spans="1:47" x14ac:dyDescent="0.25">
      <c r="C30" s="77" t="s">
        <v>132</v>
      </c>
      <c r="D30" s="72">
        <f>SUMIF(Team,$B1,Balls_Scored_From_Trench)</f>
        <v>0</v>
      </c>
      <c r="E30" s="72">
        <f>SUMIF(Team,$B2,Balls_Scored_From_Trench)</f>
        <v>0</v>
      </c>
      <c r="F30" s="72">
        <f>SUMIF(Team,$B3,Balls_Scored_From_Trench)</f>
        <v>0</v>
      </c>
      <c r="G30" s="79"/>
      <c r="H30" s="72">
        <f>SUMIF(Team,$B4,Balls_Scored_From_Trench)</f>
        <v>0</v>
      </c>
      <c r="I30" s="72">
        <f>SUMIF(Team,$B5,Balls_Scored_From_Trench)</f>
        <v>0</v>
      </c>
      <c r="J30" s="72">
        <f>AVERAGEIF(Team,$B6,Balls_Scored_From_Trench)</f>
        <v>0</v>
      </c>
      <c r="L30" s="64"/>
      <c r="M30" s="64"/>
      <c r="N30" s="64"/>
      <c r="O30" s="64"/>
      <c r="P30" s="64"/>
      <c r="Q30" s="64"/>
      <c r="R30" s="64"/>
      <c r="S30" s="64"/>
      <c r="T30" s="64"/>
      <c r="U30" s="64"/>
      <c r="W30" s="58"/>
      <c r="X30" s="58"/>
      <c r="Y30" s="58"/>
      <c r="Z30" s="58"/>
      <c r="AA30" s="58"/>
      <c r="AB30" s="58"/>
      <c r="AC30" s="58"/>
      <c r="AD30" s="58"/>
    </row>
    <row r="31" spans="1:47" x14ac:dyDescent="0.25">
      <c r="C31" s="77" t="s">
        <v>21</v>
      </c>
      <c r="D31" s="74">
        <f>SUMIF(Team,$B1,Balls_Scored_from_Mid)</f>
        <v>24</v>
      </c>
      <c r="E31" s="74">
        <f>SUMIF(Team,$B2,Balls_Scored_from_Mid)</f>
        <v>0</v>
      </c>
      <c r="F31" s="74">
        <f>SUMIF(Team,$B3,Balls_Scored_from_Mid)</f>
        <v>0</v>
      </c>
      <c r="G31" s="79"/>
      <c r="H31" s="76">
        <f>SUMIF(Team,$B4,Balls_Scored_from_Mid)</f>
        <v>0</v>
      </c>
      <c r="I31" s="76">
        <f>SUMIF(Team,$B5,Balls_Scored_from_Mid)</f>
        <v>0</v>
      </c>
      <c r="J31" s="76">
        <f>SUMIF(Team,$B6,Balls_Scored_from_Mid)</f>
        <v>3</v>
      </c>
      <c r="L31" s="64"/>
      <c r="M31" s="64"/>
      <c r="N31" s="64"/>
      <c r="O31" s="64"/>
      <c r="P31" s="64"/>
      <c r="Q31" s="64"/>
      <c r="R31" s="64"/>
      <c r="S31" s="64"/>
      <c r="T31" s="64"/>
      <c r="U31" s="64"/>
      <c r="W31" s="58"/>
      <c r="X31" s="58"/>
      <c r="Y31" s="58"/>
      <c r="Z31" s="58"/>
      <c r="AA31" s="58"/>
      <c r="AB31" s="58"/>
      <c r="AC31" s="58"/>
      <c r="AD31" s="58"/>
      <c r="AG31" s="52" t="s">
        <v>97</v>
      </c>
      <c r="AH31" s="52" t="s">
        <v>91</v>
      </c>
      <c r="AI31" s="52" t="s">
        <v>92</v>
      </c>
      <c r="AJ31" s="52" t="s">
        <v>93</v>
      </c>
      <c r="AK31" s="52" t="s">
        <v>94</v>
      </c>
    </row>
    <row r="32" spans="1:47" ht="15.75" customHeight="1" x14ac:dyDescent="0.25">
      <c r="C32" s="77" t="s">
        <v>69</v>
      </c>
      <c r="D32" s="72">
        <f>SUMIF(Team,$B1,Balls_Scored_From_Alliance_zone)</f>
        <v>4</v>
      </c>
      <c r="E32" s="72">
        <f>SUMIF(Team,$B2,Balls_Scored_From_Alliance_zone)</f>
        <v>3</v>
      </c>
      <c r="F32" s="72">
        <f>SUMIF(Team,$B3,Balls_Scored_From_Alliance_zone)</f>
        <v>3</v>
      </c>
      <c r="G32" s="79"/>
      <c r="H32" s="72">
        <f>SUMIF(Team,$B4,Balls_Scored_From_Alliance_zone)</f>
        <v>1</v>
      </c>
      <c r="I32" s="72">
        <f>SUMIF(Team,$B5,Balls_Scored_From_Alliance_zone)</f>
        <v>0</v>
      </c>
      <c r="J32" s="72">
        <f>SUMIF(Team,$B6,Balls_Scored_From_Alliance_zone)</f>
        <v>0</v>
      </c>
      <c r="L32" s="64"/>
      <c r="M32" s="64"/>
      <c r="N32" s="64"/>
      <c r="O32" s="64"/>
      <c r="P32" s="64"/>
      <c r="Q32" s="64"/>
      <c r="R32" s="64"/>
      <c r="S32" s="64"/>
      <c r="T32" s="64"/>
      <c r="U32" s="64"/>
      <c r="W32" s="58"/>
      <c r="X32" s="58"/>
      <c r="Y32" s="58"/>
      <c r="Z32" s="58"/>
      <c r="AA32" s="58"/>
      <c r="AB32" s="58"/>
      <c r="AC32" s="58"/>
      <c r="AD32" s="58"/>
      <c r="AG32" s="52" t="s">
        <v>95</v>
      </c>
      <c r="AH32" s="102">
        <f>(D29+E29+F29)/3</f>
        <v>4.5238095238095237</v>
      </c>
      <c r="AI32" s="52">
        <f>(D40+E40+F40)/3</f>
        <v>3.589285714285714</v>
      </c>
      <c r="AJ32" s="52">
        <f>(D48+E48+F48)/3</f>
        <v>11.696428571428571</v>
      </c>
      <c r="AK32" s="102">
        <f>(AH32+AI32+AJ32)</f>
        <v>19.80952380952381</v>
      </c>
    </row>
    <row r="33" spans="3:37" ht="41.25" customHeight="1" x14ac:dyDescent="0.25">
      <c r="C33" s="77" t="s">
        <v>31</v>
      </c>
      <c r="D33" s="74">
        <f>SUMIF(Team,$B1,balls_scored_low)</f>
        <v>0</v>
      </c>
      <c r="E33" s="74">
        <f>SUMIF(Team,$B2,balls_scored_low)</f>
        <v>0</v>
      </c>
      <c r="F33" s="74">
        <f>SUMIF(Team,$B3,balls_scored_low)</f>
        <v>0</v>
      </c>
      <c r="G33" s="79"/>
      <c r="H33" s="76">
        <f>SUMIF(Team,$B4,balls_scored_low)</f>
        <v>0</v>
      </c>
      <c r="I33" s="76">
        <f>SUMIF(Team,$B5,balls_scored_low)</f>
        <v>15</v>
      </c>
      <c r="J33" s="76">
        <f>SUMIF(Team,$B6,balls_scored_low)</f>
        <v>0</v>
      </c>
      <c r="L33" s="64"/>
      <c r="M33" s="64"/>
      <c r="N33" s="64"/>
      <c r="O33" s="64"/>
      <c r="P33" s="64"/>
      <c r="Q33" s="64"/>
      <c r="R33" s="64"/>
      <c r="S33" s="64"/>
      <c r="T33" s="64"/>
      <c r="U33" s="64"/>
      <c r="W33" s="58"/>
      <c r="X33" s="58"/>
      <c r="Y33" s="58"/>
      <c r="Z33" s="58"/>
      <c r="AA33" s="58"/>
      <c r="AB33" s="58"/>
      <c r="AC33" s="58"/>
      <c r="AD33" s="58"/>
      <c r="AG33" s="52" t="s">
        <v>96</v>
      </c>
      <c r="AH33" s="52">
        <f>(H29+I29+J29)/3</f>
        <v>2.4444444444444446</v>
      </c>
      <c r="AI33" s="52">
        <f>(H40+I40+J40)/3</f>
        <v>1.3333333333333333</v>
      </c>
      <c r="AJ33" s="52">
        <f>(H48+I48+J48)/3</f>
        <v>1.3888888888888891</v>
      </c>
      <c r="AK33" s="102">
        <f>(AH33+AI33+AJ33)</f>
        <v>5.166666666666667</v>
      </c>
    </row>
    <row r="34" spans="3:37" x14ac:dyDescent="0.25">
      <c r="C34" s="77" t="s">
        <v>23</v>
      </c>
      <c r="D34" s="72">
        <f>SUMIF(Team,$B1,Balls_Passed)</f>
        <v>0</v>
      </c>
      <c r="E34" s="72">
        <f>SUMIF(Team,$B2,Balls_Passed)</f>
        <v>0</v>
      </c>
      <c r="F34" s="72">
        <f>SUMIF(Team,$B3,Balls_Passed)</f>
        <v>0</v>
      </c>
      <c r="G34" s="79"/>
      <c r="H34" s="72">
        <f>SUMIF(Team,$B4,Balls_Passed)</f>
        <v>0</v>
      </c>
      <c r="I34" s="72">
        <f>SUMIF(Team,$B5,Balls_Passed)</f>
        <v>0</v>
      </c>
      <c r="J34" s="72">
        <f>SUMIF(Team,$B6,Balls_Passed)</f>
        <v>0</v>
      </c>
      <c r="L34" s="64"/>
      <c r="M34" s="64"/>
      <c r="N34" s="64"/>
      <c r="O34" s="64"/>
      <c r="P34" s="64"/>
      <c r="Q34" s="64"/>
      <c r="R34" s="64"/>
      <c r="S34" s="64"/>
      <c r="T34" s="64"/>
      <c r="U34" s="64"/>
      <c r="W34" s="58"/>
      <c r="X34" s="58"/>
      <c r="Y34" s="58"/>
      <c r="Z34" s="58"/>
      <c r="AA34" s="58"/>
      <c r="AB34" s="58"/>
      <c r="AC34" s="58"/>
      <c r="AD34" s="58"/>
    </row>
    <row r="35" spans="3:37" x14ac:dyDescent="0.25">
      <c r="C35" s="77" t="s">
        <v>70</v>
      </c>
      <c r="D35" s="74">
        <f>SUMIF(Team,$B1,Control_Panels_Spun)</f>
        <v>0</v>
      </c>
      <c r="E35" s="74">
        <f>SUMIF(Team,$B2,Control_Panels_Spun)</f>
        <v>0</v>
      </c>
      <c r="F35" s="74">
        <f>SUMIF(Team,$B3,Control_Panels_Spun)</f>
        <v>0</v>
      </c>
      <c r="G35" s="79"/>
      <c r="H35" s="76">
        <f>SUMIF(Team,$B4,Control_Panels_Spun)</f>
        <v>0</v>
      </c>
      <c r="I35" s="76">
        <f>SUMIF(Team,$B5,Control_Panels_Spun)</f>
        <v>0</v>
      </c>
      <c r="J35" s="76">
        <f>SUMIF(Team,$B6,Control_Panels_Spun)</f>
        <v>0</v>
      </c>
      <c r="L35" s="64"/>
      <c r="M35" s="64"/>
      <c r="N35" s="64"/>
      <c r="O35" s="64"/>
      <c r="P35" s="64"/>
      <c r="Q35" s="64"/>
      <c r="R35" s="64"/>
      <c r="S35" s="64"/>
      <c r="T35" s="64"/>
      <c r="U35" s="64"/>
      <c r="W35" s="58"/>
      <c r="X35" s="58"/>
      <c r="Y35" s="58"/>
      <c r="Z35" s="58"/>
      <c r="AA35" s="58"/>
      <c r="AB35" s="58"/>
      <c r="AC35" s="58"/>
      <c r="AD35" s="58"/>
      <c r="AG35" s="52" t="s">
        <v>98</v>
      </c>
      <c r="AH35" s="52" t="s">
        <v>91</v>
      </c>
      <c r="AI35" s="52" t="s">
        <v>92</v>
      </c>
      <c r="AJ35" s="52" t="s">
        <v>93</v>
      </c>
      <c r="AK35" s="52" t="s">
        <v>94</v>
      </c>
    </row>
    <row r="36" spans="3:37" x14ac:dyDescent="0.25">
      <c r="C36" s="77" t="s">
        <v>71</v>
      </c>
      <c r="D36" s="72">
        <f>SUMIF(Team,$B1,Control_Panel_Color)</f>
        <v>0</v>
      </c>
      <c r="E36" s="72">
        <f>SUMIF(Team,$B2,Control_Panel_Color)</f>
        <v>0</v>
      </c>
      <c r="F36" s="72">
        <f>SUMIF(Team,$B3,Control_Panel_Color)</f>
        <v>0</v>
      </c>
      <c r="G36" s="79"/>
      <c r="H36" s="72">
        <f>SUMIF(Team,$B4,Control_Panel_Color)</f>
        <v>0</v>
      </c>
      <c r="I36" s="72">
        <f>SUMIF(Team,$B5,Control_Panel_Color)</f>
        <v>0</v>
      </c>
      <c r="J36" s="72">
        <f>SUMIF(Team,$B6,Control_Panel_Color)</f>
        <v>0</v>
      </c>
      <c r="L36" s="64"/>
      <c r="M36" s="64"/>
      <c r="N36" s="64"/>
      <c r="O36" s="64"/>
      <c r="P36" s="64"/>
      <c r="Q36" s="64"/>
      <c r="R36" s="64"/>
      <c r="S36" s="64"/>
      <c r="T36" s="64"/>
      <c r="U36" s="64"/>
      <c r="W36" s="58"/>
      <c r="X36" s="58"/>
      <c r="Y36" s="58"/>
      <c r="Z36" s="58"/>
      <c r="AA36" s="58"/>
      <c r="AB36" s="58"/>
      <c r="AC36" s="58"/>
      <c r="AD36" s="58"/>
      <c r="AG36" s="52" t="s">
        <v>95</v>
      </c>
      <c r="AH36" s="102">
        <f>AH39+AH40+AH41</f>
        <v>30</v>
      </c>
      <c r="AI36" s="52">
        <f>AI39+AI40+AI41</f>
        <v>26</v>
      </c>
      <c r="AJ36" s="52">
        <f>AJ39+AJ40+AJ41</f>
        <v>120</v>
      </c>
      <c r="AK36" s="102">
        <f>AH36+AI36+AJ36</f>
        <v>176</v>
      </c>
    </row>
    <row r="37" spans="3:37" x14ac:dyDescent="0.25">
      <c r="C37" s="77" t="s">
        <v>72</v>
      </c>
      <c r="D37" s="74">
        <f>SUMIF(Team,$B1,Defense_Level)</f>
        <v>3.5</v>
      </c>
      <c r="E37" s="74">
        <f>SUMIF(Team,$B2,Defense_Level)</f>
        <v>1</v>
      </c>
      <c r="F37" s="74">
        <f>SUMIF(Team,$B3,Defense_Level)</f>
        <v>5</v>
      </c>
      <c r="G37" s="79"/>
      <c r="H37" s="76">
        <f>SUMIF(Team,$B4,Defense_Level)</f>
        <v>1</v>
      </c>
      <c r="I37" s="76">
        <f>SUMIF(Team,$B5,Defense_Level)</f>
        <v>0</v>
      </c>
      <c r="J37" s="76">
        <f>SUMIF(Team,$B6,Defense_Level)</f>
        <v>0</v>
      </c>
      <c r="L37" s="64"/>
      <c r="M37" s="64"/>
      <c r="N37" s="64"/>
      <c r="O37" s="64"/>
      <c r="P37" s="64"/>
      <c r="Q37" s="64"/>
      <c r="R37" s="64"/>
      <c r="S37" s="64"/>
      <c r="T37" s="64"/>
      <c r="U37" s="64"/>
      <c r="W37" s="58"/>
      <c r="X37" s="58"/>
      <c r="Y37" s="58"/>
      <c r="Z37" s="58"/>
      <c r="AA37" s="58"/>
      <c r="AB37" s="58"/>
      <c r="AC37" s="58"/>
      <c r="AD37" s="58"/>
      <c r="AG37" s="52" t="s">
        <v>96</v>
      </c>
      <c r="AH37" s="52">
        <f>AH42+AH43+AH45</f>
        <v>20</v>
      </c>
      <c r="AI37" s="52">
        <f>AI42+AI43+AI45</f>
        <v>13</v>
      </c>
      <c r="AJ37" s="52">
        <f>AJ42+AJ43+AJ45</f>
        <v>25</v>
      </c>
      <c r="AK37" s="102">
        <f>AH37+AI37+AJ37</f>
        <v>58</v>
      </c>
    </row>
    <row r="38" spans="3:37" x14ac:dyDescent="0.25">
      <c r="C38" s="77" t="s">
        <v>30</v>
      </c>
      <c r="D38" s="72">
        <f>SUMIF(Team,$B1,balls_scored_high)</f>
        <v>28</v>
      </c>
      <c r="E38" s="72">
        <f>SUMIF(Team,$B2,balls_scored_high)</f>
        <v>3</v>
      </c>
      <c r="F38" s="72">
        <f>SUMIF(Team,$B3,balls_scored_high)</f>
        <v>3</v>
      </c>
      <c r="G38" s="79"/>
      <c r="H38" s="72">
        <f>SUMIF(Team,$B4,balls_scored_high)</f>
        <v>1</v>
      </c>
      <c r="I38" s="72">
        <f>SUMIF(Team,$B5,balls_scored_high)</f>
        <v>0</v>
      </c>
      <c r="J38" s="72">
        <f>SUMIF(Team,$B6,balls_scored_high)</f>
        <v>3</v>
      </c>
      <c r="L38" s="64"/>
      <c r="M38" s="64"/>
      <c r="N38" s="64"/>
      <c r="O38" s="64"/>
      <c r="P38" s="64"/>
      <c r="Q38" s="64"/>
      <c r="R38" s="64"/>
      <c r="S38" s="64"/>
      <c r="T38" s="64"/>
      <c r="U38" s="64"/>
      <c r="W38" s="58"/>
      <c r="X38" s="58"/>
      <c r="Y38" s="58"/>
      <c r="Z38" s="58"/>
      <c r="AA38" s="58"/>
      <c r="AB38" s="58"/>
      <c r="AC38" s="58"/>
      <c r="AD38" s="58"/>
    </row>
    <row r="39" spans="3:37" x14ac:dyDescent="0.25">
      <c r="C39" s="77" t="s">
        <v>32</v>
      </c>
      <c r="D39" s="74">
        <f>SUMIF(Team,$B1,balls_scored)</f>
        <v>28</v>
      </c>
      <c r="E39" s="74">
        <f>SUMIF(Team,$B2,balls_scored)</f>
        <v>3</v>
      </c>
      <c r="F39" s="74">
        <f>SUMIF(Team,$B3,balls_scored)</f>
        <v>3</v>
      </c>
      <c r="G39" s="79"/>
      <c r="H39" s="76">
        <f>SUMIF(Team,$B4,balls_scored)</f>
        <v>1</v>
      </c>
      <c r="I39" s="76">
        <f>SUMIF(Team,$B5,balls_scored)</f>
        <v>15</v>
      </c>
      <c r="J39" s="76">
        <f>SUMIF(Team,$B6,balls_scored)</f>
        <v>3</v>
      </c>
      <c r="L39" s="64"/>
      <c r="M39" s="64"/>
      <c r="N39" s="64"/>
      <c r="O39" s="64"/>
      <c r="P39" s="64"/>
      <c r="Q39" s="64"/>
      <c r="R39" s="64"/>
      <c r="S39" s="64"/>
      <c r="T39" s="64"/>
      <c r="U39" s="64"/>
      <c r="W39" s="58"/>
      <c r="X39" s="58"/>
      <c r="Y39" s="58"/>
      <c r="Z39" s="58"/>
      <c r="AA39" s="58"/>
      <c r="AB39" s="58"/>
      <c r="AC39" s="58"/>
      <c r="AD39" s="58"/>
      <c r="AH39" s="52" cm="1">
        <f t="array" ref="AH39">MAX(IF(Team=$B1,auton_our_score))</f>
        <v>10</v>
      </c>
      <c r="AI39" s="52" cm="1">
        <f t="array" ref="AI39">MAX(IF(Team=$B1,teleop_our_score))</f>
        <v>18</v>
      </c>
      <c r="AJ39" s="52" cm="1">
        <f t="array" ref="AJ39">MAX(IF(Team=$B1,Endgame_our_score))</f>
        <v>40</v>
      </c>
      <c r="AK39" s="52">
        <f t="shared" ref="AK39:AK45" si="6">AJ39+AI39+AH39</f>
        <v>68</v>
      </c>
    </row>
    <row r="40" spans="3:37" ht="21" x14ac:dyDescent="0.25">
      <c r="C40" s="104" t="s">
        <v>37</v>
      </c>
      <c r="D40" s="69">
        <f>AVERAGEIF(Team,$B1,teleop_our_score)</f>
        <v>8.4285714285714288</v>
      </c>
      <c r="E40" s="69">
        <f>AVERAGEIF(Team,$B2,teleop_our_score)</f>
        <v>0.7142857142857143</v>
      </c>
      <c r="F40" s="69">
        <f>AVERAGEIF(Team,$B3,teleop_our_score)</f>
        <v>1.625</v>
      </c>
      <c r="G40" s="79"/>
      <c r="H40" s="69">
        <f>AVERAGEIF(Team,$B4,teleop_our_score)</f>
        <v>0.5</v>
      </c>
      <c r="I40" s="69">
        <f>AVERAGEIF(Team,$B5,teleop_our_score)</f>
        <v>2.5</v>
      </c>
      <c r="J40" s="69">
        <f>AVERAGEIF(Team,$B6,teleop_our_score)</f>
        <v>1</v>
      </c>
      <c r="L40" s="105"/>
      <c r="M40" s="105"/>
      <c r="N40" s="105"/>
      <c r="O40" s="105"/>
      <c r="P40" s="105"/>
      <c r="Q40" s="105"/>
      <c r="R40" s="105"/>
      <c r="S40" s="105"/>
      <c r="T40" s="105"/>
      <c r="U40" s="105"/>
      <c r="W40" s="58"/>
      <c r="X40" s="58"/>
      <c r="Y40" s="58"/>
      <c r="Z40" s="58"/>
      <c r="AA40" s="58"/>
      <c r="AB40" s="58"/>
      <c r="AC40" s="58"/>
      <c r="AD40" s="58"/>
      <c r="AH40" s="52" cm="1">
        <f t="array" ref="AH40">MAX(IF(Team=$B2,auton_our_score))</f>
        <v>10</v>
      </c>
      <c r="AI40" s="52" cm="1">
        <f t="array" ref="AI40">MAX(IF(Team=$B2,teleop_our_score))</f>
        <v>3</v>
      </c>
      <c r="AJ40" s="52" cm="1">
        <f t="array" ref="AJ40">MAX(IF(Team=$B2,Endgame_our_score))</f>
        <v>40</v>
      </c>
      <c r="AK40" s="52">
        <f t="shared" si="6"/>
        <v>53</v>
      </c>
    </row>
    <row r="41" spans="3:37" x14ac:dyDescent="0.25">
      <c r="C41" s="106" t="s">
        <v>73</v>
      </c>
      <c r="D41" s="74">
        <f>SUMIF(Team,$B1,Climbed)</f>
        <v>3</v>
      </c>
      <c r="E41" s="74">
        <f>SUMIF(Team,$B2,Climbed)</f>
        <v>1</v>
      </c>
      <c r="F41" s="74">
        <f>SUMIF(Team,$B3,Climbed)</f>
        <v>3</v>
      </c>
      <c r="G41" s="79"/>
      <c r="H41" s="76">
        <f>SUMIF(Team,$B4,Climbed)</f>
        <v>0</v>
      </c>
      <c r="I41" s="76">
        <f>SUMIF(Team,$B5,Climbed)</f>
        <v>1</v>
      </c>
      <c r="J41" s="76">
        <f>SUMIF(Team,$B6,Climbed)</f>
        <v>0</v>
      </c>
      <c r="L41" s="105"/>
      <c r="M41" s="105"/>
      <c r="N41" s="105"/>
      <c r="O41" s="105"/>
      <c r="P41" s="105"/>
      <c r="Q41" s="105"/>
      <c r="R41" s="105"/>
      <c r="S41" s="105"/>
      <c r="T41" s="105"/>
      <c r="U41" s="105"/>
      <c r="W41" s="58"/>
      <c r="X41" s="58"/>
      <c r="Y41" s="58"/>
      <c r="Z41" s="58"/>
      <c r="AA41" s="58"/>
      <c r="AB41" s="58"/>
      <c r="AC41" s="58"/>
      <c r="AD41" s="58"/>
      <c r="AH41" s="52" cm="1">
        <f t="array" ref="AH41">MAX(IF(Team=$B3,auton_our_score))</f>
        <v>10</v>
      </c>
      <c r="AI41" s="52" cm="1">
        <f t="array" ref="AI41">MAX(IF(Team=$B3,teleop_our_score))</f>
        <v>5</v>
      </c>
      <c r="AJ41" s="52" cm="1">
        <f t="array" ref="AJ41">MAX(IF(Team=$B3,Endgame_our_score))</f>
        <v>40</v>
      </c>
      <c r="AK41" s="52">
        <f t="shared" si="6"/>
        <v>55</v>
      </c>
    </row>
    <row r="42" spans="3:37" x14ac:dyDescent="0.25">
      <c r="C42" s="106" t="s">
        <v>74</v>
      </c>
      <c r="D42" s="72">
        <f>SUMIF(Team,$B1,Adjustable_Climber)</f>
        <v>0</v>
      </c>
      <c r="E42" s="72">
        <f>SUMIF(Team,$B2,Adjustable_Climber)</f>
        <v>0</v>
      </c>
      <c r="F42" s="72">
        <f>SUMIF(Team,$B3,Adjustable_Climber)</f>
        <v>1</v>
      </c>
      <c r="G42" s="79"/>
      <c r="H42" s="72">
        <f>SUMIF(Team,$B4,Adjustable_Climber)</f>
        <v>0</v>
      </c>
      <c r="I42" s="72">
        <f>SUMIF(Team,$B5,Adjustable_Climber)</f>
        <v>0</v>
      </c>
      <c r="J42" s="72">
        <f>SUMIF(Team,$B6,Adjustable_Climber)</f>
        <v>0</v>
      </c>
      <c r="L42" s="105"/>
      <c r="M42" s="105"/>
      <c r="N42" s="105"/>
      <c r="O42" s="105"/>
      <c r="P42" s="105"/>
      <c r="Q42" s="105"/>
      <c r="R42" s="105"/>
      <c r="S42" s="105"/>
      <c r="T42" s="105"/>
      <c r="U42" s="105"/>
      <c r="W42" s="58"/>
      <c r="X42" s="58"/>
      <c r="Y42" s="58"/>
      <c r="Z42" s="58"/>
      <c r="AA42" s="58"/>
      <c r="AB42" s="58"/>
      <c r="AC42" s="58"/>
      <c r="AD42" s="58"/>
      <c r="AH42" s="52" cm="1">
        <f t="array" ref="AH42">MAX(IF(Team=$B4,auton_our_score))</f>
        <v>6</v>
      </c>
      <c r="AI42" s="52" cm="1">
        <f t="array" ref="AI42">MAX(IF(Team=$B4,teleop_our_score))</f>
        <v>2</v>
      </c>
      <c r="AJ42" s="52" cm="1">
        <f t="array" ref="AJ42">MAX(IF(Team=$B4,Endgame_our_score))</f>
        <v>0</v>
      </c>
      <c r="AK42" s="52">
        <f t="shared" si="6"/>
        <v>8</v>
      </c>
    </row>
    <row r="43" spans="3:37" x14ac:dyDescent="0.25">
      <c r="C43" s="106" t="s">
        <v>113</v>
      </c>
      <c r="D43" s="72">
        <f ca="1">SUMIF(Team,$B1,Balanced)</f>
        <v>2</v>
      </c>
      <c r="E43" s="72">
        <f ca="1">SUMIF(Team,$B2,Balanced)</f>
        <v>1</v>
      </c>
      <c r="F43" s="72">
        <f ca="1">SUMIF(Team,$B3,Balanced)</f>
        <v>2</v>
      </c>
      <c r="G43" s="79"/>
      <c r="H43" s="72">
        <f ca="1">SUMIF(Team,$B4,Balanced)</f>
        <v>0</v>
      </c>
      <c r="I43" s="72">
        <f ca="1">SUMIF(Team,$B5,Balanced)</f>
        <v>0</v>
      </c>
      <c r="J43" s="72">
        <f ca="1">SUMIF(Team,$B6,Balanced)</f>
        <v>0</v>
      </c>
      <c r="L43" s="105"/>
      <c r="M43" s="105"/>
      <c r="N43" s="105"/>
      <c r="O43" s="105"/>
      <c r="P43" s="105"/>
      <c r="Q43" s="105"/>
      <c r="R43" s="105"/>
      <c r="S43" s="105"/>
      <c r="T43" s="105"/>
      <c r="U43" s="105"/>
      <c r="W43" s="58"/>
      <c r="X43" s="58"/>
      <c r="Y43" s="58"/>
      <c r="Z43" s="58"/>
      <c r="AA43" s="58"/>
      <c r="AB43" s="58"/>
      <c r="AC43" s="58"/>
      <c r="AD43" s="58"/>
      <c r="AH43" s="52" cm="1">
        <f t="array" ref="AH43">MAX(IF(Team=$B5,auton_our_score))</f>
        <v>4</v>
      </c>
      <c r="AI43" s="52" cm="1">
        <f t="array" ref="AI43">MAX(IF(Team=$B5,teleop_our_score))</f>
        <v>7</v>
      </c>
      <c r="AJ43" s="52" cm="1">
        <f t="array" ref="AJ43">MAX(IF(Team=$B5,Endgame_our_score))</f>
        <v>25</v>
      </c>
      <c r="AK43" s="52">
        <f t="shared" si="6"/>
        <v>36</v>
      </c>
    </row>
    <row r="44" spans="3:37" x14ac:dyDescent="0.25">
      <c r="C44" s="106" t="s">
        <v>75</v>
      </c>
      <c r="D44" s="74">
        <f>SUMIF(Team,$B1,Lift_other_Robot)</f>
        <v>0</v>
      </c>
      <c r="E44" s="74">
        <f>SUMIF(Team,$B2,Lift_other_Robot)</f>
        <v>0</v>
      </c>
      <c r="F44" s="74">
        <f>SUMIF(Team,$B3,Lift_other_Robot)</f>
        <v>0</v>
      </c>
      <c r="G44" s="79"/>
      <c r="H44" s="76">
        <f>SUMIF(Team,$B4,Lift_other_Robot)</f>
        <v>0</v>
      </c>
      <c r="I44" s="76">
        <f>SUMIF(Team,$B5,Lift_other_Robot)</f>
        <v>0</v>
      </c>
      <c r="J44" s="76">
        <f>SUMIF(Team,$B6,Lift_other_Robot)</f>
        <v>0</v>
      </c>
      <c r="L44" s="105"/>
      <c r="M44" s="105"/>
      <c r="N44" s="105"/>
      <c r="O44" s="105"/>
      <c r="P44" s="105"/>
      <c r="Q44" s="105"/>
      <c r="R44" s="105"/>
      <c r="S44" s="105"/>
      <c r="T44" s="105"/>
      <c r="U44" s="105"/>
      <c r="W44" s="58"/>
      <c r="X44" s="58"/>
      <c r="Y44" s="58"/>
      <c r="Z44" s="58"/>
      <c r="AA44" s="58"/>
      <c r="AB44" s="58"/>
      <c r="AC44" s="58"/>
      <c r="AD44" s="58"/>
    </row>
    <row r="45" spans="3:37" x14ac:dyDescent="0.25">
      <c r="C45" s="106" t="s">
        <v>79</v>
      </c>
      <c r="D45" s="72">
        <f>SUMIF(Team,$B1,Any_Fouls)</f>
        <v>1</v>
      </c>
      <c r="E45" s="72">
        <f>SUMIF(Team,$B2,Any_Fouls)</f>
        <v>0</v>
      </c>
      <c r="F45" s="72">
        <f>SUMIF(Team,$B3,Any_Fouls)</f>
        <v>0</v>
      </c>
      <c r="G45" s="78"/>
      <c r="H45" s="72">
        <f>SUMIF(Team,$B4,Any_Fouls)</f>
        <v>0</v>
      </c>
      <c r="I45" s="72">
        <f>SUMIF(Team,$B5,Any_Fouls)</f>
        <v>0</v>
      </c>
      <c r="J45" s="72">
        <f>SUMIF(Team,$B6,Any_Fouls)</f>
        <v>0</v>
      </c>
      <c r="L45" s="105"/>
      <c r="M45" s="105"/>
      <c r="N45" s="105"/>
      <c r="O45" s="105"/>
      <c r="P45" s="105"/>
      <c r="Q45" s="105"/>
      <c r="R45" s="105"/>
      <c r="S45" s="105"/>
      <c r="T45" s="105"/>
      <c r="U45" s="105"/>
      <c r="W45" s="58"/>
      <c r="X45" s="58"/>
      <c r="Y45" s="58"/>
      <c r="Z45" s="58"/>
      <c r="AA45" s="58"/>
      <c r="AB45" s="58"/>
      <c r="AC45" s="58"/>
      <c r="AD45" s="58"/>
      <c r="AF45" s="58" t="s">
        <v>155</v>
      </c>
      <c r="AH45" s="52" cm="1">
        <f t="array" ref="AH45">MAX(IF(Team=$B6,auton_our_score))</f>
        <v>10</v>
      </c>
      <c r="AI45" s="52" cm="1">
        <f t="array" ref="AI45">MAX(IF(Team=$B6,teleop_our_score))</f>
        <v>4</v>
      </c>
      <c r="AJ45" s="52" cm="1">
        <f t="array" ref="AJ45">MAX(IF(Team=$B6,Endgame_our_score))</f>
        <v>0</v>
      </c>
      <c r="AK45" s="52">
        <f t="shared" si="6"/>
        <v>14</v>
      </c>
    </row>
    <row r="46" spans="3:37" x14ac:dyDescent="0.25">
      <c r="C46" s="106" t="s">
        <v>76</v>
      </c>
      <c r="D46" s="74">
        <f>SUMIF(Team,$B1,Breakdown__No_Show)</f>
        <v>0</v>
      </c>
      <c r="E46" s="74">
        <f>SUMIF(Team,$B2,Breakdown__No_Show)</f>
        <v>2</v>
      </c>
      <c r="F46" s="74">
        <f>SUMIF(Team,$B3,Breakdown__No_Show)</f>
        <v>0</v>
      </c>
      <c r="G46" s="79"/>
      <c r="H46" s="76">
        <f>SUMIF(Team,$B4,Breakdown__No_Show)</f>
        <v>0</v>
      </c>
      <c r="I46" s="76">
        <f>SUMIF(Team,$B5,Breakdown__No_Show)</f>
        <v>1</v>
      </c>
      <c r="J46" s="76">
        <f>SUMIF(Team,$B6,Breakdown__No_Show)</f>
        <v>1</v>
      </c>
      <c r="L46" s="105"/>
      <c r="M46" s="105"/>
      <c r="N46" s="105"/>
      <c r="O46" s="105"/>
      <c r="P46" s="105"/>
      <c r="Q46" s="105"/>
      <c r="R46" s="105"/>
      <c r="S46" s="105"/>
      <c r="T46" s="105"/>
      <c r="U46" s="105"/>
      <c r="W46" s="58"/>
      <c r="X46" s="58"/>
      <c r="Y46" s="58"/>
      <c r="Z46" s="58"/>
      <c r="AA46" s="58"/>
      <c r="AB46" s="58"/>
      <c r="AC46" s="58"/>
      <c r="AD46" s="58"/>
    </row>
    <row r="47" spans="3:37" x14ac:dyDescent="0.25">
      <c r="C47" s="106" t="s">
        <v>77</v>
      </c>
      <c r="D47" s="72">
        <f>SUMIF(Team,$B1,recovery)</f>
        <v>0</v>
      </c>
      <c r="E47" s="72">
        <f>SUMIF(Team,$B2,recovery)</f>
        <v>1</v>
      </c>
      <c r="F47" s="72">
        <f>SUMIF(Team,$B3,recovery)</f>
        <v>0</v>
      </c>
      <c r="G47" s="78"/>
      <c r="H47" s="72">
        <f>SUMIF(Team,$B4,recovery)</f>
        <v>0</v>
      </c>
      <c r="I47" s="72">
        <f>SUMIF(Team,$B5,recovery)</f>
        <v>1</v>
      </c>
      <c r="J47" s="72">
        <f>SUMIF(Team,$B6,recovery)</f>
        <v>0</v>
      </c>
      <c r="L47" s="105"/>
      <c r="M47" s="105"/>
      <c r="N47" s="105"/>
      <c r="O47" s="105"/>
      <c r="P47" s="105"/>
      <c r="Q47" s="105"/>
      <c r="R47" s="105"/>
      <c r="S47" s="105"/>
      <c r="T47" s="105"/>
      <c r="U47" s="105"/>
      <c r="W47" s="58"/>
      <c r="X47" s="58"/>
      <c r="Y47" s="58"/>
      <c r="Z47" s="58"/>
      <c r="AA47" s="58"/>
      <c r="AB47" s="58"/>
      <c r="AC47" s="58"/>
      <c r="AD47" s="58"/>
    </row>
    <row r="48" spans="3:37" ht="21" x14ac:dyDescent="0.25">
      <c r="C48" s="107" t="s">
        <v>78</v>
      </c>
      <c r="D48" s="87">
        <f>AVERAGEIF(Team,$B1,Endgame_our_score)</f>
        <v>15</v>
      </c>
      <c r="E48" s="87">
        <f>AVERAGEIF(Team,$B2,Endgame_our_score)</f>
        <v>5.7142857142857144</v>
      </c>
      <c r="F48" s="87">
        <f>AVERAGEIF(Team,$B3,Endgame_our_score)</f>
        <v>14.375</v>
      </c>
      <c r="G48" s="108"/>
      <c r="H48" s="88">
        <f>AVERAGEIF(Team,$B4,Endgame_our_score)</f>
        <v>0</v>
      </c>
      <c r="I48" s="88">
        <f>AVERAGEIF(Team,$B5,Endgame_our_score)</f>
        <v>4.166666666666667</v>
      </c>
      <c r="J48" s="88">
        <f>AVERAGEIF(Team,$B6,Endgame_our_score)</f>
        <v>0</v>
      </c>
      <c r="L48" s="105"/>
      <c r="M48" s="105"/>
      <c r="N48" s="105"/>
      <c r="O48" s="105"/>
      <c r="P48" s="105"/>
      <c r="Q48" s="105"/>
      <c r="R48" s="105"/>
      <c r="S48" s="105"/>
      <c r="T48" s="105"/>
      <c r="U48" s="105"/>
      <c r="W48" s="58"/>
      <c r="X48" s="58"/>
      <c r="Y48" s="58"/>
      <c r="Z48" s="58"/>
      <c r="AA48" s="58"/>
      <c r="AB48" s="58"/>
      <c r="AC48" s="58"/>
      <c r="AD48" s="58"/>
    </row>
    <row r="49" spans="1:47" x14ac:dyDescent="0.25">
      <c r="C49" s="109"/>
      <c r="D49" s="109"/>
      <c r="E49" s="109"/>
      <c r="F49" s="109"/>
      <c r="G49" s="109"/>
      <c r="H49" s="109"/>
      <c r="I49" s="109"/>
      <c r="J49" s="109"/>
      <c r="L49" s="105"/>
      <c r="M49" s="105"/>
      <c r="N49" s="105"/>
      <c r="O49" s="105"/>
      <c r="P49" s="105"/>
      <c r="Q49" s="105"/>
      <c r="R49" s="105"/>
      <c r="S49" s="105"/>
      <c r="T49" s="105"/>
      <c r="U49" s="105"/>
      <c r="W49" s="58"/>
      <c r="X49" s="58"/>
      <c r="Y49" s="58"/>
      <c r="Z49" s="58"/>
      <c r="AA49" s="58"/>
      <c r="AB49" s="58"/>
      <c r="AC49" s="58"/>
      <c r="AD49" s="58"/>
      <c r="AG49" s="52" t="s">
        <v>153</v>
      </c>
    </row>
    <row r="50" spans="1:47" s="18" customFormat="1" x14ac:dyDescent="0.25">
      <c r="A50" s="58"/>
      <c r="B50" s="58"/>
      <c r="C50" s="109"/>
      <c r="D50" s="110"/>
      <c r="E50" s="110"/>
      <c r="F50" s="110"/>
      <c r="G50" s="111"/>
      <c r="H50" s="110"/>
      <c r="I50" s="110"/>
      <c r="J50" s="110"/>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c r="AK50" s="58"/>
      <c r="AL50" s="58"/>
      <c r="AM50" s="58"/>
      <c r="AN50" s="58"/>
      <c r="AO50" s="58"/>
      <c r="AP50" s="58"/>
      <c r="AQ50" s="58"/>
      <c r="AR50" s="58"/>
      <c r="AS50" s="58"/>
      <c r="AT50" s="58"/>
      <c r="AU50" s="58"/>
    </row>
    <row r="51" spans="1:47" s="18" customFormat="1" x14ac:dyDescent="0.25">
      <c r="A51" s="58"/>
      <c r="B51" s="58"/>
      <c r="C51" s="112"/>
      <c r="D51" s="110"/>
      <c r="E51" s="110"/>
      <c r="F51" s="110"/>
      <c r="G51" s="111"/>
      <c r="H51" s="110"/>
      <c r="I51" s="110"/>
      <c r="J51" s="110"/>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c r="AK51" s="58"/>
      <c r="AL51" s="58"/>
      <c r="AM51" s="58"/>
      <c r="AN51" s="58"/>
      <c r="AO51" s="58"/>
      <c r="AP51" s="58"/>
      <c r="AQ51" s="58"/>
      <c r="AR51" s="58"/>
      <c r="AS51" s="58"/>
      <c r="AT51" s="58"/>
      <c r="AU51" s="58"/>
    </row>
    <row r="52" spans="1:47" s="18" customFormat="1" x14ac:dyDescent="0.25">
      <c r="A52" s="58"/>
      <c r="B52" s="58"/>
      <c r="C52" s="112"/>
      <c r="D52" s="110"/>
      <c r="E52" s="110"/>
      <c r="F52" s="110"/>
      <c r="G52" s="111"/>
      <c r="H52" s="110"/>
      <c r="I52" s="110"/>
      <c r="J52" s="110"/>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c r="AK52" s="58"/>
      <c r="AL52" s="58"/>
      <c r="AM52" s="58"/>
      <c r="AN52" s="58"/>
      <c r="AO52" s="58"/>
      <c r="AP52" s="58"/>
      <c r="AQ52" s="58"/>
      <c r="AR52" s="58"/>
      <c r="AS52" s="58"/>
      <c r="AT52" s="58"/>
      <c r="AU52" s="58"/>
    </row>
    <row r="53" spans="1:47" s="18" customFormat="1" x14ac:dyDescent="0.25">
      <c r="A53" s="58"/>
      <c r="B53" s="58"/>
      <c r="C53" s="112"/>
      <c r="D53" s="110"/>
      <c r="E53" s="110"/>
      <c r="F53" s="110"/>
      <c r="G53" s="111"/>
      <c r="H53" s="110"/>
      <c r="I53" s="110"/>
      <c r="J53" s="110"/>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c r="AK53" s="58"/>
      <c r="AL53" s="58"/>
      <c r="AM53" s="58"/>
      <c r="AN53" s="58"/>
      <c r="AO53" s="58"/>
      <c r="AP53" s="58"/>
      <c r="AQ53" s="58"/>
      <c r="AR53" s="58"/>
      <c r="AS53" s="58"/>
      <c r="AT53" s="58"/>
      <c r="AU53" s="58"/>
    </row>
    <row r="54" spans="1:47" s="18" customFormat="1" x14ac:dyDescent="0.25">
      <c r="A54" s="58"/>
      <c r="B54" s="58"/>
      <c r="C54" s="112"/>
      <c r="D54" s="110"/>
      <c r="E54" s="110"/>
      <c r="F54" s="110"/>
      <c r="G54" s="111"/>
      <c r="H54" s="110"/>
      <c r="I54" s="110"/>
      <c r="J54" s="110"/>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c r="AK54" s="58"/>
      <c r="AL54" s="58"/>
      <c r="AM54" s="58"/>
      <c r="AN54" s="58"/>
      <c r="AO54" s="58"/>
      <c r="AP54" s="58"/>
      <c r="AQ54" s="58"/>
      <c r="AR54" s="58"/>
      <c r="AS54" s="58"/>
      <c r="AT54" s="58"/>
      <c r="AU54" s="58"/>
    </row>
    <row r="55" spans="1:47" s="18" customFormat="1" x14ac:dyDescent="0.25">
      <c r="A55" s="58"/>
      <c r="B55" s="58"/>
      <c r="C55" s="112"/>
      <c r="D55" s="110"/>
      <c r="E55" s="110"/>
      <c r="F55" s="110"/>
      <c r="G55" s="111"/>
      <c r="H55" s="110"/>
      <c r="I55" s="110"/>
      <c r="J55" s="110"/>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c r="AK55" s="58"/>
      <c r="AL55" s="58"/>
      <c r="AM55" s="58"/>
      <c r="AN55" s="58"/>
      <c r="AO55" s="58"/>
      <c r="AP55" s="58"/>
      <c r="AQ55" s="58"/>
      <c r="AR55" s="58"/>
      <c r="AS55" s="58"/>
      <c r="AT55" s="58"/>
      <c r="AU55" s="58"/>
    </row>
    <row r="56" spans="1:47" s="18" customFormat="1" x14ac:dyDescent="0.25">
      <c r="A56" s="58"/>
      <c r="B56" s="58"/>
      <c r="C56" s="112"/>
      <c r="D56" s="110"/>
      <c r="E56" s="110"/>
      <c r="F56" s="110"/>
      <c r="G56" s="111"/>
      <c r="H56" s="110"/>
      <c r="I56" s="110"/>
      <c r="J56" s="110"/>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c r="AK56" s="58"/>
      <c r="AL56" s="58"/>
      <c r="AM56" s="58"/>
      <c r="AN56" s="58"/>
      <c r="AO56" s="58"/>
      <c r="AP56" s="58"/>
      <c r="AQ56" s="58"/>
      <c r="AR56" s="58"/>
      <c r="AS56" s="58"/>
      <c r="AT56" s="58"/>
      <c r="AU56" s="58"/>
    </row>
    <row r="57" spans="1:47" s="18" customFormat="1" x14ac:dyDescent="0.25">
      <c r="A57" s="58"/>
      <c r="B57" s="58"/>
      <c r="C57" s="112"/>
      <c r="D57" s="110"/>
      <c r="E57" s="110"/>
      <c r="F57" s="110"/>
      <c r="G57" s="111"/>
      <c r="H57" s="110"/>
      <c r="I57" s="110"/>
      <c r="J57" s="110"/>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c r="AK57" s="58"/>
      <c r="AL57" s="58"/>
      <c r="AM57" s="58"/>
      <c r="AN57" s="58"/>
      <c r="AO57" s="58"/>
      <c r="AP57" s="58"/>
      <c r="AQ57" s="58"/>
      <c r="AR57" s="58"/>
      <c r="AS57" s="58"/>
      <c r="AT57" s="58"/>
      <c r="AU57" s="58"/>
    </row>
    <row r="58" spans="1:47" s="18" customFormat="1" x14ac:dyDescent="0.25">
      <c r="A58" s="58"/>
      <c r="B58" s="58"/>
      <c r="C58" s="112"/>
      <c r="D58" s="110"/>
      <c r="E58" s="110"/>
      <c r="F58" s="110"/>
      <c r="G58" s="111"/>
      <c r="H58" s="110"/>
      <c r="I58" s="110"/>
      <c r="J58" s="110"/>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row>
    <row r="59" spans="1:47" s="18" customFormat="1" x14ac:dyDescent="0.25">
      <c r="A59" s="58"/>
      <c r="B59" s="58"/>
      <c r="C59" s="112"/>
      <c r="D59" s="110"/>
      <c r="E59" s="110"/>
      <c r="F59" s="110"/>
      <c r="G59" s="111"/>
      <c r="H59" s="110"/>
      <c r="I59" s="110"/>
      <c r="J59" s="110"/>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c r="AK59" s="58"/>
      <c r="AL59" s="58"/>
      <c r="AM59" s="58"/>
      <c r="AN59" s="58"/>
      <c r="AO59" s="58"/>
      <c r="AP59" s="58"/>
      <c r="AQ59" s="58"/>
      <c r="AR59" s="58"/>
      <c r="AS59" s="58"/>
      <c r="AT59" s="58"/>
      <c r="AU59" s="58"/>
    </row>
    <row r="60" spans="1:47" s="18" customFormat="1" x14ac:dyDescent="0.25">
      <c r="A60" s="58"/>
      <c r="B60" s="58"/>
      <c r="C60" s="112"/>
      <c r="D60" s="110"/>
      <c r="E60" s="110"/>
      <c r="F60" s="110"/>
      <c r="G60" s="111"/>
      <c r="H60" s="110"/>
      <c r="I60" s="110"/>
      <c r="J60" s="110"/>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c r="AK60" s="58"/>
      <c r="AL60" s="58"/>
      <c r="AM60" s="58"/>
      <c r="AN60" s="58"/>
      <c r="AO60" s="58"/>
      <c r="AP60" s="58"/>
      <c r="AQ60" s="58"/>
      <c r="AR60" s="58"/>
      <c r="AS60" s="58"/>
      <c r="AT60" s="58"/>
      <c r="AU60" s="58"/>
    </row>
    <row r="61" spans="1:47" s="18" customFormat="1" x14ac:dyDescent="0.25">
      <c r="A61" s="58"/>
      <c r="B61" s="58"/>
      <c r="C61" s="112"/>
      <c r="D61" s="110"/>
      <c r="E61" s="110"/>
      <c r="F61" s="110"/>
      <c r="G61" s="111"/>
      <c r="H61" s="110"/>
      <c r="I61" s="110"/>
      <c r="J61" s="110"/>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c r="AK61" s="58"/>
      <c r="AL61" s="58"/>
      <c r="AM61" s="58"/>
      <c r="AN61" s="58"/>
      <c r="AO61" s="58"/>
      <c r="AP61" s="58"/>
      <c r="AQ61" s="58"/>
      <c r="AR61" s="58"/>
      <c r="AS61" s="58"/>
      <c r="AT61" s="58"/>
      <c r="AU61" s="58"/>
    </row>
    <row r="62" spans="1:47" x14ac:dyDescent="0.25">
      <c r="C62" s="112"/>
      <c r="D62" s="110"/>
      <c r="E62" s="110"/>
      <c r="F62" s="110"/>
      <c r="G62" s="111"/>
      <c r="H62" s="110"/>
      <c r="I62" s="110"/>
      <c r="J62" s="110"/>
      <c r="L62" s="58"/>
      <c r="M62" s="58"/>
      <c r="N62" s="58"/>
      <c r="O62" s="58"/>
      <c r="P62" s="58"/>
      <c r="Q62" s="58"/>
      <c r="R62" s="58"/>
      <c r="S62" s="58"/>
      <c r="T62" s="58"/>
      <c r="U62" s="58"/>
      <c r="W62" s="58"/>
      <c r="X62" s="58"/>
      <c r="Y62" s="58"/>
      <c r="Z62" s="58"/>
      <c r="AA62" s="58"/>
      <c r="AB62" s="58"/>
      <c r="AC62" s="58"/>
      <c r="AD62" s="58"/>
    </row>
    <row r="63" spans="1:47" x14ac:dyDescent="0.25">
      <c r="C63" s="112"/>
      <c r="D63" s="110"/>
      <c r="E63" s="110"/>
      <c r="F63" s="110"/>
      <c r="G63" s="111"/>
      <c r="H63" s="110"/>
      <c r="I63" s="110"/>
      <c r="J63" s="110"/>
      <c r="L63" s="58"/>
      <c r="M63" s="58"/>
      <c r="N63" s="58"/>
      <c r="O63" s="58"/>
      <c r="P63" s="58"/>
      <c r="Q63" s="58"/>
      <c r="R63" s="58"/>
      <c r="S63" s="58"/>
      <c r="T63" s="58"/>
      <c r="U63" s="58"/>
      <c r="W63" s="58"/>
      <c r="X63" s="58"/>
      <c r="Y63" s="58"/>
      <c r="Z63" s="58"/>
      <c r="AA63" s="58"/>
      <c r="AB63" s="58"/>
      <c r="AC63" s="58"/>
      <c r="AD63" s="58"/>
    </row>
    <row r="64" spans="1:47" x14ac:dyDescent="0.25">
      <c r="C64" s="112"/>
      <c r="D64" s="110"/>
      <c r="E64" s="110"/>
      <c r="F64" s="110"/>
      <c r="G64" s="111"/>
      <c r="H64" s="110"/>
      <c r="I64" s="110"/>
      <c r="J64" s="110"/>
      <c r="L64" s="58"/>
      <c r="M64" s="58"/>
      <c r="N64" s="58"/>
      <c r="O64" s="58"/>
      <c r="P64" s="58"/>
      <c r="Q64" s="58"/>
      <c r="R64" s="58"/>
      <c r="S64" s="58"/>
      <c r="T64" s="58"/>
      <c r="U64" s="58"/>
      <c r="W64" s="58"/>
      <c r="X64" s="58"/>
      <c r="Y64" s="58"/>
      <c r="Z64" s="58"/>
      <c r="AA64" s="58"/>
      <c r="AB64" s="58"/>
      <c r="AC64" s="58"/>
      <c r="AD64" s="58"/>
    </row>
    <row r="65" spans="3:30" x14ac:dyDescent="0.25">
      <c r="C65" s="112"/>
      <c r="D65" s="110"/>
      <c r="E65" s="110"/>
      <c r="F65" s="110"/>
      <c r="G65" s="111"/>
      <c r="H65" s="110"/>
      <c r="I65" s="110"/>
      <c r="J65" s="110"/>
      <c r="L65" s="58"/>
      <c r="M65" s="58"/>
      <c r="N65" s="58"/>
      <c r="O65" s="58"/>
      <c r="P65" s="58"/>
      <c r="Q65" s="58"/>
      <c r="R65" s="58"/>
      <c r="S65" s="58"/>
      <c r="T65" s="58"/>
      <c r="U65" s="58"/>
      <c r="W65" s="58"/>
      <c r="X65" s="58"/>
      <c r="Y65" s="58"/>
      <c r="Z65" s="58"/>
      <c r="AA65" s="58"/>
      <c r="AB65" s="58"/>
      <c r="AC65" s="58"/>
      <c r="AD65" s="58"/>
    </row>
    <row r="66" spans="3:30" x14ac:dyDescent="0.25">
      <c r="C66" s="112"/>
      <c r="D66" s="110"/>
      <c r="E66" s="110"/>
      <c r="F66" s="110"/>
      <c r="G66" s="111"/>
      <c r="H66" s="110"/>
      <c r="I66" s="110"/>
      <c r="J66" s="110"/>
      <c r="L66" s="58"/>
      <c r="M66" s="58"/>
      <c r="N66" s="58"/>
      <c r="O66" s="58"/>
      <c r="P66" s="58"/>
      <c r="Q66" s="58"/>
      <c r="R66" s="58"/>
      <c r="S66" s="58"/>
      <c r="T66" s="58"/>
      <c r="U66" s="58"/>
      <c r="W66" s="58"/>
      <c r="X66" s="58"/>
      <c r="Y66" s="58"/>
      <c r="Z66" s="58"/>
      <c r="AA66" s="58"/>
      <c r="AB66" s="58"/>
      <c r="AC66" s="58"/>
      <c r="AD66" s="58"/>
    </row>
    <row r="67" spans="3:30" x14ac:dyDescent="0.25">
      <c r="C67" s="112"/>
      <c r="D67" s="110"/>
      <c r="E67" s="110"/>
      <c r="F67" s="110"/>
      <c r="G67" s="111"/>
      <c r="H67" s="110"/>
      <c r="I67" s="110"/>
      <c r="J67" s="110"/>
      <c r="L67" s="58"/>
      <c r="M67" s="58"/>
      <c r="N67" s="58"/>
      <c r="O67" s="58"/>
      <c r="P67" s="58"/>
      <c r="Q67" s="58"/>
      <c r="R67" s="58"/>
      <c r="S67" s="58"/>
      <c r="T67" s="58"/>
      <c r="U67" s="58"/>
      <c r="W67" s="58"/>
      <c r="X67" s="58"/>
      <c r="Y67" s="58"/>
      <c r="Z67" s="58"/>
      <c r="AA67" s="58"/>
      <c r="AB67" s="58"/>
      <c r="AC67" s="58"/>
      <c r="AD67" s="58"/>
    </row>
    <row r="68" spans="3:30" x14ac:dyDescent="0.25">
      <c r="C68" s="112"/>
      <c r="D68" s="110"/>
      <c r="E68" s="110"/>
      <c r="F68" s="110"/>
      <c r="G68" s="111"/>
      <c r="H68" s="110"/>
      <c r="I68" s="110"/>
      <c r="J68" s="110"/>
      <c r="L68" s="58"/>
      <c r="M68" s="58"/>
      <c r="N68" s="58"/>
      <c r="O68" s="58"/>
      <c r="P68" s="58"/>
      <c r="Q68" s="58"/>
      <c r="R68" s="58"/>
      <c r="S68" s="58"/>
      <c r="T68" s="58"/>
      <c r="U68" s="58"/>
      <c r="W68" s="58"/>
      <c r="X68" s="58"/>
      <c r="Y68" s="58"/>
      <c r="Z68" s="58"/>
      <c r="AA68" s="58"/>
      <c r="AB68" s="58"/>
      <c r="AC68" s="58"/>
      <c r="AD68" s="58"/>
    </row>
    <row r="69" spans="3:30" x14ac:dyDescent="0.25">
      <c r="C69" s="112"/>
      <c r="D69" s="110"/>
      <c r="E69" s="110"/>
      <c r="F69" s="110"/>
      <c r="G69" s="111"/>
      <c r="H69" s="110"/>
      <c r="I69" s="110"/>
      <c r="J69" s="110"/>
      <c r="L69" s="58"/>
      <c r="M69" s="58"/>
      <c r="N69" s="58"/>
      <c r="O69" s="58"/>
      <c r="P69" s="58"/>
      <c r="Q69" s="58"/>
      <c r="R69" s="58"/>
      <c r="S69" s="58"/>
      <c r="T69" s="58"/>
      <c r="U69" s="58"/>
      <c r="W69" s="58"/>
      <c r="X69" s="58"/>
      <c r="Y69" s="58"/>
      <c r="Z69" s="58"/>
      <c r="AA69" s="58"/>
      <c r="AB69" s="58"/>
      <c r="AC69" s="58"/>
      <c r="AD69" s="58"/>
    </row>
    <row r="70" spans="3:30" x14ac:dyDescent="0.25">
      <c r="C70" s="112"/>
      <c r="D70" s="110"/>
      <c r="E70" s="110"/>
      <c r="F70" s="110"/>
      <c r="G70" s="111"/>
      <c r="H70" s="110"/>
      <c r="I70" s="110"/>
      <c r="J70" s="110"/>
      <c r="L70" s="58"/>
      <c r="M70" s="58"/>
      <c r="N70" s="58"/>
      <c r="O70" s="58"/>
      <c r="P70" s="58"/>
      <c r="Q70" s="58"/>
      <c r="R70" s="58"/>
      <c r="S70" s="58"/>
      <c r="T70" s="58"/>
      <c r="U70" s="58"/>
      <c r="W70" s="58"/>
      <c r="X70" s="58"/>
      <c r="Y70" s="58"/>
      <c r="Z70" s="58"/>
      <c r="AA70" s="58"/>
      <c r="AB70" s="58"/>
      <c r="AC70" s="58"/>
      <c r="AD70" s="58"/>
    </row>
    <row r="71" spans="3:30" x14ac:dyDescent="0.25">
      <c r="C71" s="112"/>
      <c r="D71" s="110"/>
      <c r="E71" s="110"/>
      <c r="F71" s="110"/>
      <c r="G71" s="111"/>
      <c r="H71" s="110"/>
      <c r="I71" s="110"/>
      <c r="J71" s="110"/>
      <c r="L71" s="58"/>
      <c r="M71" s="58"/>
      <c r="N71" s="58"/>
      <c r="O71" s="58"/>
      <c r="P71" s="58"/>
      <c r="Q71" s="58"/>
      <c r="R71" s="58"/>
      <c r="S71" s="58"/>
      <c r="T71" s="58"/>
      <c r="U71" s="58"/>
      <c r="W71" s="58"/>
      <c r="X71" s="58"/>
      <c r="Y71" s="58"/>
      <c r="Z71" s="58"/>
      <c r="AA71" s="58"/>
      <c r="AB71" s="58"/>
      <c r="AC71" s="58"/>
      <c r="AD71" s="58"/>
    </row>
    <row r="72" spans="3:30" x14ac:dyDescent="0.25">
      <c r="C72" s="112"/>
      <c r="D72" s="110"/>
      <c r="E72" s="110"/>
      <c r="F72" s="110"/>
      <c r="G72" s="111"/>
      <c r="H72" s="110"/>
      <c r="I72" s="110"/>
      <c r="J72" s="110"/>
      <c r="L72" s="58"/>
      <c r="M72" s="58"/>
      <c r="N72" s="58"/>
      <c r="O72" s="58"/>
      <c r="P72" s="58"/>
      <c r="Q72" s="58"/>
      <c r="R72" s="58"/>
      <c r="S72" s="58"/>
      <c r="T72" s="58"/>
      <c r="U72" s="58"/>
      <c r="W72" s="58"/>
      <c r="X72" s="58"/>
      <c r="Y72" s="58"/>
      <c r="Z72" s="58"/>
      <c r="AA72" s="58"/>
      <c r="AB72" s="58"/>
      <c r="AC72" s="58"/>
      <c r="AD72" s="58"/>
    </row>
    <row r="73" spans="3:30" x14ac:dyDescent="0.25">
      <c r="C73" s="112"/>
      <c r="D73" s="110"/>
      <c r="E73" s="110"/>
      <c r="F73" s="110"/>
      <c r="G73" s="111"/>
      <c r="H73" s="110"/>
      <c r="I73" s="110"/>
      <c r="J73" s="110"/>
      <c r="L73" s="58"/>
      <c r="M73" s="58"/>
      <c r="N73" s="58"/>
      <c r="O73" s="58"/>
      <c r="P73" s="58"/>
      <c r="Q73" s="58"/>
      <c r="R73" s="58"/>
      <c r="S73" s="58"/>
      <c r="T73" s="58"/>
      <c r="U73" s="58"/>
      <c r="W73" s="58"/>
      <c r="X73" s="58"/>
      <c r="Y73" s="58"/>
      <c r="Z73" s="58"/>
      <c r="AA73" s="58"/>
      <c r="AB73" s="58"/>
      <c r="AC73" s="58"/>
      <c r="AD73" s="58"/>
    </row>
    <row r="74" spans="3:30" x14ac:dyDescent="0.25">
      <c r="C74" s="112"/>
      <c r="D74" s="110"/>
      <c r="E74" s="110"/>
      <c r="F74" s="110"/>
      <c r="G74" s="111"/>
      <c r="H74" s="110"/>
      <c r="I74" s="110"/>
      <c r="J74" s="110"/>
      <c r="L74" s="58"/>
      <c r="M74" s="58"/>
      <c r="N74" s="58"/>
      <c r="O74" s="58"/>
      <c r="P74" s="58"/>
      <c r="Q74" s="58"/>
      <c r="R74" s="58"/>
      <c r="S74" s="58"/>
      <c r="T74" s="58"/>
      <c r="U74" s="58"/>
      <c r="W74" s="58"/>
      <c r="X74" s="58"/>
      <c r="Y74" s="58"/>
      <c r="Z74" s="58"/>
      <c r="AA74" s="58"/>
      <c r="AB74" s="58"/>
      <c r="AC74" s="58"/>
      <c r="AD74" s="58"/>
    </row>
    <row r="75" spans="3:30" x14ac:dyDescent="0.25">
      <c r="C75" s="112"/>
      <c r="D75" s="110"/>
      <c r="E75" s="110"/>
      <c r="F75" s="110"/>
      <c r="G75" s="111"/>
      <c r="H75" s="110"/>
      <c r="I75" s="110"/>
      <c r="J75" s="110"/>
      <c r="L75" s="58"/>
      <c r="M75" s="58"/>
      <c r="N75" s="58"/>
      <c r="O75" s="58"/>
      <c r="P75" s="58"/>
      <c r="Q75" s="58"/>
      <c r="R75" s="58"/>
      <c r="S75" s="58"/>
      <c r="T75" s="58"/>
      <c r="U75" s="58"/>
      <c r="W75" s="58"/>
      <c r="X75" s="58"/>
      <c r="Y75" s="58"/>
      <c r="Z75" s="58"/>
      <c r="AA75" s="58"/>
      <c r="AB75" s="58"/>
      <c r="AC75" s="58"/>
      <c r="AD75" s="58"/>
    </row>
    <row r="76" spans="3:30" x14ac:dyDescent="0.25">
      <c r="C76" s="112"/>
      <c r="D76" s="110"/>
      <c r="E76" s="110"/>
      <c r="F76" s="110"/>
      <c r="G76" s="111"/>
      <c r="H76" s="110"/>
      <c r="I76" s="110"/>
      <c r="J76" s="110"/>
      <c r="L76" s="58"/>
      <c r="M76" s="58"/>
      <c r="N76" s="58"/>
      <c r="O76" s="58"/>
      <c r="P76" s="58"/>
      <c r="Q76" s="58"/>
      <c r="R76" s="58"/>
      <c r="S76" s="58"/>
      <c r="T76" s="58"/>
      <c r="U76" s="58"/>
      <c r="W76" s="58"/>
      <c r="X76" s="58"/>
      <c r="Y76" s="58"/>
      <c r="Z76" s="58"/>
      <c r="AA76" s="58"/>
      <c r="AB76" s="58"/>
      <c r="AC76" s="58"/>
      <c r="AD76" s="58"/>
    </row>
    <row r="77" spans="3:30" x14ac:dyDescent="0.25">
      <c r="C77" s="112"/>
      <c r="D77" s="110"/>
      <c r="E77" s="110"/>
      <c r="F77" s="110"/>
      <c r="G77" s="111"/>
      <c r="H77" s="110"/>
      <c r="I77" s="110"/>
      <c r="J77" s="110"/>
      <c r="L77" s="58"/>
      <c r="M77" s="58"/>
      <c r="N77" s="58"/>
      <c r="O77" s="58"/>
      <c r="P77" s="58"/>
      <c r="Q77" s="58"/>
      <c r="R77" s="58"/>
      <c r="S77" s="58"/>
      <c r="T77" s="58"/>
      <c r="U77" s="58"/>
      <c r="W77" s="58"/>
      <c r="X77" s="58"/>
      <c r="Y77" s="58"/>
      <c r="Z77" s="58"/>
      <c r="AA77" s="58"/>
      <c r="AB77" s="58"/>
      <c r="AC77" s="58"/>
      <c r="AD77" s="58"/>
    </row>
    <row r="78" spans="3:30" x14ac:dyDescent="0.25">
      <c r="C78" s="112"/>
      <c r="D78" s="110"/>
      <c r="E78" s="110"/>
      <c r="F78" s="110"/>
      <c r="G78" s="111"/>
      <c r="H78" s="110"/>
      <c r="I78" s="110"/>
      <c r="J78" s="110"/>
      <c r="L78" s="58"/>
      <c r="M78" s="58"/>
      <c r="N78" s="58"/>
      <c r="O78" s="58"/>
      <c r="P78" s="58"/>
      <c r="Q78" s="58"/>
      <c r="R78" s="58"/>
      <c r="S78" s="58"/>
      <c r="T78" s="58"/>
      <c r="U78" s="58"/>
      <c r="W78" s="58"/>
      <c r="X78" s="58"/>
      <c r="Y78" s="58"/>
      <c r="Z78" s="58"/>
      <c r="AA78" s="58"/>
      <c r="AB78" s="58"/>
      <c r="AC78" s="58"/>
      <c r="AD78" s="58"/>
    </row>
    <row r="79" spans="3:30" x14ac:dyDescent="0.25">
      <c r="C79" s="112"/>
      <c r="D79" s="110"/>
      <c r="E79" s="110"/>
      <c r="F79" s="110"/>
      <c r="G79" s="111"/>
      <c r="H79" s="110"/>
      <c r="I79" s="110"/>
      <c r="J79" s="110"/>
      <c r="L79" s="58"/>
      <c r="M79" s="58"/>
      <c r="N79" s="58"/>
      <c r="O79" s="58"/>
      <c r="P79" s="58"/>
      <c r="Q79" s="58"/>
      <c r="R79" s="58"/>
      <c r="S79" s="58"/>
      <c r="T79" s="58"/>
      <c r="U79" s="58"/>
      <c r="W79" s="58"/>
      <c r="X79" s="58"/>
      <c r="Y79" s="58"/>
      <c r="Z79" s="58"/>
      <c r="AA79" s="58"/>
      <c r="AB79" s="58"/>
      <c r="AC79" s="58"/>
      <c r="AD79" s="58"/>
    </row>
    <row r="80" spans="3:30" x14ac:dyDescent="0.25">
      <c r="C80" s="112"/>
      <c r="D80" s="110"/>
      <c r="E80" s="110"/>
      <c r="F80" s="110"/>
      <c r="G80" s="111"/>
      <c r="H80" s="110"/>
      <c r="I80" s="110"/>
      <c r="J80" s="110"/>
      <c r="L80" s="58"/>
      <c r="M80" s="58"/>
      <c r="N80" s="58"/>
      <c r="O80" s="58"/>
      <c r="P80" s="58"/>
      <c r="Q80" s="58"/>
      <c r="R80" s="58"/>
      <c r="S80" s="58"/>
      <c r="T80" s="58"/>
      <c r="U80" s="58"/>
      <c r="W80" s="58"/>
      <c r="X80" s="58"/>
      <c r="Y80" s="58"/>
      <c r="Z80" s="58"/>
      <c r="AA80" s="58"/>
      <c r="AB80" s="58"/>
      <c r="AC80" s="58"/>
      <c r="AD80" s="58"/>
    </row>
    <row r="81" spans="3:30" x14ac:dyDescent="0.25">
      <c r="C81" s="112"/>
      <c r="D81" s="110"/>
      <c r="E81" s="110"/>
      <c r="F81" s="110"/>
      <c r="G81" s="111"/>
      <c r="H81" s="110"/>
      <c r="I81" s="110"/>
      <c r="J81" s="110"/>
      <c r="L81" s="58"/>
      <c r="M81" s="58"/>
      <c r="N81" s="58"/>
      <c r="O81" s="58"/>
      <c r="P81" s="58"/>
      <c r="Q81" s="58"/>
      <c r="R81" s="58"/>
      <c r="S81" s="58"/>
      <c r="T81" s="58"/>
      <c r="U81" s="58"/>
      <c r="W81" s="58"/>
      <c r="X81" s="58"/>
      <c r="Y81" s="58"/>
      <c r="Z81" s="58"/>
      <c r="AA81" s="58"/>
      <c r="AB81" s="58"/>
      <c r="AC81" s="58"/>
      <c r="AD81" s="58"/>
    </row>
    <row r="82" spans="3:30" x14ac:dyDescent="0.25">
      <c r="C82" s="112"/>
      <c r="D82" s="110"/>
      <c r="E82" s="110"/>
      <c r="F82" s="110"/>
      <c r="G82" s="111"/>
      <c r="H82" s="110"/>
      <c r="I82" s="110"/>
      <c r="J82" s="110"/>
      <c r="L82" s="58"/>
      <c r="M82" s="58"/>
      <c r="N82" s="58"/>
      <c r="O82" s="58"/>
      <c r="P82" s="58"/>
      <c r="Q82" s="58"/>
      <c r="R82" s="58"/>
      <c r="S82" s="58"/>
      <c r="T82" s="58"/>
      <c r="U82" s="58"/>
      <c r="W82" s="58"/>
      <c r="X82" s="58"/>
      <c r="Y82" s="58"/>
      <c r="Z82" s="58"/>
      <c r="AA82" s="58"/>
      <c r="AB82" s="58"/>
      <c r="AC82" s="58"/>
      <c r="AD82" s="58"/>
    </row>
    <row r="83" spans="3:30" x14ac:dyDescent="0.25">
      <c r="C83" s="112"/>
      <c r="D83" s="110"/>
      <c r="E83" s="110"/>
      <c r="F83" s="110"/>
      <c r="G83" s="111"/>
      <c r="H83" s="110"/>
      <c r="I83" s="110"/>
      <c r="J83" s="110"/>
      <c r="L83" s="58"/>
      <c r="M83" s="58"/>
      <c r="N83" s="58"/>
      <c r="O83" s="58"/>
      <c r="P83" s="58"/>
      <c r="Q83" s="58"/>
      <c r="R83" s="58"/>
      <c r="S83" s="58"/>
      <c r="T83" s="58"/>
      <c r="U83" s="58"/>
      <c r="W83" s="58"/>
      <c r="X83" s="58"/>
      <c r="Y83" s="58"/>
      <c r="Z83" s="58"/>
      <c r="AA83" s="58"/>
      <c r="AB83" s="58"/>
      <c r="AC83" s="58"/>
      <c r="AD83" s="58"/>
    </row>
    <row r="84" spans="3:30" x14ac:dyDescent="0.25">
      <c r="C84" s="112"/>
      <c r="D84" s="110"/>
      <c r="E84" s="110"/>
      <c r="F84" s="110"/>
      <c r="G84" s="111"/>
      <c r="H84" s="110"/>
      <c r="I84" s="110"/>
      <c r="J84" s="110"/>
      <c r="L84" s="58"/>
      <c r="M84" s="58"/>
      <c r="N84" s="58"/>
      <c r="O84" s="58"/>
      <c r="P84" s="58"/>
      <c r="Q84" s="58"/>
      <c r="R84" s="58"/>
      <c r="S84" s="58"/>
      <c r="T84" s="58"/>
      <c r="U84" s="58"/>
      <c r="W84" s="58"/>
      <c r="X84" s="58"/>
      <c r="Y84" s="58"/>
      <c r="Z84" s="58"/>
      <c r="AA84" s="58"/>
      <c r="AB84" s="58"/>
      <c r="AC84" s="58"/>
      <c r="AD84" s="58"/>
    </row>
    <row r="85" spans="3:30" x14ac:dyDescent="0.25">
      <c r="C85" s="112"/>
      <c r="D85" s="110"/>
      <c r="E85" s="110"/>
      <c r="F85" s="110"/>
      <c r="G85" s="111"/>
      <c r="H85" s="110"/>
      <c r="I85" s="110"/>
      <c r="J85" s="110"/>
      <c r="L85" s="58"/>
      <c r="M85" s="58"/>
      <c r="N85" s="58"/>
      <c r="O85" s="58"/>
      <c r="P85" s="58"/>
      <c r="Q85" s="58"/>
      <c r="R85" s="58"/>
      <c r="S85" s="58"/>
      <c r="T85" s="58"/>
      <c r="U85" s="58"/>
      <c r="W85" s="58"/>
      <c r="X85" s="58"/>
      <c r="Y85" s="58"/>
      <c r="Z85" s="58"/>
      <c r="AA85" s="58"/>
      <c r="AB85" s="58"/>
      <c r="AC85" s="58"/>
      <c r="AD85" s="58"/>
    </row>
    <row r="86" spans="3:30" x14ac:dyDescent="0.25">
      <c r="C86" s="112"/>
      <c r="D86" s="110"/>
      <c r="E86" s="110"/>
      <c r="F86" s="110"/>
      <c r="G86" s="111"/>
      <c r="H86" s="110"/>
      <c r="I86" s="110"/>
      <c r="J86" s="110"/>
      <c r="L86" s="58"/>
      <c r="M86" s="58"/>
      <c r="N86" s="58"/>
      <c r="O86" s="58"/>
      <c r="P86" s="58"/>
      <c r="Q86" s="58"/>
      <c r="R86" s="58"/>
      <c r="S86" s="58"/>
      <c r="T86" s="58"/>
      <c r="U86" s="58"/>
      <c r="W86" s="58"/>
      <c r="X86" s="58"/>
      <c r="Y86" s="58"/>
      <c r="Z86" s="58"/>
      <c r="AA86" s="58"/>
      <c r="AB86" s="58"/>
      <c r="AC86" s="58"/>
      <c r="AD86" s="58"/>
    </row>
    <row r="87" spans="3:30" x14ac:dyDescent="0.25">
      <c r="C87" s="112"/>
      <c r="D87" s="110"/>
      <c r="E87" s="110"/>
      <c r="F87" s="110"/>
      <c r="G87" s="111"/>
      <c r="H87" s="110"/>
      <c r="I87" s="110"/>
      <c r="J87" s="110"/>
      <c r="L87" s="58"/>
      <c r="M87" s="58"/>
      <c r="N87" s="58"/>
      <c r="O87" s="58"/>
      <c r="P87" s="58"/>
      <c r="Q87" s="58"/>
      <c r="R87" s="58"/>
      <c r="S87" s="58"/>
      <c r="T87" s="58"/>
      <c r="U87" s="58"/>
      <c r="W87" s="58"/>
      <c r="X87" s="58"/>
      <c r="Y87" s="58"/>
      <c r="Z87" s="58"/>
      <c r="AA87" s="58"/>
      <c r="AB87" s="58"/>
      <c r="AC87" s="58"/>
      <c r="AD87" s="58"/>
    </row>
    <row r="88" spans="3:30" x14ac:dyDescent="0.25">
      <c r="C88" s="112"/>
      <c r="D88" s="110"/>
      <c r="E88" s="110"/>
      <c r="F88" s="110"/>
      <c r="G88" s="111"/>
      <c r="H88" s="110"/>
      <c r="I88" s="110"/>
      <c r="J88" s="110"/>
      <c r="L88" s="58"/>
      <c r="M88" s="58"/>
      <c r="N88" s="58"/>
      <c r="O88" s="58"/>
      <c r="P88" s="58"/>
      <c r="Q88" s="58"/>
      <c r="R88" s="58"/>
      <c r="S88" s="58"/>
      <c r="T88" s="58"/>
      <c r="U88" s="58"/>
      <c r="W88" s="58"/>
      <c r="X88" s="58"/>
      <c r="Y88" s="58"/>
      <c r="Z88" s="58"/>
      <c r="AA88" s="58"/>
      <c r="AB88" s="58"/>
      <c r="AC88" s="58"/>
      <c r="AD88" s="58"/>
    </row>
    <row r="89" spans="3:30" x14ac:dyDescent="0.25">
      <c r="C89" s="112"/>
      <c r="D89" s="110"/>
      <c r="E89" s="110"/>
      <c r="F89" s="110"/>
      <c r="G89" s="111"/>
      <c r="H89" s="110"/>
      <c r="I89" s="110"/>
      <c r="J89" s="110"/>
      <c r="L89" s="58"/>
      <c r="M89" s="58"/>
      <c r="N89" s="58"/>
      <c r="O89" s="58"/>
      <c r="P89" s="58"/>
      <c r="Q89" s="58"/>
      <c r="R89" s="58"/>
      <c r="S89" s="58"/>
      <c r="T89" s="58"/>
      <c r="U89" s="58"/>
      <c r="W89" s="58"/>
      <c r="X89" s="58"/>
      <c r="Y89" s="58"/>
      <c r="Z89" s="58"/>
      <c r="AA89" s="58"/>
      <c r="AB89" s="58"/>
      <c r="AC89" s="58"/>
      <c r="AD89" s="58"/>
    </row>
    <row r="90" spans="3:30" x14ac:dyDescent="0.25">
      <c r="C90" s="112"/>
      <c r="D90" s="110"/>
      <c r="E90" s="110"/>
      <c r="F90" s="110"/>
      <c r="G90" s="111"/>
      <c r="H90" s="110"/>
      <c r="I90" s="110"/>
      <c r="J90" s="110"/>
      <c r="L90" s="58"/>
      <c r="M90" s="58"/>
      <c r="N90" s="58"/>
      <c r="O90" s="58"/>
      <c r="P90" s="58"/>
      <c r="Q90" s="58"/>
      <c r="R90" s="58"/>
      <c r="S90" s="58"/>
      <c r="T90" s="58"/>
      <c r="U90" s="58"/>
      <c r="W90" s="58"/>
      <c r="X90" s="58"/>
      <c r="Y90" s="58"/>
      <c r="Z90" s="58"/>
      <c r="AA90" s="58"/>
      <c r="AB90" s="58"/>
      <c r="AC90" s="58"/>
      <c r="AD90" s="58"/>
    </row>
    <row r="91" spans="3:30" x14ac:dyDescent="0.25">
      <c r="C91" s="112"/>
      <c r="D91" s="110"/>
      <c r="E91" s="110"/>
      <c r="F91" s="110"/>
      <c r="G91" s="111"/>
      <c r="H91" s="110"/>
      <c r="I91" s="110"/>
      <c r="J91" s="110"/>
      <c r="L91" s="58"/>
      <c r="M91" s="58"/>
      <c r="N91" s="58"/>
      <c r="O91" s="58"/>
      <c r="P91" s="58"/>
      <c r="Q91" s="58"/>
      <c r="R91" s="58"/>
      <c r="S91" s="58"/>
      <c r="T91" s="58"/>
      <c r="U91" s="58"/>
      <c r="W91" s="58"/>
      <c r="X91" s="58"/>
      <c r="Y91" s="58"/>
      <c r="Z91" s="58"/>
      <c r="AA91" s="58"/>
      <c r="AB91" s="58"/>
      <c r="AC91" s="58"/>
      <c r="AD91" s="58"/>
    </row>
    <row r="92" spans="3:30" x14ac:dyDescent="0.25">
      <c r="C92" s="112"/>
      <c r="D92" s="110"/>
      <c r="E92" s="110"/>
      <c r="F92" s="110"/>
      <c r="G92" s="111"/>
      <c r="H92" s="110"/>
      <c r="I92" s="110"/>
      <c r="J92" s="110"/>
      <c r="L92" s="58"/>
      <c r="M92" s="58"/>
      <c r="N92" s="58"/>
      <c r="O92" s="58"/>
      <c r="P92" s="58"/>
      <c r="Q92" s="58"/>
      <c r="R92" s="58"/>
      <c r="S92" s="58"/>
      <c r="T92" s="58"/>
      <c r="U92" s="58"/>
      <c r="W92" s="58"/>
      <c r="X92" s="58"/>
      <c r="Y92" s="58"/>
      <c r="Z92" s="58"/>
      <c r="AA92" s="58"/>
      <c r="AB92" s="58"/>
      <c r="AC92" s="58"/>
      <c r="AD92" s="58"/>
    </row>
    <row r="93" spans="3:30" x14ac:dyDescent="0.25">
      <c r="C93" s="112"/>
      <c r="D93" s="110"/>
      <c r="E93" s="110"/>
      <c r="F93" s="110"/>
      <c r="G93" s="111"/>
      <c r="H93" s="110"/>
      <c r="I93" s="110"/>
      <c r="J93" s="110"/>
      <c r="L93" s="58"/>
      <c r="M93" s="58"/>
      <c r="N93" s="58"/>
      <c r="O93" s="58"/>
      <c r="P93" s="58"/>
      <c r="Q93" s="58"/>
      <c r="R93" s="58"/>
      <c r="S93" s="58"/>
      <c r="T93" s="58"/>
      <c r="U93" s="58"/>
      <c r="W93" s="58"/>
      <c r="X93" s="58"/>
      <c r="Y93" s="58"/>
      <c r="Z93" s="58"/>
      <c r="AA93" s="58"/>
      <c r="AB93" s="58"/>
      <c r="AC93" s="58"/>
      <c r="AD93" s="58"/>
    </row>
    <row r="94" spans="3:30" x14ac:dyDescent="0.25">
      <c r="C94" s="112"/>
      <c r="D94" s="110"/>
      <c r="E94" s="110"/>
      <c r="F94" s="110"/>
      <c r="G94" s="111"/>
      <c r="H94" s="110"/>
      <c r="I94" s="110"/>
      <c r="J94" s="110"/>
      <c r="L94" s="58"/>
      <c r="M94" s="58"/>
      <c r="N94" s="58"/>
      <c r="O94" s="58"/>
      <c r="P94" s="58"/>
      <c r="Q94" s="58"/>
      <c r="R94" s="58"/>
      <c r="S94" s="58"/>
      <c r="T94" s="58"/>
      <c r="U94" s="58"/>
      <c r="W94" s="58"/>
      <c r="X94" s="58"/>
      <c r="Y94" s="58"/>
      <c r="Z94" s="58"/>
      <c r="AA94" s="58"/>
      <c r="AB94" s="58"/>
      <c r="AC94" s="58"/>
      <c r="AD94" s="58"/>
    </row>
    <row r="95" spans="3:30" x14ac:dyDescent="0.25">
      <c r="C95" s="112"/>
      <c r="D95" s="110"/>
      <c r="E95" s="110"/>
      <c r="F95" s="110"/>
      <c r="G95" s="111"/>
      <c r="H95" s="110"/>
      <c r="I95" s="110"/>
      <c r="J95" s="110"/>
      <c r="L95" s="58"/>
      <c r="M95" s="58"/>
      <c r="N95" s="58"/>
      <c r="O95" s="58"/>
      <c r="P95" s="58"/>
      <c r="Q95" s="58"/>
      <c r="R95" s="58"/>
      <c r="S95" s="58"/>
      <c r="T95" s="58"/>
      <c r="U95" s="58"/>
      <c r="W95" s="58"/>
      <c r="X95" s="58"/>
      <c r="Y95" s="58"/>
      <c r="Z95" s="58"/>
      <c r="AA95" s="58"/>
      <c r="AB95" s="58"/>
      <c r="AC95" s="58"/>
      <c r="AD95" s="58"/>
    </row>
    <row r="96" spans="3:30" x14ac:dyDescent="0.25">
      <c r="C96" s="112"/>
      <c r="D96" s="110"/>
      <c r="E96" s="110"/>
      <c r="F96" s="110"/>
      <c r="G96" s="111"/>
      <c r="H96" s="110"/>
      <c r="I96" s="110"/>
      <c r="J96" s="110"/>
      <c r="L96" s="58"/>
      <c r="M96" s="58"/>
      <c r="N96" s="58"/>
      <c r="O96" s="58"/>
      <c r="P96" s="58"/>
      <c r="Q96" s="58"/>
      <c r="R96" s="58"/>
      <c r="S96" s="58"/>
      <c r="T96" s="58"/>
      <c r="U96" s="58"/>
      <c r="W96" s="58"/>
      <c r="X96" s="58"/>
      <c r="Y96" s="58"/>
      <c r="Z96" s="58"/>
      <c r="AA96" s="58"/>
      <c r="AB96" s="58"/>
      <c r="AC96" s="58"/>
      <c r="AD96" s="58"/>
    </row>
    <row r="97" spans="3:30" x14ac:dyDescent="0.25">
      <c r="C97" s="112"/>
      <c r="D97" s="110"/>
      <c r="E97" s="110"/>
      <c r="F97" s="110"/>
      <c r="G97" s="111"/>
      <c r="H97" s="110"/>
      <c r="I97" s="110"/>
      <c r="J97" s="110"/>
      <c r="L97" s="58"/>
      <c r="M97" s="58"/>
      <c r="N97" s="58"/>
      <c r="O97" s="58"/>
      <c r="P97" s="58"/>
      <c r="Q97" s="58"/>
      <c r="R97" s="58"/>
      <c r="S97" s="58"/>
      <c r="T97" s="58"/>
      <c r="U97" s="58"/>
      <c r="W97" s="58"/>
      <c r="X97" s="58"/>
      <c r="Y97" s="58"/>
      <c r="Z97" s="58"/>
      <c r="AA97" s="58"/>
      <c r="AB97" s="58"/>
      <c r="AC97" s="58"/>
      <c r="AD97" s="58"/>
    </row>
    <row r="98" spans="3:30" x14ac:dyDescent="0.25">
      <c r="C98" s="112"/>
      <c r="D98" s="110"/>
      <c r="E98" s="110"/>
      <c r="F98" s="110"/>
      <c r="G98" s="111"/>
      <c r="H98" s="110"/>
      <c r="I98" s="110"/>
      <c r="J98" s="110"/>
      <c r="L98" s="58"/>
      <c r="M98" s="58"/>
      <c r="N98" s="58"/>
      <c r="O98" s="58"/>
      <c r="P98" s="58"/>
      <c r="Q98" s="58"/>
      <c r="R98" s="58"/>
      <c r="S98" s="58"/>
      <c r="T98" s="58"/>
      <c r="U98" s="58"/>
      <c r="W98" s="58"/>
      <c r="X98" s="58"/>
      <c r="Y98" s="58"/>
      <c r="Z98" s="58"/>
      <c r="AA98" s="58"/>
      <c r="AB98" s="58"/>
      <c r="AC98" s="58"/>
      <c r="AD98" s="58"/>
    </row>
    <row r="99" spans="3:30" x14ac:dyDescent="0.25">
      <c r="C99" s="112"/>
      <c r="D99" s="110"/>
      <c r="E99" s="110"/>
      <c r="F99" s="110"/>
      <c r="G99" s="111"/>
      <c r="H99" s="110"/>
      <c r="I99" s="110"/>
      <c r="J99" s="110"/>
      <c r="L99" s="58"/>
      <c r="M99" s="58"/>
      <c r="N99" s="58"/>
      <c r="O99" s="58"/>
      <c r="P99" s="58"/>
      <c r="Q99" s="58"/>
      <c r="R99" s="58"/>
      <c r="S99" s="58"/>
      <c r="T99" s="58"/>
      <c r="U99" s="58"/>
      <c r="W99" s="58"/>
      <c r="X99" s="58"/>
      <c r="Y99" s="58"/>
      <c r="Z99" s="58"/>
      <c r="AA99" s="58"/>
      <c r="AB99" s="58"/>
      <c r="AC99" s="58"/>
      <c r="AD99" s="58"/>
    </row>
    <row r="100" spans="3:30" x14ac:dyDescent="0.25">
      <c r="C100" s="112"/>
      <c r="D100" s="110"/>
      <c r="E100" s="110"/>
      <c r="F100" s="110"/>
      <c r="G100" s="111"/>
      <c r="H100" s="110"/>
      <c r="I100" s="110"/>
      <c r="J100" s="110"/>
      <c r="L100" s="58"/>
      <c r="M100" s="58"/>
      <c r="N100" s="58"/>
      <c r="O100" s="58"/>
      <c r="P100" s="58"/>
      <c r="Q100" s="58"/>
      <c r="R100" s="58"/>
      <c r="S100" s="58"/>
      <c r="T100" s="58"/>
      <c r="U100" s="58"/>
      <c r="W100" s="58"/>
      <c r="X100" s="58"/>
      <c r="Y100" s="58"/>
      <c r="Z100" s="58"/>
      <c r="AA100" s="58"/>
      <c r="AB100" s="58"/>
      <c r="AC100" s="58"/>
      <c r="AD100" s="58"/>
    </row>
    <row r="101" spans="3:30" x14ac:dyDescent="0.25">
      <c r="C101" s="112"/>
      <c r="D101" s="110"/>
      <c r="E101" s="110"/>
      <c r="F101" s="110"/>
      <c r="G101" s="111"/>
      <c r="H101" s="110"/>
      <c r="I101" s="110"/>
      <c r="J101" s="110"/>
      <c r="L101" s="58"/>
      <c r="M101" s="58"/>
      <c r="N101" s="58"/>
      <c r="O101" s="58"/>
      <c r="P101" s="58"/>
      <c r="Q101" s="58"/>
      <c r="R101" s="58"/>
      <c r="S101" s="58"/>
      <c r="T101" s="58"/>
      <c r="U101" s="58"/>
      <c r="W101" s="58"/>
      <c r="X101" s="58"/>
      <c r="Y101" s="58"/>
      <c r="Z101" s="58"/>
      <c r="AA101" s="58"/>
      <c r="AB101" s="58"/>
      <c r="AC101" s="58"/>
      <c r="AD101" s="58"/>
    </row>
    <row r="102" spans="3:30" x14ac:dyDescent="0.25">
      <c r="C102" s="112"/>
      <c r="D102" s="110"/>
      <c r="E102" s="110"/>
      <c r="F102" s="110"/>
      <c r="G102" s="111"/>
      <c r="H102" s="110"/>
      <c r="I102" s="110"/>
      <c r="J102" s="110"/>
      <c r="L102" s="58"/>
      <c r="M102" s="58"/>
      <c r="N102" s="58"/>
      <c r="O102" s="58"/>
      <c r="P102" s="58"/>
      <c r="Q102" s="58"/>
      <c r="R102" s="58"/>
      <c r="S102" s="58"/>
      <c r="T102" s="58"/>
      <c r="U102" s="58"/>
      <c r="W102" s="58"/>
      <c r="X102" s="58"/>
      <c r="Y102" s="58"/>
      <c r="Z102" s="58"/>
      <c r="AA102" s="58"/>
      <c r="AB102" s="58"/>
      <c r="AC102" s="58"/>
      <c r="AD102" s="58"/>
    </row>
    <row r="103" spans="3:30" x14ac:dyDescent="0.25">
      <c r="C103" s="112"/>
      <c r="D103" s="110"/>
      <c r="E103" s="110"/>
      <c r="F103" s="110"/>
      <c r="G103" s="111"/>
      <c r="H103" s="110"/>
      <c r="I103" s="110"/>
      <c r="J103" s="110"/>
      <c r="L103" s="58"/>
      <c r="M103" s="58"/>
      <c r="N103" s="58"/>
      <c r="O103" s="58"/>
      <c r="P103" s="58"/>
      <c r="Q103" s="58"/>
      <c r="R103" s="58"/>
      <c r="S103" s="58"/>
      <c r="T103" s="58"/>
      <c r="U103" s="58"/>
      <c r="W103" s="58"/>
      <c r="X103" s="58"/>
      <c r="Y103" s="58"/>
      <c r="Z103" s="58"/>
      <c r="AA103" s="58"/>
      <c r="AB103" s="58"/>
      <c r="AC103" s="58"/>
      <c r="AD103" s="58"/>
    </row>
    <row r="104" spans="3:30" x14ac:dyDescent="0.25">
      <c r="C104" s="112"/>
      <c r="D104" s="110"/>
      <c r="E104" s="110"/>
      <c r="F104" s="110"/>
      <c r="G104" s="111"/>
      <c r="H104" s="110"/>
      <c r="I104" s="110"/>
      <c r="J104" s="110"/>
      <c r="L104" s="58"/>
      <c r="M104" s="58"/>
      <c r="N104" s="58"/>
      <c r="O104" s="58"/>
      <c r="P104" s="58"/>
      <c r="Q104" s="58"/>
      <c r="R104" s="58"/>
      <c r="S104" s="58"/>
      <c r="T104" s="58"/>
      <c r="U104" s="58"/>
      <c r="W104" s="58"/>
      <c r="X104" s="58"/>
      <c r="Y104" s="58"/>
      <c r="Z104" s="58"/>
      <c r="AA104" s="58"/>
      <c r="AB104" s="58"/>
      <c r="AC104" s="58"/>
      <c r="AD104" s="58"/>
    </row>
    <row r="105" spans="3:30" x14ac:dyDescent="0.25">
      <c r="C105" s="112"/>
      <c r="D105" s="110"/>
      <c r="E105" s="110"/>
      <c r="F105" s="110"/>
      <c r="G105" s="111"/>
      <c r="H105" s="110"/>
      <c r="I105" s="110"/>
      <c r="J105" s="110"/>
      <c r="L105" s="58"/>
      <c r="M105" s="58"/>
      <c r="N105" s="58"/>
      <c r="O105" s="58"/>
      <c r="P105" s="58"/>
      <c r="Q105" s="58"/>
      <c r="R105" s="58"/>
      <c r="S105" s="58"/>
      <c r="T105" s="58"/>
      <c r="U105" s="58"/>
      <c r="W105" s="58"/>
      <c r="X105" s="58"/>
      <c r="Y105" s="58"/>
      <c r="Z105" s="58"/>
      <c r="AA105" s="58"/>
      <c r="AB105" s="58"/>
      <c r="AC105" s="58"/>
      <c r="AD105" s="58"/>
    </row>
    <row r="106" spans="3:30" x14ac:dyDescent="0.25">
      <c r="C106" s="112"/>
      <c r="D106" s="110"/>
      <c r="E106" s="110"/>
      <c r="F106" s="110"/>
      <c r="G106" s="111"/>
      <c r="H106" s="110"/>
      <c r="I106" s="110"/>
      <c r="J106" s="110"/>
      <c r="L106" s="58"/>
      <c r="M106" s="58"/>
      <c r="N106" s="58"/>
      <c r="O106" s="58"/>
      <c r="P106" s="58"/>
      <c r="Q106" s="58"/>
      <c r="R106" s="58"/>
      <c r="S106" s="58"/>
      <c r="T106" s="58"/>
      <c r="U106" s="58"/>
      <c r="W106" s="58"/>
      <c r="X106" s="58"/>
      <c r="Y106" s="58"/>
      <c r="Z106" s="58"/>
      <c r="AA106" s="58"/>
      <c r="AB106" s="58"/>
      <c r="AC106" s="58"/>
      <c r="AD106" s="58"/>
    </row>
    <row r="107" spans="3:30" x14ac:dyDescent="0.25">
      <c r="C107" s="112"/>
      <c r="D107" s="110"/>
      <c r="E107" s="110"/>
      <c r="F107" s="110"/>
      <c r="G107" s="111"/>
      <c r="H107" s="110"/>
      <c r="I107" s="110"/>
      <c r="J107" s="110"/>
      <c r="L107" s="58"/>
      <c r="M107" s="58"/>
      <c r="N107" s="58"/>
      <c r="O107" s="58"/>
      <c r="P107" s="58"/>
      <c r="Q107" s="58"/>
      <c r="R107" s="58"/>
      <c r="S107" s="58"/>
      <c r="T107" s="58"/>
      <c r="U107" s="58"/>
      <c r="W107" s="58"/>
      <c r="X107" s="58"/>
      <c r="Y107" s="58"/>
      <c r="Z107" s="58"/>
      <c r="AA107" s="58"/>
      <c r="AB107" s="58"/>
      <c r="AC107" s="58"/>
      <c r="AD107" s="58"/>
    </row>
    <row r="108" spans="3:30" x14ac:dyDescent="0.25">
      <c r="C108" s="112"/>
      <c r="D108" s="110"/>
      <c r="E108" s="110"/>
      <c r="F108" s="110"/>
      <c r="G108" s="111"/>
      <c r="H108" s="110"/>
      <c r="I108" s="110"/>
      <c r="J108" s="110"/>
      <c r="L108" s="58"/>
      <c r="M108" s="58"/>
      <c r="N108" s="58"/>
      <c r="O108" s="58"/>
      <c r="P108" s="58"/>
      <c r="Q108" s="58"/>
      <c r="R108" s="58"/>
      <c r="S108" s="58"/>
      <c r="T108" s="58"/>
      <c r="U108" s="58"/>
      <c r="W108" s="58"/>
      <c r="X108" s="58"/>
      <c r="Y108" s="58"/>
      <c r="Z108" s="58"/>
      <c r="AA108" s="58"/>
      <c r="AB108" s="58"/>
      <c r="AC108" s="58"/>
      <c r="AD108" s="58"/>
    </row>
    <row r="109" spans="3:30" x14ac:dyDescent="0.25">
      <c r="C109" s="112"/>
      <c r="D109" s="110"/>
      <c r="E109" s="110"/>
      <c r="F109" s="110"/>
      <c r="G109" s="111"/>
      <c r="H109" s="110"/>
      <c r="I109" s="110"/>
      <c r="J109" s="110"/>
      <c r="L109" s="58"/>
      <c r="M109" s="58"/>
      <c r="N109" s="58"/>
      <c r="O109" s="58"/>
      <c r="P109" s="58"/>
      <c r="Q109" s="58"/>
      <c r="R109" s="58"/>
      <c r="S109" s="58"/>
      <c r="T109" s="58"/>
      <c r="U109" s="58"/>
      <c r="W109" s="58"/>
      <c r="X109" s="58"/>
      <c r="Y109" s="58"/>
      <c r="Z109" s="58"/>
      <c r="AA109" s="58"/>
      <c r="AB109" s="58"/>
      <c r="AC109" s="58"/>
      <c r="AD109" s="58"/>
    </row>
    <row r="110" spans="3:30" x14ac:dyDescent="0.25">
      <c r="C110" s="112"/>
      <c r="D110" s="110"/>
      <c r="E110" s="110"/>
      <c r="F110" s="110"/>
      <c r="G110" s="111"/>
      <c r="H110" s="110"/>
      <c r="I110" s="110"/>
      <c r="J110" s="110"/>
      <c r="L110" s="58"/>
      <c r="M110" s="58"/>
      <c r="N110" s="58"/>
      <c r="O110" s="58"/>
      <c r="P110" s="58"/>
      <c r="Q110" s="58"/>
      <c r="R110" s="58"/>
      <c r="S110" s="58"/>
      <c r="T110" s="58"/>
      <c r="U110" s="58"/>
      <c r="W110" s="58"/>
      <c r="X110" s="58"/>
      <c r="Y110" s="58"/>
      <c r="Z110" s="58"/>
      <c r="AA110" s="58"/>
      <c r="AB110" s="58"/>
      <c r="AC110" s="58"/>
      <c r="AD110" s="58"/>
    </row>
    <row r="111" spans="3:30" x14ac:dyDescent="0.25">
      <c r="C111" s="112"/>
      <c r="D111" s="110"/>
      <c r="E111" s="110"/>
      <c r="F111" s="110"/>
      <c r="G111" s="111"/>
      <c r="H111" s="110"/>
      <c r="I111" s="110"/>
      <c r="J111" s="110"/>
      <c r="L111" s="58"/>
      <c r="M111" s="58"/>
      <c r="N111" s="58"/>
      <c r="O111" s="58"/>
      <c r="P111" s="58"/>
      <c r="Q111" s="58"/>
      <c r="R111" s="58"/>
      <c r="S111" s="58"/>
      <c r="T111" s="58"/>
      <c r="U111" s="58"/>
      <c r="W111" s="58"/>
      <c r="X111" s="58"/>
      <c r="Y111" s="58"/>
      <c r="Z111" s="58"/>
      <c r="AA111" s="58"/>
      <c r="AB111" s="58"/>
      <c r="AC111" s="58"/>
      <c r="AD111" s="58"/>
    </row>
    <row r="112" spans="3:30" x14ac:dyDescent="0.25">
      <c r="C112" s="112"/>
      <c r="D112" s="110"/>
      <c r="E112" s="110"/>
      <c r="F112" s="110"/>
      <c r="G112" s="111"/>
      <c r="H112" s="110"/>
      <c r="I112" s="110"/>
      <c r="J112" s="110"/>
      <c r="L112" s="58"/>
      <c r="M112" s="58"/>
      <c r="N112" s="58"/>
      <c r="O112" s="58"/>
      <c r="P112" s="58"/>
      <c r="Q112" s="58"/>
      <c r="R112" s="58"/>
      <c r="S112" s="58"/>
      <c r="T112" s="58"/>
      <c r="U112" s="58"/>
      <c r="W112" s="58"/>
      <c r="X112" s="58"/>
      <c r="Y112" s="58"/>
      <c r="Z112" s="58"/>
      <c r="AA112" s="58"/>
      <c r="AB112" s="58"/>
      <c r="AC112" s="58"/>
      <c r="AD112" s="58"/>
    </row>
    <row r="113" spans="3:30" x14ac:dyDescent="0.25">
      <c r="C113" s="112"/>
      <c r="D113" s="110"/>
      <c r="E113" s="110"/>
      <c r="F113" s="110"/>
      <c r="G113" s="111"/>
      <c r="H113" s="110"/>
      <c r="I113" s="110"/>
      <c r="J113" s="110"/>
      <c r="L113" s="58"/>
      <c r="M113" s="58"/>
      <c r="N113" s="58"/>
      <c r="O113" s="58"/>
      <c r="P113" s="58"/>
      <c r="Q113" s="58"/>
      <c r="R113" s="58"/>
      <c r="S113" s="58"/>
      <c r="T113" s="58"/>
      <c r="U113" s="58"/>
      <c r="W113" s="58"/>
      <c r="X113" s="58"/>
      <c r="Y113" s="58"/>
      <c r="Z113" s="58"/>
      <c r="AA113" s="58"/>
      <c r="AB113" s="58"/>
      <c r="AC113" s="58"/>
      <c r="AD113" s="58"/>
    </row>
    <row r="114" spans="3:30" x14ac:dyDescent="0.25">
      <c r="C114" s="112"/>
      <c r="D114" s="110"/>
      <c r="E114" s="110"/>
      <c r="F114" s="110"/>
      <c r="G114" s="111"/>
      <c r="H114" s="110"/>
      <c r="I114" s="110"/>
      <c r="J114" s="110"/>
      <c r="L114" s="58"/>
      <c r="M114" s="58"/>
      <c r="N114" s="58"/>
      <c r="O114" s="58"/>
      <c r="P114" s="58"/>
      <c r="Q114" s="58"/>
      <c r="R114" s="58"/>
      <c r="S114" s="58"/>
      <c r="T114" s="58"/>
      <c r="U114" s="58"/>
      <c r="W114" s="58"/>
      <c r="X114" s="58"/>
      <c r="Y114" s="58"/>
      <c r="Z114" s="58"/>
      <c r="AA114" s="58"/>
      <c r="AB114" s="58"/>
      <c r="AC114" s="58"/>
      <c r="AD114" s="58"/>
    </row>
    <row r="115" spans="3:30" x14ac:dyDescent="0.25">
      <c r="C115" s="112"/>
      <c r="D115" s="110"/>
      <c r="E115" s="110"/>
      <c r="F115" s="110"/>
      <c r="G115" s="111"/>
      <c r="H115" s="110"/>
      <c r="I115" s="110"/>
      <c r="J115" s="110"/>
      <c r="L115" s="58"/>
      <c r="M115" s="58"/>
      <c r="N115" s="58"/>
      <c r="O115" s="58"/>
      <c r="P115" s="58"/>
      <c r="Q115" s="58"/>
      <c r="R115" s="58"/>
      <c r="S115" s="58"/>
      <c r="T115" s="58"/>
      <c r="U115" s="58"/>
      <c r="W115" s="58"/>
      <c r="X115" s="58"/>
      <c r="Y115" s="58"/>
      <c r="Z115" s="58"/>
      <c r="AA115" s="58"/>
      <c r="AB115" s="58"/>
      <c r="AC115" s="58"/>
      <c r="AD115" s="58"/>
    </row>
    <row r="116" spans="3:30" x14ac:dyDescent="0.25">
      <c r="C116" s="112"/>
      <c r="D116" s="110"/>
      <c r="E116" s="110"/>
      <c r="F116" s="110"/>
      <c r="G116" s="111"/>
      <c r="H116" s="110"/>
      <c r="I116" s="110"/>
      <c r="J116" s="110"/>
      <c r="L116" s="58"/>
      <c r="M116" s="58"/>
      <c r="N116" s="58"/>
      <c r="O116" s="58"/>
      <c r="P116" s="58"/>
      <c r="Q116" s="58"/>
      <c r="R116" s="58"/>
      <c r="S116" s="58"/>
      <c r="T116" s="58"/>
      <c r="U116" s="58"/>
      <c r="W116" s="58"/>
      <c r="X116" s="58"/>
      <c r="Y116" s="58"/>
      <c r="Z116" s="58"/>
      <c r="AA116" s="58"/>
      <c r="AB116" s="58"/>
      <c r="AC116" s="58"/>
      <c r="AD116" s="58"/>
    </row>
    <row r="117" spans="3:30" x14ac:dyDescent="0.25">
      <c r="C117" s="112"/>
      <c r="D117" s="110"/>
      <c r="E117" s="110"/>
      <c r="F117" s="110"/>
      <c r="G117" s="111"/>
      <c r="H117" s="110"/>
      <c r="I117" s="110"/>
      <c r="J117" s="110"/>
      <c r="L117" s="58"/>
      <c r="M117" s="58"/>
      <c r="N117" s="58"/>
      <c r="O117" s="58"/>
      <c r="P117" s="58"/>
      <c r="Q117" s="58"/>
      <c r="R117" s="58"/>
      <c r="S117" s="58"/>
      <c r="T117" s="58"/>
      <c r="U117" s="58"/>
      <c r="W117" s="58"/>
      <c r="X117" s="58"/>
      <c r="Y117" s="58"/>
      <c r="Z117" s="58"/>
      <c r="AA117" s="58"/>
      <c r="AB117" s="58"/>
      <c r="AC117" s="58"/>
      <c r="AD117" s="58"/>
    </row>
    <row r="118" spans="3:30" x14ac:dyDescent="0.25">
      <c r="C118" s="112"/>
      <c r="D118" s="110"/>
      <c r="E118" s="110"/>
      <c r="F118" s="110"/>
      <c r="G118" s="111"/>
      <c r="H118" s="110"/>
      <c r="I118" s="110"/>
      <c r="J118" s="110"/>
      <c r="L118" s="58"/>
      <c r="M118" s="58"/>
      <c r="N118" s="58"/>
      <c r="O118" s="58"/>
      <c r="P118" s="58"/>
      <c r="Q118" s="58"/>
      <c r="R118" s="58"/>
      <c r="S118" s="58"/>
      <c r="T118" s="58"/>
      <c r="U118" s="58"/>
      <c r="W118" s="58"/>
      <c r="X118" s="58"/>
      <c r="Y118" s="58"/>
      <c r="Z118" s="58"/>
      <c r="AA118" s="58"/>
      <c r="AB118" s="58"/>
      <c r="AC118" s="58"/>
      <c r="AD118" s="58"/>
    </row>
    <row r="119" spans="3:30" x14ac:dyDescent="0.25">
      <c r="C119" s="112"/>
      <c r="D119" s="110"/>
      <c r="E119" s="110"/>
      <c r="F119" s="110"/>
      <c r="G119" s="111"/>
      <c r="H119" s="110"/>
      <c r="I119" s="110"/>
      <c r="J119" s="110"/>
      <c r="L119" s="58"/>
      <c r="M119" s="58"/>
      <c r="N119" s="58"/>
      <c r="O119" s="58"/>
      <c r="P119" s="58"/>
      <c r="Q119" s="58"/>
      <c r="R119" s="58"/>
      <c r="S119" s="58"/>
      <c r="T119" s="58"/>
      <c r="U119" s="58"/>
      <c r="W119" s="58"/>
      <c r="X119" s="58"/>
      <c r="Y119" s="58"/>
      <c r="Z119" s="58"/>
      <c r="AA119" s="58"/>
      <c r="AB119" s="58"/>
      <c r="AC119" s="58"/>
      <c r="AD119" s="58"/>
    </row>
    <row r="120" spans="3:30" x14ac:dyDescent="0.25">
      <c r="C120" s="112"/>
      <c r="D120" s="110"/>
      <c r="E120" s="110"/>
      <c r="F120" s="110"/>
      <c r="G120" s="111"/>
      <c r="H120" s="110"/>
      <c r="I120" s="110"/>
      <c r="J120" s="110"/>
      <c r="L120" s="58"/>
      <c r="M120" s="58"/>
      <c r="N120" s="58"/>
      <c r="O120" s="58"/>
      <c r="P120" s="58"/>
      <c r="Q120" s="58"/>
      <c r="R120" s="58"/>
      <c r="S120" s="58"/>
      <c r="T120" s="58"/>
      <c r="U120" s="58"/>
      <c r="W120" s="58"/>
      <c r="X120" s="58"/>
      <c r="Y120" s="58"/>
      <c r="Z120" s="58"/>
      <c r="AA120" s="58"/>
      <c r="AB120" s="58"/>
      <c r="AC120" s="58"/>
      <c r="AD120" s="58"/>
    </row>
    <row r="121" spans="3:30" x14ac:dyDescent="0.25">
      <c r="C121" s="112"/>
      <c r="D121" s="110"/>
      <c r="E121" s="110"/>
      <c r="F121" s="110"/>
      <c r="G121" s="111"/>
      <c r="H121" s="110"/>
      <c r="I121" s="110"/>
      <c r="J121" s="110"/>
      <c r="L121" s="58"/>
      <c r="M121" s="58"/>
      <c r="N121" s="58"/>
      <c r="O121" s="58"/>
      <c r="P121" s="58"/>
      <c r="Q121" s="58"/>
      <c r="R121" s="58"/>
      <c r="S121" s="58"/>
      <c r="T121" s="58"/>
      <c r="U121" s="58"/>
      <c r="W121" s="58"/>
      <c r="X121" s="58"/>
      <c r="Y121" s="58"/>
      <c r="Z121" s="58"/>
      <c r="AA121" s="58"/>
      <c r="AB121" s="58"/>
      <c r="AC121" s="58"/>
      <c r="AD121" s="58"/>
    </row>
    <row r="122" spans="3:30" x14ac:dyDescent="0.25">
      <c r="C122" s="112"/>
      <c r="D122" s="110"/>
      <c r="E122" s="110"/>
      <c r="F122" s="110"/>
      <c r="G122" s="111"/>
      <c r="H122" s="110"/>
      <c r="I122" s="110"/>
      <c r="J122" s="110"/>
      <c r="L122" s="58"/>
      <c r="M122" s="58"/>
      <c r="N122" s="58"/>
      <c r="O122" s="58"/>
      <c r="P122" s="58"/>
      <c r="Q122" s="58"/>
      <c r="R122" s="58"/>
      <c r="S122" s="58"/>
      <c r="T122" s="58"/>
      <c r="U122" s="58"/>
      <c r="W122" s="58"/>
      <c r="X122" s="58"/>
      <c r="Y122" s="58"/>
      <c r="Z122" s="58"/>
      <c r="AA122" s="58"/>
      <c r="AB122" s="58"/>
      <c r="AC122" s="58"/>
      <c r="AD122" s="58"/>
    </row>
    <row r="123" spans="3:30" x14ac:dyDescent="0.25">
      <c r="C123" s="112"/>
      <c r="D123" s="110"/>
      <c r="E123" s="110"/>
      <c r="F123" s="110"/>
      <c r="G123" s="111"/>
      <c r="H123" s="110"/>
      <c r="I123" s="110"/>
      <c r="J123" s="110"/>
      <c r="L123" s="58"/>
      <c r="M123" s="58"/>
      <c r="N123" s="58"/>
      <c r="O123" s="58"/>
      <c r="P123" s="58"/>
      <c r="Q123" s="58"/>
      <c r="R123" s="58"/>
      <c r="S123" s="58"/>
      <c r="T123" s="58"/>
      <c r="U123" s="58"/>
      <c r="W123" s="58"/>
      <c r="X123" s="58"/>
      <c r="Y123" s="58"/>
      <c r="Z123" s="58"/>
      <c r="AA123" s="58"/>
      <c r="AB123" s="58"/>
      <c r="AC123" s="58"/>
      <c r="AD123" s="58"/>
    </row>
    <row r="124" spans="3:30" x14ac:dyDescent="0.25">
      <c r="C124" s="112"/>
      <c r="D124" s="110"/>
      <c r="E124" s="110"/>
      <c r="F124" s="110"/>
      <c r="G124" s="111"/>
      <c r="H124" s="110"/>
      <c r="I124" s="110"/>
      <c r="J124" s="110"/>
      <c r="L124" s="58"/>
      <c r="M124" s="58"/>
      <c r="N124" s="58"/>
      <c r="O124" s="58"/>
      <c r="P124" s="58"/>
      <c r="Q124" s="58"/>
      <c r="R124" s="58"/>
      <c r="S124" s="58"/>
      <c r="T124" s="58"/>
      <c r="U124" s="58"/>
      <c r="W124" s="58"/>
      <c r="X124" s="58"/>
      <c r="Y124" s="58"/>
      <c r="Z124" s="58"/>
      <c r="AA124" s="58"/>
      <c r="AB124" s="58"/>
      <c r="AC124" s="58"/>
      <c r="AD124" s="58"/>
    </row>
    <row r="125" spans="3:30" x14ac:dyDescent="0.25">
      <c r="C125" s="112"/>
      <c r="D125" s="110"/>
      <c r="E125" s="110"/>
      <c r="F125" s="110"/>
      <c r="G125" s="111"/>
      <c r="H125" s="110"/>
      <c r="I125" s="110"/>
      <c r="J125" s="110"/>
      <c r="L125" s="58"/>
      <c r="M125" s="58"/>
      <c r="N125" s="58"/>
      <c r="O125" s="58"/>
      <c r="P125" s="58"/>
      <c r="Q125" s="58"/>
      <c r="R125" s="58"/>
      <c r="S125" s="58"/>
      <c r="T125" s="58"/>
      <c r="U125" s="58"/>
      <c r="W125" s="58"/>
      <c r="X125" s="58"/>
      <c r="Y125" s="58"/>
      <c r="Z125" s="58"/>
      <c r="AA125" s="58"/>
      <c r="AB125" s="58"/>
      <c r="AC125" s="58"/>
      <c r="AD125" s="58"/>
    </row>
    <row r="126" spans="3:30" x14ac:dyDescent="0.25">
      <c r="C126" s="112"/>
      <c r="D126" s="110"/>
      <c r="E126" s="110"/>
      <c r="F126" s="110"/>
      <c r="G126" s="111"/>
      <c r="H126" s="110"/>
      <c r="I126" s="110"/>
      <c r="J126" s="110"/>
      <c r="L126" s="58"/>
      <c r="M126" s="58"/>
      <c r="N126" s="58"/>
      <c r="O126" s="58"/>
      <c r="P126" s="58"/>
      <c r="Q126" s="58"/>
      <c r="R126" s="58"/>
      <c r="S126" s="58"/>
      <c r="T126" s="58"/>
      <c r="U126" s="58"/>
      <c r="W126" s="58"/>
      <c r="X126" s="58"/>
      <c r="Y126" s="58"/>
      <c r="Z126" s="58"/>
      <c r="AA126" s="58"/>
      <c r="AB126" s="58"/>
      <c r="AC126" s="58"/>
      <c r="AD126" s="58"/>
    </row>
    <row r="127" spans="3:30" x14ac:dyDescent="0.25">
      <c r="C127" s="112"/>
      <c r="D127" s="110"/>
      <c r="E127" s="110"/>
      <c r="F127" s="110"/>
      <c r="G127" s="111"/>
      <c r="H127" s="110"/>
      <c r="I127" s="110"/>
      <c r="J127" s="110"/>
      <c r="L127" s="58"/>
      <c r="M127" s="58"/>
      <c r="N127" s="58"/>
      <c r="O127" s="58"/>
      <c r="P127" s="58"/>
      <c r="Q127" s="58"/>
      <c r="R127" s="58"/>
      <c r="S127" s="58"/>
      <c r="T127" s="58"/>
      <c r="U127" s="58"/>
      <c r="W127" s="58"/>
      <c r="X127" s="58"/>
      <c r="Y127" s="58"/>
      <c r="Z127" s="58"/>
      <c r="AA127" s="58"/>
      <c r="AB127" s="58"/>
      <c r="AC127" s="58"/>
      <c r="AD127" s="58"/>
    </row>
    <row r="128" spans="3:30" x14ac:dyDescent="0.25">
      <c r="C128" s="112"/>
      <c r="D128" s="110"/>
      <c r="E128" s="110"/>
      <c r="F128" s="110"/>
      <c r="G128" s="111"/>
      <c r="H128" s="110"/>
      <c r="I128" s="110"/>
      <c r="J128" s="110"/>
      <c r="L128" s="58"/>
      <c r="M128" s="58"/>
      <c r="N128" s="58"/>
      <c r="O128" s="58"/>
      <c r="P128" s="58"/>
      <c r="Q128" s="58"/>
      <c r="R128" s="58"/>
      <c r="S128" s="58"/>
      <c r="T128" s="58"/>
      <c r="U128" s="58"/>
      <c r="W128" s="58"/>
      <c r="X128" s="58"/>
      <c r="Y128" s="58"/>
      <c r="Z128" s="58"/>
      <c r="AA128" s="58"/>
      <c r="AB128" s="58"/>
      <c r="AC128" s="58"/>
      <c r="AD128" s="58"/>
    </row>
    <row r="129" spans="3:30" x14ac:dyDescent="0.25">
      <c r="C129" s="112"/>
      <c r="D129" s="110"/>
      <c r="E129" s="110"/>
      <c r="F129" s="110"/>
      <c r="G129" s="111"/>
      <c r="H129" s="110"/>
      <c r="I129" s="110"/>
      <c r="J129" s="110"/>
      <c r="L129" s="58"/>
      <c r="M129" s="58"/>
      <c r="N129" s="58"/>
      <c r="O129" s="58"/>
      <c r="P129" s="58"/>
      <c r="Q129" s="58"/>
      <c r="R129" s="58"/>
      <c r="S129" s="58"/>
      <c r="T129" s="58"/>
      <c r="U129" s="58"/>
      <c r="W129" s="58"/>
      <c r="X129" s="58"/>
      <c r="Y129" s="58"/>
      <c r="Z129" s="58"/>
      <c r="AA129" s="58"/>
      <c r="AB129" s="58"/>
      <c r="AC129" s="58"/>
      <c r="AD129" s="58"/>
    </row>
    <row r="130" spans="3:30" x14ac:dyDescent="0.25">
      <c r="C130" s="112"/>
      <c r="D130" s="110"/>
      <c r="E130" s="110"/>
      <c r="F130" s="110"/>
      <c r="G130" s="111"/>
      <c r="H130" s="110"/>
      <c r="I130" s="110"/>
      <c r="J130" s="110"/>
      <c r="L130" s="58"/>
      <c r="M130" s="58"/>
      <c r="N130" s="58"/>
      <c r="O130" s="58"/>
      <c r="P130" s="58"/>
      <c r="Q130" s="58"/>
      <c r="R130" s="58"/>
      <c r="S130" s="58"/>
      <c r="T130" s="58"/>
      <c r="U130" s="58"/>
      <c r="W130" s="58"/>
      <c r="X130" s="58"/>
      <c r="Y130" s="58"/>
      <c r="Z130" s="58"/>
      <c r="AA130" s="58"/>
      <c r="AB130" s="58"/>
      <c r="AC130" s="58"/>
      <c r="AD130" s="58"/>
    </row>
    <row r="131" spans="3:30" x14ac:dyDescent="0.25">
      <c r="C131" s="112"/>
      <c r="D131" s="110"/>
      <c r="E131" s="110"/>
      <c r="F131" s="110"/>
      <c r="G131" s="111"/>
      <c r="H131" s="110"/>
      <c r="I131" s="110"/>
      <c r="J131" s="110"/>
      <c r="L131" s="58"/>
      <c r="M131" s="58"/>
      <c r="N131" s="58"/>
      <c r="O131" s="58"/>
      <c r="P131" s="58"/>
      <c r="Q131" s="58"/>
      <c r="R131" s="58"/>
      <c r="S131" s="58"/>
      <c r="T131" s="58"/>
      <c r="U131" s="58"/>
      <c r="W131" s="58"/>
      <c r="X131" s="58"/>
      <c r="Y131" s="58"/>
      <c r="Z131" s="58"/>
      <c r="AA131" s="58"/>
      <c r="AB131" s="58"/>
      <c r="AC131" s="58"/>
      <c r="AD131" s="58"/>
    </row>
    <row r="132" spans="3:30" x14ac:dyDescent="0.25">
      <c r="C132" s="112"/>
      <c r="D132" s="110"/>
      <c r="E132" s="110"/>
      <c r="F132" s="110"/>
      <c r="G132" s="111"/>
      <c r="H132" s="110"/>
      <c r="I132" s="110"/>
      <c r="J132" s="110"/>
      <c r="L132" s="58"/>
      <c r="M132" s="58"/>
      <c r="N132" s="58"/>
      <c r="O132" s="58"/>
      <c r="P132" s="58"/>
      <c r="Q132" s="58"/>
      <c r="R132" s="58"/>
      <c r="S132" s="58"/>
      <c r="T132" s="58"/>
      <c r="U132" s="58"/>
      <c r="W132" s="58"/>
      <c r="X132" s="58"/>
      <c r="Y132" s="58"/>
      <c r="Z132" s="58"/>
      <c r="AA132" s="58"/>
      <c r="AB132" s="58"/>
      <c r="AC132" s="58"/>
      <c r="AD132" s="58"/>
    </row>
    <row r="133" spans="3:30" x14ac:dyDescent="0.25">
      <c r="C133" s="112"/>
      <c r="D133" s="110"/>
      <c r="E133" s="110"/>
      <c r="F133" s="110"/>
      <c r="G133" s="111"/>
      <c r="H133" s="110"/>
      <c r="I133" s="110"/>
      <c r="J133" s="110"/>
      <c r="L133" s="58"/>
      <c r="M133" s="58"/>
      <c r="N133" s="58"/>
      <c r="O133" s="58"/>
      <c r="P133" s="58"/>
      <c r="Q133" s="58"/>
      <c r="R133" s="58"/>
      <c r="S133" s="58"/>
      <c r="T133" s="58"/>
      <c r="U133" s="58"/>
      <c r="W133" s="58"/>
      <c r="X133" s="58"/>
      <c r="Y133" s="58"/>
      <c r="Z133" s="58"/>
      <c r="AA133" s="58"/>
      <c r="AB133" s="58"/>
      <c r="AC133" s="58"/>
      <c r="AD133" s="58"/>
    </row>
    <row r="134" spans="3:30" x14ac:dyDescent="0.25">
      <c r="C134" s="112"/>
      <c r="D134" s="110"/>
      <c r="E134" s="110"/>
      <c r="F134" s="110"/>
      <c r="G134" s="111"/>
      <c r="H134" s="110"/>
      <c r="I134" s="110"/>
      <c r="J134" s="110"/>
      <c r="L134" s="58"/>
      <c r="M134" s="58"/>
      <c r="N134" s="58"/>
      <c r="O134" s="58"/>
      <c r="P134" s="58"/>
      <c r="Q134" s="58"/>
      <c r="R134" s="58"/>
      <c r="S134" s="58"/>
      <c r="T134" s="58"/>
      <c r="U134" s="58"/>
      <c r="W134" s="58"/>
      <c r="X134" s="58"/>
      <c r="Y134" s="58"/>
      <c r="Z134" s="58"/>
      <c r="AA134" s="58"/>
      <c r="AB134" s="58"/>
      <c r="AC134" s="58"/>
      <c r="AD134" s="58"/>
    </row>
    <row r="135" spans="3:30" x14ac:dyDescent="0.25">
      <c r="C135" s="112"/>
      <c r="D135" s="110"/>
      <c r="E135" s="110"/>
      <c r="F135" s="110"/>
      <c r="G135" s="111"/>
      <c r="H135" s="110"/>
      <c r="I135" s="110"/>
      <c r="J135" s="110"/>
      <c r="L135" s="58"/>
      <c r="M135" s="58"/>
      <c r="N135" s="58"/>
      <c r="O135" s="58"/>
      <c r="P135" s="58"/>
      <c r="Q135" s="58"/>
      <c r="R135" s="58"/>
      <c r="S135" s="58"/>
      <c r="T135" s="58"/>
      <c r="U135" s="58"/>
      <c r="W135" s="58"/>
      <c r="X135" s="58"/>
      <c r="Y135" s="58"/>
      <c r="Z135" s="58"/>
      <c r="AA135" s="58"/>
      <c r="AB135" s="58"/>
      <c r="AC135" s="58"/>
      <c r="AD135" s="58"/>
    </row>
    <row r="136" spans="3:30" x14ac:dyDescent="0.25">
      <c r="C136" s="112"/>
      <c r="D136" s="110"/>
      <c r="E136" s="110"/>
      <c r="F136" s="110"/>
      <c r="G136" s="111"/>
      <c r="H136" s="110"/>
      <c r="I136" s="110"/>
      <c r="J136" s="110"/>
      <c r="L136" s="58"/>
      <c r="M136" s="58"/>
      <c r="N136" s="58"/>
      <c r="O136" s="58"/>
      <c r="P136" s="58"/>
      <c r="Q136" s="58"/>
      <c r="R136" s="58"/>
      <c r="S136" s="58"/>
      <c r="T136" s="58"/>
      <c r="U136" s="58"/>
      <c r="W136" s="58"/>
      <c r="X136" s="58"/>
      <c r="Y136" s="58"/>
      <c r="Z136" s="58"/>
      <c r="AA136" s="58"/>
      <c r="AB136" s="58"/>
      <c r="AC136" s="58"/>
      <c r="AD136" s="58"/>
    </row>
    <row r="137" spans="3:30" x14ac:dyDescent="0.25">
      <c r="C137" s="112"/>
      <c r="D137" s="110"/>
      <c r="E137" s="110"/>
      <c r="F137" s="110"/>
      <c r="G137" s="111"/>
      <c r="H137" s="110"/>
      <c r="I137" s="110"/>
      <c r="J137" s="110"/>
      <c r="L137" s="58"/>
      <c r="M137" s="58"/>
      <c r="N137" s="58"/>
      <c r="O137" s="58"/>
      <c r="P137" s="58"/>
      <c r="Q137" s="58"/>
      <c r="R137" s="58"/>
      <c r="S137" s="58"/>
      <c r="T137" s="58"/>
      <c r="U137" s="58"/>
      <c r="W137" s="58"/>
      <c r="X137" s="58"/>
      <c r="Y137" s="58"/>
      <c r="Z137" s="58"/>
      <c r="AA137" s="58"/>
      <c r="AB137" s="58"/>
      <c r="AC137" s="58"/>
      <c r="AD137" s="58"/>
    </row>
    <row r="138" spans="3:30" x14ac:dyDescent="0.25">
      <c r="C138" s="112"/>
      <c r="D138" s="110"/>
      <c r="E138" s="110"/>
      <c r="F138" s="110"/>
      <c r="G138" s="111"/>
      <c r="H138" s="110"/>
      <c r="I138" s="110"/>
      <c r="J138" s="110"/>
      <c r="L138" s="58"/>
      <c r="M138" s="58"/>
      <c r="N138" s="58"/>
      <c r="O138" s="58"/>
      <c r="P138" s="58"/>
      <c r="Q138" s="58"/>
      <c r="R138" s="58"/>
      <c r="S138" s="58"/>
      <c r="T138" s="58"/>
      <c r="U138" s="58"/>
      <c r="W138" s="58"/>
      <c r="X138" s="58"/>
      <c r="Y138" s="58"/>
      <c r="Z138" s="58"/>
      <c r="AA138" s="58"/>
      <c r="AB138" s="58"/>
      <c r="AC138" s="58"/>
      <c r="AD138" s="58"/>
    </row>
    <row r="139" spans="3:30" x14ac:dyDescent="0.25">
      <c r="C139" s="112"/>
      <c r="D139" s="110"/>
      <c r="E139" s="110"/>
      <c r="F139" s="110"/>
      <c r="G139" s="111"/>
      <c r="H139" s="110"/>
      <c r="I139" s="110"/>
      <c r="J139" s="110"/>
      <c r="L139" s="58"/>
      <c r="M139" s="58"/>
      <c r="N139" s="58"/>
      <c r="O139" s="58"/>
      <c r="P139" s="58"/>
      <c r="Q139" s="58"/>
      <c r="R139" s="58"/>
      <c r="S139" s="58"/>
      <c r="T139" s="58"/>
      <c r="U139" s="58"/>
      <c r="W139" s="58"/>
      <c r="X139" s="58"/>
      <c r="Y139" s="58"/>
      <c r="Z139" s="58"/>
      <c r="AA139" s="58"/>
      <c r="AB139" s="58"/>
      <c r="AC139" s="58"/>
      <c r="AD139" s="58"/>
    </row>
    <row r="140" spans="3:30" x14ac:dyDescent="0.25">
      <c r="C140" s="112"/>
      <c r="D140" s="110"/>
      <c r="E140" s="110"/>
      <c r="F140" s="110"/>
      <c r="G140" s="111"/>
      <c r="H140" s="110"/>
      <c r="I140" s="110"/>
      <c r="J140" s="110"/>
      <c r="L140" s="58"/>
      <c r="M140" s="58"/>
      <c r="N140" s="58"/>
      <c r="O140" s="58"/>
      <c r="P140" s="58"/>
      <c r="Q140" s="58"/>
      <c r="R140" s="58"/>
      <c r="S140" s="58"/>
      <c r="T140" s="58"/>
      <c r="U140" s="58"/>
      <c r="W140" s="58"/>
      <c r="X140" s="58"/>
      <c r="Y140" s="58"/>
      <c r="Z140" s="58"/>
      <c r="AA140" s="58"/>
      <c r="AB140" s="58"/>
      <c r="AC140" s="58"/>
      <c r="AD140" s="58"/>
    </row>
    <row r="141" spans="3:30" x14ac:dyDescent="0.25">
      <c r="C141" s="112"/>
      <c r="D141" s="110"/>
      <c r="E141" s="110"/>
      <c r="F141" s="110"/>
      <c r="G141" s="111"/>
      <c r="H141" s="110"/>
      <c r="I141" s="110"/>
      <c r="J141" s="110"/>
      <c r="L141" s="58"/>
      <c r="M141" s="58"/>
      <c r="N141" s="58"/>
      <c r="O141" s="58"/>
      <c r="P141" s="58"/>
      <c r="Q141" s="58"/>
      <c r="R141" s="58"/>
      <c r="S141" s="58"/>
      <c r="T141" s="58"/>
      <c r="U141" s="58"/>
      <c r="W141" s="58"/>
      <c r="X141" s="58"/>
      <c r="Y141" s="58"/>
      <c r="Z141" s="58"/>
      <c r="AA141" s="58"/>
      <c r="AB141" s="58"/>
      <c r="AC141" s="58"/>
      <c r="AD141" s="58"/>
    </row>
    <row r="142" spans="3:30" x14ac:dyDescent="0.25">
      <c r="C142" s="112"/>
      <c r="D142" s="110"/>
      <c r="E142" s="110"/>
      <c r="F142" s="110"/>
      <c r="G142" s="111"/>
      <c r="H142" s="110"/>
      <c r="I142" s="110"/>
      <c r="J142" s="110"/>
      <c r="L142" s="58"/>
      <c r="M142" s="58"/>
      <c r="N142" s="58"/>
      <c r="O142" s="58"/>
      <c r="P142" s="58"/>
      <c r="Q142" s="58"/>
      <c r="R142" s="58"/>
      <c r="S142" s="58"/>
      <c r="T142" s="58"/>
      <c r="U142" s="58"/>
      <c r="W142" s="58"/>
      <c r="X142" s="58"/>
      <c r="Y142" s="58"/>
      <c r="Z142" s="58"/>
      <c r="AA142" s="58"/>
      <c r="AB142" s="58"/>
      <c r="AC142" s="58"/>
      <c r="AD142" s="58"/>
    </row>
    <row r="143" spans="3:30" x14ac:dyDescent="0.25">
      <c r="C143" s="112"/>
      <c r="D143" s="110"/>
      <c r="E143" s="110"/>
      <c r="F143" s="110"/>
      <c r="G143" s="111"/>
      <c r="H143" s="110"/>
      <c r="I143" s="110"/>
      <c r="J143" s="110"/>
      <c r="L143" s="58"/>
      <c r="M143" s="58"/>
      <c r="N143" s="58"/>
      <c r="O143" s="58"/>
      <c r="P143" s="58"/>
      <c r="Q143" s="58"/>
      <c r="R143" s="58"/>
      <c r="S143" s="58"/>
      <c r="T143" s="58"/>
      <c r="U143" s="58"/>
      <c r="W143" s="58"/>
      <c r="X143" s="58"/>
      <c r="Y143" s="58"/>
      <c r="Z143" s="58"/>
      <c r="AA143" s="58"/>
      <c r="AB143" s="58"/>
      <c r="AC143" s="58"/>
      <c r="AD143" s="58"/>
    </row>
    <row r="144" spans="3:30" x14ac:dyDescent="0.25">
      <c r="C144" s="112"/>
      <c r="D144" s="110"/>
      <c r="E144" s="110"/>
      <c r="F144" s="110"/>
      <c r="G144" s="111"/>
      <c r="H144" s="110"/>
      <c r="I144" s="110"/>
      <c r="J144" s="110"/>
      <c r="L144" s="58"/>
      <c r="M144" s="58"/>
      <c r="N144" s="58"/>
      <c r="O144" s="58"/>
      <c r="P144" s="58"/>
      <c r="Q144" s="58"/>
      <c r="R144" s="58"/>
      <c r="S144" s="58"/>
      <c r="T144" s="58"/>
      <c r="U144" s="58"/>
      <c r="W144" s="58"/>
      <c r="X144" s="58"/>
      <c r="Y144" s="58"/>
      <c r="Z144" s="58"/>
      <c r="AA144" s="58"/>
      <c r="AB144" s="58"/>
      <c r="AC144" s="58"/>
      <c r="AD144" s="58"/>
    </row>
    <row r="145" spans="3:30" x14ac:dyDescent="0.25">
      <c r="C145" s="112"/>
      <c r="D145" s="110"/>
      <c r="E145" s="110"/>
      <c r="F145" s="110"/>
      <c r="G145" s="111"/>
      <c r="H145" s="110"/>
      <c r="I145" s="110"/>
      <c r="J145" s="110"/>
      <c r="L145" s="58"/>
      <c r="M145" s="58"/>
      <c r="N145" s="58"/>
      <c r="O145" s="58"/>
      <c r="P145" s="58"/>
      <c r="Q145" s="58"/>
      <c r="R145" s="58"/>
      <c r="S145" s="58"/>
      <c r="T145" s="58"/>
      <c r="U145" s="58"/>
      <c r="W145" s="58"/>
      <c r="X145" s="58"/>
      <c r="Y145" s="58"/>
      <c r="Z145" s="58"/>
      <c r="AA145" s="58"/>
      <c r="AB145" s="58"/>
      <c r="AC145" s="58"/>
      <c r="AD145" s="58"/>
    </row>
    <row r="146" spans="3:30" x14ac:dyDescent="0.25">
      <c r="C146" s="112"/>
      <c r="D146" s="110"/>
      <c r="E146" s="110"/>
      <c r="F146" s="110"/>
      <c r="G146" s="111"/>
      <c r="H146" s="110"/>
      <c r="I146" s="110"/>
      <c r="J146" s="110"/>
      <c r="L146" s="58"/>
      <c r="M146" s="58"/>
      <c r="N146" s="58"/>
      <c r="O146" s="58"/>
      <c r="P146" s="58"/>
      <c r="Q146" s="58"/>
      <c r="R146" s="58"/>
      <c r="S146" s="58"/>
      <c r="T146" s="58"/>
      <c r="U146" s="58"/>
      <c r="W146" s="58"/>
      <c r="X146" s="58"/>
      <c r="Y146" s="58"/>
      <c r="Z146" s="58"/>
      <c r="AA146" s="58"/>
      <c r="AB146" s="58"/>
      <c r="AC146" s="58"/>
      <c r="AD146" s="58"/>
    </row>
    <row r="147" spans="3:30" x14ac:dyDescent="0.25">
      <c r="C147" s="112"/>
      <c r="D147" s="110"/>
      <c r="E147" s="110"/>
      <c r="F147" s="110"/>
      <c r="G147" s="111"/>
      <c r="H147" s="110"/>
      <c r="I147" s="110"/>
      <c r="J147" s="110"/>
      <c r="L147" s="58"/>
      <c r="M147" s="58"/>
      <c r="N147" s="58"/>
      <c r="O147" s="58"/>
      <c r="P147" s="58"/>
      <c r="Q147" s="58"/>
      <c r="R147" s="58"/>
      <c r="S147" s="58"/>
      <c r="T147" s="58"/>
      <c r="U147" s="58"/>
      <c r="W147" s="58"/>
      <c r="X147" s="58"/>
      <c r="Y147" s="58"/>
      <c r="Z147" s="58"/>
      <c r="AA147" s="58"/>
      <c r="AB147" s="58"/>
      <c r="AC147" s="58"/>
      <c r="AD147" s="58"/>
    </row>
    <row r="148" spans="3:30" x14ac:dyDescent="0.25">
      <c r="C148" s="112"/>
      <c r="D148" s="110"/>
      <c r="E148" s="110"/>
      <c r="F148" s="110"/>
      <c r="G148" s="111"/>
      <c r="H148" s="110"/>
      <c r="I148" s="110"/>
      <c r="J148" s="110"/>
      <c r="L148" s="58"/>
      <c r="M148" s="58"/>
      <c r="N148" s="58"/>
      <c r="O148" s="58"/>
      <c r="P148" s="58"/>
      <c r="Q148" s="58"/>
      <c r="R148" s="58"/>
      <c r="S148" s="58"/>
      <c r="T148" s="58"/>
      <c r="U148" s="58"/>
      <c r="W148" s="58"/>
      <c r="X148" s="58"/>
      <c r="Y148" s="58"/>
      <c r="Z148" s="58"/>
      <c r="AA148" s="58"/>
      <c r="AB148" s="58"/>
      <c r="AC148" s="58"/>
      <c r="AD148" s="58"/>
    </row>
    <row r="149" spans="3:30" x14ac:dyDescent="0.25">
      <c r="C149" s="112"/>
      <c r="D149" s="110"/>
      <c r="E149" s="110"/>
      <c r="F149" s="110"/>
      <c r="G149" s="111"/>
      <c r="H149" s="110"/>
      <c r="I149" s="110"/>
      <c r="J149" s="110"/>
      <c r="L149" s="58"/>
      <c r="M149" s="58"/>
      <c r="N149" s="58"/>
      <c r="O149" s="58"/>
      <c r="P149" s="58"/>
      <c r="Q149" s="58"/>
      <c r="R149" s="58"/>
      <c r="S149" s="58"/>
      <c r="T149" s="58"/>
      <c r="U149" s="58"/>
      <c r="W149" s="58"/>
      <c r="X149" s="58"/>
      <c r="Y149" s="58"/>
      <c r="Z149" s="58"/>
      <c r="AA149" s="58"/>
      <c r="AB149" s="58"/>
      <c r="AC149" s="58"/>
      <c r="AD149" s="58"/>
    </row>
    <row r="150" spans="3:30" x14ac:dyDescent="0.25">
      <c r="C150" s="112"/>
      <c r="D150" s="110"/>
      <c r="E150" s="110"/>
      <c r="F150" s="110"/>
      <c r="G150" s="111"/>
      <c r="H150" s="110"/>
      <c r="I150" s="110"/>
      <c r="J150" s="110"/>
      <c r="L150" s="58"/>
      <c r="M150" s="58"/>
      <c r="N150" s="58"/>
      <c r="O150" s="58"/>
      <c r="P150" s="58"/>
      <c r="Q150" s="58"/>
      <c r="R150" s="58"/>
      <c r="S150" s="58"/>
      <c r="T150" s="58"/>
      <c r="U150" s="58"/>
      <c r="W150" s="58"/>
      <c r="X150" s="58"/>
      <c r="Y150" s="58"/>
      <c r="Z150" s="58"/>
      <c r="AA150" s="58"/>
      <c r="AB150" s="58"/>
      <c r="AC150" s="58"/>
      <c r="AD150" s="58"/>
    </row>
    <row r="151" spans="3:30" x14ac:dyDescent="0.25">
      <c r="C151" s="112"/>
      <c r="D151" s="110"/>
      <c r="E151" s="110"/>
      <c r="F151" s="110"/>
      <c r="G151" s="111"/>
      <c r="H151" s="110"/>
      <c r="I151" s="110"/>
      <c r="J151" s="110"/>
      <c r="L151" s="58"/>
      <c r="M151" s="58"/>
      <c r="N151" s="58"/>
      <c r="O151" s="58"/>
      <c r="P151" s="58"/>
      <c r="Q151" s="58"/>
      <c r="R151" s="58"/>
      <c r="S151" s="58"/>
      <c r="T151" s="58"/>
      <c r="U151" s="58"/>
      <c r="W151" s="58"/>
      <c r="X151" s="58"/>
      <c r="Y151" s="58"/>
      <c r="Z151" s="58"/>
      <c r="AA151" s="58"/>
      <c r="AB151" s="58"/>
      <c r="AC151" s="58"/>
      <c r="AD151" s="58"/>
    </row>
    <row r="152" spans="3:30" x14ac:dyDescent="0.25">
      <c r="C152" s="112"/>
      <c r="D152" s="110"/>
      <c r="E152" s="110"/>
      <c r="F152" s="110"/>
      <c r="G152" s="111"/>
      <c r="H152" s="110"/>
      <c r="I152" s="110"/>
      <c r="J152" s="110"/>
      <c r="L152" s="58"/>
      <c r="M152" s="58"/>
      <c r="N152" s="58"/>
      <c r="O152" s="58"/>
      <c r="P152" s="58"/>
      <c r="Q152" s="58"/>
      <c r="R152" s="58"/>
      <c r="S152" s="58"/>
      <c r="T152" s="58"/>
      <c r="U152" s="58"/>
      <c r="W152" s="58"/>
      <c r="X152" s="58"/>
      <c r="Y152" s="58"/>
      <c r="Z152" s="58"/>
      <c r="AA152" s="58"/>
      <c r="AB152" s="58"/>
      <c r="AC152" s="58"/>
      <c r="AD152" s="58"/>
    </row>
    <row r="153" spans="3:30" x14ac:dyDescent="0.25">
      <c r="C153" s="112"/>
      <c r="D153" s="110"/>
      <c r="E153" s="110"/>
      <c r="F153" s="110"/>
      <c r="G153" s="111"/>
      <c r="H153" s="110"/>
      <c r="I153" s="110"/>
      <c r="J153" s="110"/>
      <c r="L153" s="58"/>
      <c r="M153" s="58"/>
      <c r="N153" s="58"/>
      <c r="O153" s="58"/>
      <c r="P153" s="58"/>
      <c r="Q153" s="58"/>
      <c r="R153" s="58"/>
      <c r="S153" s="58"/>
      <c r="T153" s="58"/>
      <c r="U153" s="58"/>
      <c r="W153" s="58"/>
      <c r="X153" s="58"/>
      <c r="Y153" s="58"/>
      <c r="Z153" s="58"/>
      <c r="AA153" s="58"/>
      <c r="AB153" s="58"/>
      <c r="AC153" s="58"/>
      <c r="AD153" s="58"/>
    </row>
    <row r="154" spans="3:30" x14ac:dyDescent="0.25">
      <c r="C154" s="112"/>
      <c r="D154" s="110"/>
      <c r="E154" s="110"/>
      <c r="F154" s="110"/>
      <c r="G154" s="111"/>
      <c r="H154" s="110"/>
      <c r="I154" s="110"/>
      <c r="J154" s="110"/>
      <c r="L154" s="58"/>
      <c r="M154" s="58"/>
      <c r="N154" s="58"/>
      <c r="O154" s="58"/>
      <c r="P154" s="58"/>
      <c r="Q154" s="58"/>
      <c r="R154" s="58"/>
      <c r="S154" s="58"/>
      <c r="T154" s="58"/>
      <c r="U154" s="58"/>
      <c r="W154" s="58"/>
      <c r="X154" s="58"/>
      <c r="Y154" s="58"/>
      <c r="Z154" s="58"/>
      <c r="AA154" s="58"/>
      <c r="AB154" s="58"/>
      <c r="AC154" s="58"/>
      <c r="AD154" s="58"/>
    </row>
    <row r="155" spans="3:30" x14ac:dyDescent="0.25">
      <c r="C155" s="112"/>
      <c r="D155" s="110"/>
      <c r="E155" s="110"/>
      <c r="F155" s="110"/>
      <c r="G155" s="111"/>
      <c r="H155" s="110"/>
      <c r="I155" s="110"/>
      <c r="J155" s="110"/>
      <c r="L155" s="58"/>
      <c r="M155" s="58"/>
      <c r="N155" s="58"/>
      <c r="O155" s="58"/>
      <c r="P155" s="58"/>
      <c r="Q155" s="58"/>
      <c r="R155" s="58"/>
      <c r="S155" s="58"/>
      <c r="T155" s="58"/>
      <c r="U155" s="58"/>
      <c r="W155" s="58"/>
      <c r="X155" s="58"/>
      <c r="Y155" s="58"/>
      <c r="Z155" s="58"/>
      <c r="AA155" s="58"/>
      <c r="AB155" s="58"/>
      <c r="AC155" s="58"/>
      <c r="AD155" s="58"/>
    </row>
    <row r="156" spans="3:30" x14ac:dyDescent="0.25">
      <c r="C156" s="112"/>
      <c r="D156" s="110"/>
      <c r="E156" s="110"/>
      <c r="F156" s="110"/>
      <c r="G156" s="111"/>
      <c r="H156" s="110"/>
      <c r="I156" s="110"/>
      <c r="J156" s="110"/>
      <c r="L156" s="58"/>
      <c r="M156" s="58"/>
      <c r="N156" s="58"/>
      <c r="O156" s="58"/>
      <c r="P156" s="58"/>
      <c r="Q156" s="58"/>
      <c r="R156" s="58"/>
      <c r="S156" s="58"/>
      <c r="T156" s="58"/>
      <c r="U156" s="58"/>
      <c r="W156" s="58"/>
      <c r="X156" s="58"/>
      <c r="Y156" s="58"/>
      <c r="Z156" s="58"/>
      <c r="AA156" s="58"/>
      <c r="AB156" s="58"/>
      <c r="AC156" s="58"/>
      <c r="AD156" s="58"/>
    </row>
    <row r="157" spans="3:30" x14ac:dyDescent="0.25">
      <c r="C157" s="112"/>
      <c r="D157" s="110"/>
      <c r="E157" s="110"/>
      <c r="F157" s="110"/>
      <c r="G157" s="111"/>
      <c r="H157" s="110"/>
      <c r="I157" s="110"/>
      <c r="J157" s="110"/>
      <c r="L157" s="58"/>
      <c r="M157" s="58"/>
      <c r="N157" s="58"/>
      <c r="O157" s="58"/>
      <c r="P157" s="58"/>
      <c r="Q157" s="58"/>
      <c r="R157" s="58"/>
      <c r="S157" s="58"/>
      <c r="T157" s="58"/>
      <c r="U157" s="58"/>
      <c r="W157" s="58"/>
      <c r="X157" s="58"/>
      <c r="Y157" s="58"/>
      <c r="Z157" s="58"/>
      <c r="AA157" s="58"/>
      <c r="AB157" s="58"/>
      <c r="AC157" s="58"/>
      <c r="AD157" s="58"/>
    </row>
    <row r="158" spans="3:30" x14ac:dyDescent="0.25">
      <c r="C158" s="112"/>
      <c r="D158" s="110"/>
      <c r="E158" s="110"/>
      <c r="F158" s="110"/>
      <c r="G158" s="111"/>
      <c r="H158" s="110"/>
      <c r="I158" s="110"/>
      <c r="J158" s="110"/>
      <c r="L158" s="58"/>
      <c r="M158" s="58"/>
      <c r="N158" s="58"/>
      <c r="O158" s="58"/>
      <c r="P158" s="58"/>
      <c r="Q158" s="58"/>
      <c r="R158" s="58"/>
      <c r="S158" s="58"/>
      <c r="T158" s="58"/>
      <c r="U158" s="58"/>
      <c r="W158" s="58"/>
      <c r="X158" s="58"/>
      <c r="Y158" s="58"/>
      <c r="Z158" s="58"/>
      <c r="AA158" s="58"/>
      <c r="AB158" s="58"/>
      <c r="AC158" s="58"/>
      <c r="AD158" s="58"/>
    </row>
    <row r="159" spans="3:30" x14ac:dyDescent="0.25">
      <c r="C159" s="112"/>
      <c r="D159" s="110"/>
      <c r="E159" s="110"/>
      <c r="F159" s="110"/>
      <c r="G159" s="111"/>
      <c r="H159" s="110"/>
      <c r="I159" s="110"/>
      <c r="J159" s="110"/>
      <c r="L159" s="58"/>
      <c r="M159" s="58"/>
      <c r="N159" s="58"/>
      <c r="O159" s="58"/>
      <c r="P159" s="58"/>
      <c r="Q159" s="58"/>
      <c r="R159" s="58"/>
      <c r="S159" s="58"/>
      <c r="T159" s="58"/>
      <c r="U159" s="58"/>
      <c r="W159" s="58"/>
      <c r="X159" s="58"/>
      <c r="Y159" s="58"/>
      <c r="Z159" s="58"/>
      <c r="AA159" s="58"/>
      <c r="AB159" s="58"/>
      <c r="AC159" s="58"/>
      <c r="AD159" s="58"/>
    </row>
    <row r="160" spans="3:30" x14ac:dyDescent="0.25">
      <c r="C160" s="112"/>
      <c r="D160" s="110"/>
      <c r="E160" s="110"/>
      <c r="F160" s="110"/>
      <c r="G160" s="111"/>
      <c r="H160" s="110"/>
      <c r="I160" s="110"/>
      <c r="J160" s="110"/>
      <c r="L160" s="58"/>
      <c r="M160" s="58"/>
      <c r="N160" s="58"/>
      <c r="O160" s="58"/>
      <c r="P160" s="58"/>
      <c r="Q160" s="58"/>
      <c r="R160" s="58"/>
      <c r="S160" s="58"/>
      <c r="T160" s="58"/>
      <c r="U160" s="58"/>
      <c r="W160" s="58"/>
      <c r="X160" s="58"/>
      <c r="Y160" s="58"/>
      <c r="Z160" s="58"/>
      <c r="AA160" s="58"/>
      <c r="AB160" s="58"/>
      <c r="AC160" s="58"/>
      <c r="AD160" s="58"/>
    </row>
    <row r="161" spans="3:30" x14ac:dyDescent="0.25">
      <c r="C161" s="112"/>
      <c r="D161" s="110"/>
      <c r="E161" s="110"/>
      <c r="F161" s="110"/>
      <c r="G161" s="111"/>
      <c r="H161" s="110"/>
      <c r="I161" s="110"/>
      <c r="J161" s="110"/>
      <c r="L161" s="58"/>
      <c r="M161" s="58"/>
      <c r="N161" s="58"/>
      <c r="O161" s="58"/>
      <c r="P161" s="58"/>
      <c r="Q161" s="58"/>
      <c r="R161" s="58"/>
      <c r="S161" s="58"/>
      <c r="T161" s="58"/>
      <c r="U161" s="58"/>
      <c r="W161" s="58"/>
      <c r="X161" s="58"/>
      <c r="Y161" s="58"/>
      <c r="Z161" s="58"/>
      <c r="AA161" s="58"/>
      <c r="AB161" s="58"/>
      <c r="AC161" s="58"/>
      <c r="AD161" s="58"/>
    </row>
    <row r="162" spans="3:30" x14ac:dyDescent="0.25">
      <c r="C162" s="112"/>
      <c r="D162" s="110"/>
      <c r="E162" s="110"/>
      <c r="F162" s="110"/>
      <c r="G162" s="111"/>
      <c r="H162" s="110"/>
      <c r="I162" s="110"/>
      <c r="J162" s="110"/>
      <c r="L162" s="58"/>
      <c r="M162" s="58"/>
      <c r="N162" s="58"/>
      <c r="O162" s="58"/>
      <c r="P162" s="58"/>
      <c r="Q162" s="58"/>
      <c r="R162" s="58"/>
      <c r="S162" s="58"/>
      <c r="T162" s="58"/>
      <c r="U162" s="58"/>
      <c r="W162" s="58"/>
      <c r="X162" s="58"/>
      <c r="Y162" s="58"/>
      <c r="Z162" s="58"/>
      <c r="AA162" s="58"/>
      <c r="AB162" s="58"/>
      <c r="AC162" s="58"/>
      <c r="AD162" s="58"/>
    </row>
    <row r="163" spans="3:30" x14ac:dyDescent="0.25">
      <c r="C163" s="112"/>
      <c r="D163" s="110"/>
      <c r="E163" s="110"/>
      <c r="F163" s="110"/>
      <c r="G163" s="111"/>
      <c r="H163" s="110"/>
      <c r="I163" s="110"/>
      <c r="J163" s="110"/>
      <c r="L163" s="58"/>
      <c r="M163" s="58"/>
      <c r="N163" s="58"/>
      <c r="O163" s="58"/>
      <c r="P163" s="58"/>
      <c r="Q163" s="58"/>
      <c r="R163" s="58"/>
      <c r="S163" s="58"/>
      <c r="T163" s="58"/>
      <c r="U163" s="58"/>
      <c r="W163" s="58"/>
      <c r="X163" s="58"/>
      <c r="Y163" s="58"/>
      <c r="Z163" s="58"/>
      <c r="AA163" s="58"/>
      <c r="AB163" s="58"/>
      <c r="AC163" s="58"/>
      <c r="AD163" s="58"/>
    </row>
    <row r="164" spans="3:30" x14ac:dyDescent="0.25">
      <c r="C164" s="112"/>
      <c r="D164" s="110"/>
      <c r="E164" s="110"/>
      <c r="F164" s="110"/>
      <c r="G164" s="111"/>
      <c r="H164" s="110"/>
      <c r="I164" s="110"/>
      <c r="J164" s="110"/>
      <c r="L164" s="58"/>
      <c r="M164" s="58"/>
      <c r="N164" s="58"/>
      <c r="O164" s="58"/>
      <c r="P164" s="58"/>
      <c r="Q164" s="58"/>
      <c r="R164" s="58"/>
      <c r="S164" s="58"/>
      <c r="T164" s="58"/>
      <c r="U164" s="58"/>
      <c r="W164" s="58"/>
      <c r="X164" s="58"/>
      <c r="Y164" s="58"/>
      <c r="Z164" s="58"/>
      <c r="AA164" s="58"/>
      <c r="AB164" s="58"/>
      <c r="AC164" s="58"/>
      <c r="AD164" s="58"/>
    </row>
    <row r="165" spans="3:30" x14ac:dyDescent="0.25">
      <c r="C165" s="112"/>
      <c r="D165" s="110"/>
      <c r="E165" s="110"/>
      <c r="F165" s="110"/>
      <c r="G165" s="111"/>
      <c r="H165" s="110"/>
      <c r="I165" s="110"/>
      <c r="J165" s="110"/>
      <c r="L165" s="58"/>
      <c r="M165" s="58"/>
      <c r="N165" s="58"/>
      <c r="O165" s="58"/>
      <c r="P165" s="58"/>
      <c r="Q165" s="58"/>
      <c r="R165" s="58"/>
      <c r="S165" s="58"/>
      <c r="T165" s="58"/>
      <c r="U165" s="58"/>
      <c r="W165" s="58"/>
      <c r="X165" s="58"/>
      <c r="Y165" s="58"/>
      <c r="Z165" s="58"/>
      <c r="AA165" s="58"/>
      <c r="AB165" s="58"/>
      <c r="AC165" s="58"/>
      <c r="AD165" s="58"/>
    </row>
    <row r="166" spans="3:30" x14ac:dyDescent="0.25">
      <c r="C166" s="112"/>
      <c r="D166" s="110"/>
      <c r="E166" s="110"/>
      <c r="F166" s="110"/>
      <c r="G166" s="111"/>
      <c r="H166" s="110"/>
      <c r="I166" s="110"/>
      <c r="J166" s="110"/>
      <c r="L166" s="58"/>
      <c r="M166" s="58"/>
      <c r="N166" s="58"/>
      <c r="O166" s="58"/>
      <c r="P166" s="58"/>
      <c r="Q166" s="58"/>
      <c r="R166" s="58"/>
      <c r="S166" s="58"/>
      <c r="T166" s="58"/>
      <c r="U166" s="58"/>
      <c r="W166" s="58"/>
      <c r="X166" s="58"/>
      <c r="Y166" s="58"/>
      <c r="Z166" s="58"/>
      <c r="AA166" s="58"/>
      <c r="AB166" s="58"/>
      <c r="AC166" s="58"/>
      <c r="AD166" s="58"/>
    </row>
    <row r="167" spans="3:30" x14ac:dyDescent="0.25">
      <c r="C167" s="112"/>
      <c r="D167" s="110"/>
      <c r="E167" s="110"/>
      <c r="F167" s="110"/>
      <c r="G167" s="111"/>
      <c r="H167" s="110"/>
      <c r="I167" s="110"/>
      <c r="J167" s="110"/>
      <c r="L167" s="58"/>
      <c r="M167" s="58"/>
      <c r="N167" s="58"/>
      <c r="O167" s="58"/>
      <c r="P167" s="58"/>
      <c r="Q167" s="58"/>
      <c r="R167" s="58"/>
      <c r="S167" s="58"/>
      <c r="T167" s="58"/>
      <c r="U167" s="58"/>
      <c r="W167" s="58"/>
      <c r="X167" s="58"/>
      <c r="Y167" s="58"/>
      <c r="Z167" s="58"/>
      <c r="AA167" s="58"/>
      <c r="AB167" s="58"/>
      <c r="AC167" s="58"/>
      <c r="AD167" s="58"/>
    </row>
    <row r="168" spans="3:30" x14ac:dyDescent="0.25">
      <c r="C168" s="112"/>
      <c r="D168" s="110"/>
      <c r="E168" s="110"/>
      <c r="F168" s="110"/>
      <c r="G168" s="111"/>
      <c r="H168" s="110"/>
      <c r="I168" s="110"/>
      <c r="J168" s="110"/>
      <c r="L168" s="58"/>
      <c r="M168" s="58"/>
      <c r="N168" s="58"/>
      <c r="O168" s="58"/>
      <c r="P168" s="58"/>
      <c r="Q168" s="58"/>
      <c r="R168" s="58"/>
      <c r="S168" s="58"/>
      <c r="T168" s="58"/>
      <c r="U168" s="58"/>
      <c r="W168" s="58"/>
      <c r="X168" s="58"/>
      <c r="Y168" s="58"/>
      <c r="Z168" s="58"/>
      <c r="AA168" s="58"/>
      <c r="AB168" s="58"/>
      <c r="AC168" s="58"/>
      <c r="AD168" s="58"/>
    </row>
    <row r="169" spans="3:30" x14ac:dyDescent="0.25">
      <c r="C169" s="112"/>
      <c r="D169" s="110"/>
      <c r="E169" s="110"/>
      <c r="F169" s="110"/>
      <c r="G169" s="111"/>
      <c r="H169" s="110"/>
      <c r="I169" s="110"/>
      <c r="J169" s="110"/>
      <c r="L169" s="58"/>
      <c r="M169" s="58"/>
      <c r="N169" s="58"/>
      <c r="O169" s="58"/>
      <c r="P169" s="58"/>
      <c r="Q169" s="58"/>
      <c r="R169" s="58"/>
      <c r="S169" s="58"/>
      <c r="T169" s="58"/>
      <c r="U169" s="58"/>
      <c r="W169" s="58"/>
      <c r="X169" s="58"/>
      <c r="Y169" s="58"/>
      <c r="Z169" s="58"/>
      <c r="AA169" s="58"/>
      <c r="AB169" s="58"/>
      <c r="AC169" s="58"/>
      <c r="AD169" s="58"/>
    </row>
    <row r="170" spans="3:30" x14ac:dyDescent="0.25">
      <c r="C170" s="112"/>
      <c r="D170" s="110"/>
      <c r="E170" s="110"/>
      <c r="F170" s="110"/>
      <c r="G170" s="111"/>
      <c r="H170" s="110"/>
      <c r="I170" s="110"/>
      <c r="J170" s="110"/>
      <c r="L170" s="58"/>
      <c r="M170" s="58"/>
      <c r="N170" s="58"/>
      <c r="O170" s="58"/>
      <c r="P170" s="58"/>
      <c r="Q170" s="58"/>
      <c r="R170" s="58"/>
      <c r="S170" s="58"/>
      <c r="T170" s="58"/>
      <c r="U170" s="58"/>
      <c r="W170" s="58"/>
      <c r="X170" s="58"/>
      <c r="Y170" s="58"/>
      <c r="Z170" s="58"/>
      <c r="AA170" s="58"/>
      <c r="AB170" s="58"/>
      <c r="AC170" s="58"/>
      <c r="AD170" s="58"/>
    </row>
    <row r="171" spans="3:30" x14ac:dyDescent="0.25">
      <c r="C171" s="112"/>
      <c r="D171" s="110"/>
      <c r="E171" s="110"/>
      <c r="F171" s="110"/>
      <c r="G171" s="111"/>
      <c r="H171" s="110"/>
      <c r="I171" s="110"/>
      <c r="J171" s="110"/>
      <c r="L171" s="58"/>
      <c r="M171" s="58"/>
      <c r="N171" s="58"/>
      <c r="O171" s="58"/>
      <c r="P171" s="58"/>
      <c r="Q171" s="58"/>
      <c r="R171" s="58"/>
      <c r="S171" s="58"/>
      <c r="T171" s="58"/>
      <c r="U171" s="58"/>
      <c r="W171" s="58"/>
      <c r="X171" s="58"/>
      <c r="Y171" s="58"/>
      <c r="Z171" s="58"/>
      <c r="AA171" s="58"/>
      <c r="AB171" s="58"/>
      <c r="AC171" s="58"/>
      <c r="AD171" s="58"/>
    </row>
    <row r="172" spans="3:30" x14ac:dyDescent="0.25">
      <c r="C172" s="112"/>
      <c r="D172" s="110"/>
      <c r="E172" s="110"/>
      <c r="F172" s="110"/>
      <c r="G172" s="111"/>
      <c r="H172" s="110"/>
      <c r="I172" s="110"/>
      <c r="J172" s="110"/>
      <c r="L172" s="58"/>
      <c r="M172" s="58"/>
      <c r="N172" s="58"/>
      <c r="O172" s="58"/>
      <c r="P172" s="58"/>
      <c r="Q172" s="58"/>
      <c r="R172" s="58"/>
      <c r="S172" s="58"/>
      <c r="T172" s="58"/>
      <c r="U172" s="58"/>
      <c r="W172" s="58"/>
      <c r="X172" s="58"/>
      <c r="Y172" s="58"/>
      <c r="Z172" s="58"/>
      <c r="AA172" s="58"/>
      <c r="AB172" s="58"/>
      <c r="AC172" s="58"/>
      <c r="AD172" s="58"/>
    </row>
    <row r="173" spans="3:30" x14ac:dyDescent="0.25">
      <c r="C173" s="112"/>
      <c r="D173" s="110"/>
      <c r="E173" s="110"/>
      <c r="F173" s="110"/>
      <c r="G173" s="111"/>
      <c r="H173" s="110"/>
      <c r="I173" s="110"/>
      <c r="J173" s="110"/>
      <c r="L173" s="58"/>
      <c r="M173" s="58"/>
      <c r="N173" s="58"/>
      <c r="O173" s="58"/>
      <c r="P173" s="58"/>
      <c r="Q173" s="58"/>
      <c r="R173" s="58"/>
      <c r="S173" s="58"/>
      <c r="T173" s="58"/>
      <c r="U173" s="58"/>
      <c r="W173" s="58"/>
      <c r="X173" s="58"/>
      <c r="Y173" s="58"/>
      <c r="Z173" s="58"/>
      <c r="AA173" s="58"/>
      <c r="AB173" s="58"/>
      <c r="AC173" s="58"/>
      <c r="AD173" s="58"/>
    </row>
    <row r="174" spans="3:30" x14ac:dyDescent="0.25">
      <c r="C174" s="112"/>
      <c r="D174" s="110"/>
      <c r="E174" s="110"/>
      <c r="F174" s="110"/>
      <c r="G174" s="111"/>
      <c r="H174" s="110"/>
      <c r="I174" s="110"/>
      <c r="J174" s="110"/>
      <c r="L174" s="58"/>
      <c r="M174" s="58"/>
      <c r="N174" s="58"/>
      <c r="O174" s="58"/>
      <c r="P174" s="58"/>
      <c r="Q174" s="58"/>
      <c r="R174" s="58"/>
      <c r="S174" s="58"/>
      <c r="T174" s="58"/>
      <c r="U174" s="58"/>
      <c r="W174" s="58"/>
      <c r="X174" s="58"/>
      <c r="Y174" s="58"/>
      <c r="Z174" s="58"/>
      <c r="AA174" s="58"/>
      <c r="AB174" s="58"/>
      <c r="AC174" s="58"/>
      <c r="AD174" s="58"/>
    </row>
    <row r="175" spans="3:30" x14ac:dyDescent="0.25">
      <c r="C175" s="112"/>
      <c r="D175" s="110"/>
      <c r="E175" s="110"/>
      <c r="F175" s="110"/>
      <c r="G175" s="111"/>
      <c r="H175" s="110"/>
      <c r="I175" s="110"/>
      <c r="J175" s="110"/>
      <c r="L175" s="58"/>
      <c r="M175" s="58"/>
      <c r="N175" s="58"/>
      <c r="O175" s="58"/>
      <c r="P175" s="58"/>
      <c r="Q175" s="58"/>
      <c r="R175" s="58"/>
      <c r="S175" s="58"/>
      <c r="T175" s="58"/>
      <c r="U175" s="58"/>
      <c r="W175" s="58"/>
      <c r="X175" s="58"/>
      <c r="Y175" s="58"/>
      <c r="Z175" s="58"/>
      <c r="AA175" s="58"/>
      <c r="AB175" s="58"/>
      <c r="AC175" s="58"/>
      <c r="AD175" s="58"/>
    </row>
    <row r="176" spans="3:30" x14ac:dyDescent="0.25">
      <c r="C176" s="112"/>
      <c r="D176" s="110"/>
      <c r="E176" s="110"/>
      <c r="F176" s="110"/>
      <c r="G176" s="111"/>
      <c r="H176" s="110"/>
      <c r="I176" s="110"/>
      <c r="J176" s="110"/>
      <c r="L176" s="58"/>
      <c r="M176" s="58"/>
      <c r="N176" s="58"/>
      <c r="O176" s="58"/>
      <c r="P176" s="58"/>
      <c r="Q176" s="58"/>
      <c r="R176" s="58"/>
      <c r="S176" s="58"/>
      <c r="T176" s="58"/>
      <c r="U176" s="58"/>
      <c r="W176" s="58"/>
      <c r="X176" s="58"/>
      <c r="Y176" s="58"/>
      <c r="Z176" s="58"/>
      <c r="AA176" s="58"/>
      <c r="AB176" s="58"/>
      <c r="AC176" s="58"/>
      <c r="AD176" s="58"/>
    </row>
    <row r="177" spans="3:30" x14ac:dyDescent="0.25">
      <c r="C177" s="112"/>
      <c r="D177" s="110"/>
      <c r="E177" s="110"/>
      <c r="F177" s="110"/>
      <c r="G177" s="111"/>
      <c r="H177" s="110"/>
      <c r="I177" s="110"/>
      <c r="J177" s="110"/>
      <c r="L177" s="58"/>
      <c r="M177" s="58"/>
      <c r="N177" s="58"/>
      <c r="O177" s="58"/>
      <c r="P177" s="58"/>
      <c r="Q177" s="58"/>
      <c r="R177" s="58"/>
      <c r="S177" s="58"/>
      <c r="T177" s="58"/>
      <c r="U177" s="58"/>
      <c r="W177" s="58"/>
      <c r="X177" s="58"/>
      <c r="Y177" s="58"/>
      <c r="Z177" s="58"/>
      <c r="AA177" s="58"/>
      <c r="AB177" s="58"/>
      <c r="AC177" s="58"/>
      <c r="AD177" s="58"/>
    </row>
    <row r="178" spans="3:30" x14ac:dyDescent="0.25">
      <c r="C178" s="112"/>
      <c r="D178" s="110"/>
      <c r="E178" s="110"/>
      <c r="F178" s="110"/>
      <c r="G178" s="111"/>
      <c r="H178" s="110"/>
      <c r="I178" s="110"/>
      <c r="J178" s="110"/>
      <c r="L178" s="58"/>
      <c r="M178" s="58"/>
      <c r="N178" s="58"/>
      <c r="O178" s="58"/>
      <c r="P178" s="58"/>
      <c r="Q178" s="58"/>
      <c r="R178" s="58"/>
      <c r="S178" s="58"/>
      <c r="T178" s="58"/>
      <c r="U178" s="58"/>
      <c r="W178" s="58"/>
      <c r="X178" s="58"/>
      <c r="Y178" s="58"/>
      <c r="Z178" s="58"/>
      <c r="AA178" s="58"/>
      <c r="AB178" s="58"/>
      <c r="AC178" s="58"/>
      <c r="AD178" s="58"/>
    </row>
    <row r="179" spans="3:30" x14ac:dyDescent="0.25">
      <c r="C179" s="112"/>
      <c r="D179" s="110"/>
      <c r="E179" s="110"/>
      <c r="F179" s="110"/>
      <c r="G179" s="111"/>
      <c r="H179" s="110"/>
      <c r="I179" s="110"/>
      <c r="J179" s="110"/>
      <c r="L179" s="58"/>
      <c r="M179" s="58"/>
      <c r="N179" s="58"/>
      <c r="O179" s="58"/>
      <c r="P179" s="58"/>
      <c r="Q179" s="58"/>
      <c r="R179" s="58"/>
      <c r="S179" s="58"/>
      <c r="T179" s="58"/>
      <c r="U179" s="58"/>
      <c r="W179" s="58"/>
      <c r="X179" s="58"/>
      <c r="Y179" s="58"/>
      <c r="Z179" s="58"/>
      <c r="AA179" s="58"/>
      <c r="AB179" s="58"/>
      <c r="AC179" s="58"/>
      <c r="AD179" s="58"/>
    </row>
    <row r="180" spans="3:30" x14ac:dyDescent="0.25">
      <c r="C180" s="112"/>
      <c r="D180" s="110"/>
      <c r="E180" s="110"/>
      <c r="F180" s="110"/>
      <c r="G180" s="111"/>
      <c r="H180" s="110"/>
      <c r="I180" s="110"/>
      <c r="J180" s="110"/>
      <c r="L180" s="58"/>
      <c r="M180" s="58"/>
      <c r="N180" s="58"/>
      <c r="O180" s="58"/>
      <c r="P180" s="58"/>
      <c r="Q180" s="58"/>
      <c r="R180" s="58"/>
      <c r="S180" s="58"/>
      <c r="T180" s="58"/>
      <c r="U180" s="58"/>
      <c r="W180" s="58"/>
      <c r="X180" s="58"/>
      <c r="Y180" s="58"/>
      <c r="Z180" s="58"/>
      <c r="AA180" s="58"/>
      <c r="AB180" s="58"/>
      <c r="AC180" s="58"/>
      <c r="AD180" s="58"/>
    </row>
    <row r="181" spans="3:30" x14ac:dyDescent="0.25">
      <c r="C181" s="112"/>
      <c r="D181" s="110"/>
      <c r="E181" s="110"/>
      <c r="F181" s="110"/>
      <c r="G181" s="111"/>
      <c r="H181" s="110"/>
      <c r="I181" s="110"/>
      <c r="J181" s="110"/>
      <c r="L181" s="58"/>
      <c r="M181" s="58"/>
      <c r="N181" s="58"/>
      <c r="O181" s="58"/>
      <c r="P181" s="58"/>
      <c r="Q181" s="58"/>
      <c r="R181" s="58"/>
      <c r="S181" s="58"/>
      <c r="T181" s="58"/>
      <c r="U181" s="58"/>
      <c r="W181" s="58"/>
      <c r="X181" s="58"/>
      <c r="Y181" s="58"/>
      <c r="Z181" s="58"/>
      <c r="AA181" s="58"/>
      <c r="AB181" s="58"/>
      <c r="AC181" s="58"/>
      <c r="AD181" s="58"/>
    </row>
    <row r="182" spans="3:30" x14ac:dyDescent="0.25">
      <c r="C182" s="112"/>
      <c r="D182" s="110"/>
      <c r="E182" s="110"/>
      <c r="F182" s="110"/>
      <c r="G182" s="111"/>
      <c r="H182" s="110"/>
      <c r="I182" s="110"/>
      <c r="J182" s="110"/>
      <c r="L182" s="58"/>
      <c r="M182" s="58"/>
      <c r="N182" s="58"/>
      <c r="O182" s="58"/>
      <c r="P182" s="58"/>
      <c r="Q182" s="58"/>
      <c r="R182" s="58"/>
      <c r="S182" s="58"/>
      <c r="T182" s="58"/>
      <c r="U182" s="58"/>
      <c r="W182" s="58"/>
      <c r="X182" s="58"/>
      <c r="Y182" s="58"/>
      <c r="Z182" s="58"/>
      <c r="AA182" s="58"/>
      <c r="AB182" s="58"/>
      <c r="AC182" s="58"/>
      <c r="AD182" s="58"/>
    </row>
    <row r="183" spans="3:30" x14ac:dyDescent="0.25">
      <c r="C183" s="112"/>
      <c r="D183" s="110"/>
      <c r="E183" s="110"/>
      <c r="F183" s="110"/>
      <c r="G183" s="111"/>
      <c r="H183" s="110"/>
      <c r="I183" s="110"/>
      <c r="J183" s="110"/>
      <c r="L183" s="58"/>
      <c r="M183" s="58"/>
      <c r="N183" s="58"/>
      <c r="O183" s="58"/>
      <c r="P183" s="58"/>
      <c r="Q183" s="58"/>
      <c r="R183" s="58"/>
      <c r="S183" s="58"/>
      <c r="T183" s="58"/>
      <c r="U183" s="58"/>
      <c r="W183" s="58"/>
      <c r="X183" s="58"/>
      <c r="Y183" s="58"/>
      <c r="Z183" s="58"/>
      <c r="AA183" s="58"/>
      <c r="AB183" s="58"/>
      <c r="AC183" s="58"/>
      <c r="AD183" s="58"/>
    </row>
    <row r="184" spans="3:30" x14ac:dyDescent="0.25">
      <c r="C184" s="112"/>
      <c r="D184" s="110"/>
      <c r="E184" s="110"/>
      <c r="F184" s="110"/>
      <c r="G184" s="111"/>
      <c r="H184" s="110"/>
      <c r="I184" s="110"/>
      <c r="J184" s="110"/>
      <c r="L184" s="58"/>
      <c r="M184" s="58"/>
      <c r="N184" s="58"/>
      <c r="O184" s="58"/>
      <c r="P184" s="58"/>
      <c r="Q184" s="58"/>
      <c r="R184" s="58"/>
      <c r="S184" s="58"/>
      <c r="T184" s="58"/>
      <c r="U184" s="58"/>
      <c r="W184" s="58"/>
      <c r="X184" s="58"/>
      <c r="Y184" s="58"/>
      <c r="Z184" s="58"/>
      <c r="AA184" s="58"/>
      <c r="AB184" s="58"/>
      <c r="AC184" s="58"/>
      <c r="AD184" s="58"/>
    </row>
    <row r="185" spans="3:30" x14ac:dyDescent="0.25">
      <c r="C185" s="112"/>
      <c r="D185" s="110"/>
      <c r="E185" s="110"/>
      <c r="F185" s="110"/>
      <c r="G185" s="111"/>
      <c r="H185" s="110"/>
      <c r="I185" s="110"/>
      <c r="J185" s="110"/>
      <c r="L185" s="58"/>
      <c r="M185" s="58"/>
      <c r="N185" s="58"/>
      <c r="O185" s="58"/>
      <c r="P185" s="58"/>
      <c r="Q185" s="58"/>
      <c r="R185" s="58"/>
      <c r="S185" s="58"/>
      <c r="T185" s="58"/>
      <c r="U185" s="58"/>
      <c r="W185" s="58"/>
      <c r="X185" s="58"/>
      <c r="Y185" s="58"/>
      <c r="Z185" s="58"/>
      <c r="AA185" s="58"/>
      <c r="AB185" s="58"/>
      <c r="AC185" s="58"/>
      <c r="AD185" s="58"/>
    </row>
    <row r="186" spans="3:30" x14ac:dyDescent="0.25">
      <c r="C186" s="112"/>
      <c r="D186" s="110"/>
      <c r="E186" s="110"/>
      <c r="F186" s="110"/>
      <c r="G186" s="111"/>
      <c r="H186" s="110"/>
      <c r="I186" s="110"/>
      <c r="J186" s="110"/>
      <c r="L186" s="58"/>
      <c r="M186" s="58"/>
      <c r="N186" s="58"/>
      <c r="O186" s="58"/>
      <c r="P186" s="58"/>
      <c r="Q186" s="58"/>
      <c r="R186" s="58"/>
      <c r="S186" s="58"/>
      <c r="T186" s="58"/>
      <c r="U186" s="58"/>
      <c r="W186" s="58"/>
      <c r="X186" s="58"/>
      <c r="Y186" s="58"/>
      <c r="Z186" s="58"/>
      <c r="AA186" s="58"/>
      <c r="AB186" s="58"/>
      <c r="AC186" s="58"/>
      <c r="AD186" s="58"/>
    </row>
    <row r="187" spans="3:30" x14ac:dyDescent="0.25">
      <c r="C187" s="112"/>
      <c r="D187" s="110"/>
      <c r="E187" s="110"/>
      <c r="F187" s="110"/>
      <c r="G187" s="111"/>
      <c r="H187" s="110"/>
      <c r="I187" s="110"/>
      <c r="J187" s="110"/>
      <c r="L187" s="58"/>
      <c r="M187" s="58"/>
      <c r="N187" s="58"/>
      <c r="O187" s="58"/>
      <c r="P187" s="58"/>
      <c r="Q187" s="58"/>
      <c r="R187" s="58"/>
      <c r="S187" s="58"/>
      <c r="T187" s="58"/>
      <c r="U187" s="58"/>
      <c r="W187" s="58"/>
      <c r="X187" s="58"/>
      <c r="Y187" s="58"/>
      <c r="Z187" s="58"/>
      <c r="AA187" s="58"/>
      <c r="AB187" s="58"/>
      <c r="AC187" s="58"/>
      <c r="AD187" s="58"/>
    </row>
    <row r="188" spans="3:30" x14ac:dyDescent="0.25">
      <c r="C188" s="112"/>
      <c r="D188" s="110"/>
      <c r="E188" s="110"/>
      <c r="F188" s="110"/>
      <c r="G188" s="111"/>
      <c r="H188" s="110"/>
      <c r="I188" s="110"/>
      <c r="J188" s="110"/>
      <c r="L188" s="58"/>
      <c r="M188" s="58"/>
      <c r="N188" s="58"/>
      <c r="O188" s="58"/>
      <c r="P188" s="58"/>
      <c r="Q188" s="58"/>
      <c r="R188" s="58"/>
      <c r="S188" s="58"/>
      <c r="T188" s="58"/>
      <c r="U188" s="58"/>
      <c r="W188" s="58"/>
      <c r="X188" s="58"/>
      <c r="Y188" s="58"/>
      <c r="Z188" s="58"/>
      <c r="AA188" s="58"/>
      <c r="AB188" s="58"/>
      <c r="AC188" s="58"/>
      <c r="AD188" s="58"/>
    </row>
    <row r="189" spans="3:30" x14ac:dyDescent="0.25">
      <c r="C189" s="112"/>
      <c r="D189" s="110"/>
      <c r="E189" s="110"/>
      <c r="F189" s="110"/>
      <c r="G189" s="111"/>
      <c r="H189" s="110"/>
      <c r="I189" s="110"/>
      <c r="J189" s="110"/>
      <c r="L189" s="58"/>
      <c r="M189" s="58"/>
      <c r="N189" s="58"/>
      <c r="O189" s="58"/>
      <c r="P189" s="58"/>
      <c r="Q189" s="58"/>
      <c r="R189" s="58"/>
      <c r="S189" s="58"/>
      <c r="T189" s="58"/>
      <c r="U189" s="58"/>
      <c r="W189" s="58"/>
      <c r="X189" s="58"/>
      <c r="Y189" s="58"/>
      <c r="Z189" s="58"/>
      <c r="AA189" s="58"/>
      <c r="AB189" s="58"/>
      <c r="AC189" s="58"/>
      <c r="AD189" s="58"/>
    </row>
    <row r="190" spans="3:30" x14ac:dyDescent="0.25">
      <c r="C190" s="112"/>
      <c r="D190" s="110"/>
      <c r="E190" s="110"/>
      <c r="F190" s="110"/>
      <c r="G190" s="111"/>
      <c r="H190" s="110"/>
      <c r="I190" s="110"/>
      <c r="J190" s="110"/>
      <c r="L190" s="58"/>
      <c r="M190" s="58"/>
      <c r="N190" s="58"/>
      <c r="O190" s="58"/>
      <c r="P190" s="58"/>
      <c r="Q190" s="58"/>
      <c r="R190" s="58"/>
      <c r="S190" s="58"/>
      <c r="T190" s="58"/>
      <c r="U190" s="58"/>
      <c r="W190" s="58"/>
      <c r="X190" s="58"/>
      <c r="Y190" s="58"/>
      <c r="Z190" s="58"/>
      <c r="AA190" s="58"/>
      <c r="AB190" s="58"/>
      <c r="AC190" s="58"/>
      <c r="AD190" s="58"/>
    </row>
    <row r="191" spans="3:30" x14ac:dyDescent="0.25">
      <c r="C191" s="112"/>
      <c r="D191" s="110"/>
      <c r="E191" s="110"/>
      <c r="F191" s="110"/>
      <c r="G191" s="111"/>
      <c r="H191" s="110"/>
      <c r="I191" s="110"/>
      <c r="J191" s="110"/>
      <c r="L191" s="58"/>
      <c r="M191" s="58"/>
      <c r="N191" s="58"/>
      <c r="O191" s="58"/>
      <c r="P191" s="58"/>
      <c r="Q191" s="58"/>
      <c r="R191" s="58"/>
      <c r="S191" s="58"/>
      <c r="T191" s="58"/>
      <c r="U191" s="58"/>
      <c r="W191" s="58"/>
      <c r="X191" s="58"/>
      <c r="Y191" s="58"/>
      <c r="Z191" s="58"/>
      <c r="AA191" s="58"/>
      <c r="AB191" s="58"/>
      <c r="AC191" s="58"/>
      <c r="AD191" s="58"/>
    </row>
    <row r="192" spans="3:30" x14ac:dyDescent="0.25">
      <c r="C192" s="112"/>
      <c r="D192" s="110"/>
      <c r="E192" s="110"/>
      <c r="F192" s="110"/>
      <c r="G192" s="111"/>
      <c r="H192" s="110"/>
      <c r="I192" s="110"/>
      <c r="J192" s="110"/>
      <c r="L192" s="58"/>
      <c r="M192" s="58"/>
      <c r="N192" s="58"/>
      <c r="O192" s="58"/>
      <c r="P192" s="58"/>
      <c r="Q192" s="58"/>
      <c r="R192" s="58"/>
      <c r="S192" s="58"/>
      <c r="T192" s="58"/>
      <c r="U192" s="58"/>
      <c r="W192" s="58"/>
      <c r="X192" s="58"/>
      <c r="Y192" s="58"/>
      <c r="Z192" s="58"/>
      <c r="AA192" s="58"/>
      <c r="AB192" s="58"/>
      <c r="AC192" s="58"/>
      <c r="AD192" s="58"/>
    </row>
    <row r="193" spans="3:30" x14ac:dyDescent="0.25">
      <c r="C193" s="112"/>
      <c r="D193" s="110"/>
      <c r="E193" s="110"/>
      <c r="F193" s="110"/>
      <c r="G193" s="111"/>
      <c r="H193" s="110"/>
      <c r="I193" s="110"/>
      <c r="J193" s="110"/>
      <c r="L193" s="58"/>
      <c r="M193" s="58"/>
      <c r="N193" s="58"/>
      <c r="O193" s="58"/>
      <c r="P193" s="58"/>
      <c r="Q193" s="58"/>
      <c r="R193" s="58"/>
      <c r="S193" s="58"/>
      <c r="T193" s="58"/>
      <c r="U193" s="58"/>
      <c r="W193" s="58"/>
      <c r="X193" s="58"/>
      <c r="Y193" s="58"/>
      <c r="Z193" s="58"/>
      <c r="AA193" s="58"/>
      <c r="AB193" s="58"/>
      <c r="AC193" s="58"/>
      <c r="AD193" s="58"/>
    </row>
    <row r="194" spans="3:30" x14ac:dyDescent="0.25">
      <c r="C194" s="112"/>
      <c r="D194" s="110"/>
      <c r="E194" s="110"/>
      <c r="F194" s="110"/>
      <c r="G194" s="111"/>
      <c r="H194" s="110"/>
      <c r="I194" s="110"/>
      <c r="J194" s="110"/>
      <c r="L194" s="58"/>
      <c r="M194" s="58"/>
      <c r="N194" s="58"/>
      <c r="O194" s="58"/>
      <c r="P194" s="58"/>
      <c r="Q194" s="58"/>
      <c r="R194" s="58"/>
      <c r="S194" s="58"/>
      <c r="T194" s="58"/>
      <c r="U194" s="58"/>
      <c r="W194" s="58"/>
      <c r="X194" s="58"/>
      <c r="Y194" s="58"/>
      <c r="Z194" s="58"/>
      <c r="AA194" s="58"/>
      <c r="AB194" s="58"/>
      <c r="AC194" s="58"/>
      <c r="AD194" s="58"/>
    </row>
    <row r="195" spans="3:30" x14ac:dyDescent="0.25">
      <c r="C195" s="112"/>
      <c r="D195" s="110"/>
      <c r="E195" s="110"/>
      <c r="F195" s="110"/>
      <c r="G195" s="111"/>
      <c r="H195" s="110"/>
      <c r="I195" s="110"/>
      <c r="J195" s="110"/>
      <c r="L195" s="58"/>
      <c r="M195" s="58"/>
      <c r="N195" s="58"/>
      <c r="O195" s="58"/>
      <c r="P195" s="58"/>
      <c r="Q195" s="58"/>
      <c r="R195" s="58"/>
      <c r="S195" s="58"/>
      <c r="T195" s="58"/>
      <c r="U195" s="58"/>
      <c r="W195" s="58"/>
      <c r="X195" s="58"/>
      <c r="Y195" s="58"/>
      <c r="Z195" s="58"/>
      <c r="AA195" s="58"/>
      <c r="AB195" s="58"/>
      <c r="AC195" s="58"/>
      <c r="AD195" s="58"/>
    </row>
    <row r="196" spans="3:30" x14ac:dyDescent="0.25">
      <c r="C196" s="112"/>
      <c r="D196" s="110"/>
      <c r="E196" s="110"/>
      <c r="F196" s="110"/>
      <c r="G196" s="111"/>
      <c r="H196" s="110"/>
      <c r="I196" s="110"/>
      <c r="J196" s="110"/>
      <c r="L196" s="58"/>
      <c r="M196" s="58"/>
      <c r="N196" s="58"/>
      <c r="O196" s="58"/>
      <c r="P196" s="58"/>
      <c r="Q196" s="58"/>
      <c r="R196" s="58"/>
      <c r="S196" s="58"/>
      <c r="T196" s="58"/>
      <c r="U196" s="58"/>
      <c r="W196" s="58"/>
      <c r="X196" s="58"/>
      <c r="Y196" s="58"/>
      <c r="Z196" s="58"/>
      <c r="AA196" s="58"/>
      <c r="AB196" s="58"/>
      <c r="AC196" s="58"/>
      <c r="AD196" s="58"/>
    </row>
    <row r="197" spans="3:30" x14ac:dyDescent="0.25">
      <c r="C197" s="112"/>
      <c r="D197" s="110"/>
      <c r="E197" s="110"/>
      <c r="F197" s="110"/>
      <c r="G197" s="111"/>
      <c r="H197" s="110"/>
      <c r="I197" s="110"/>
      <c r="J197" s="110"/>
      <c r="L197" s="58"/>
      <c r="M197" s="58"/>
      <c r="N197" s="58"/>
      <c r="O197" s="58"/>
      <c r="P197" s="58"/>
      <c r="Q197" s="58"/>
      <c r="R197" s="58"/>
      <c r="S197" s="58"/>
      <c r="T197" s="58"/>
      <c r="U197" s="58"/>
      <c r="W197" s="58"/>
      <c r="X197" s="58"/>
      <c r="Y197" s="58"/>
      <c r="Z197" s="58"/>
      <c r="AA197" s="58"/>
      <c r="AB197" s="58"/>
      <c r="AC197" s="58"/>
      <c r="AD197" s="58"/>
    </row>
    <row r="198" spans="3:30" x14ac:dyDescent="0.25">
      <c r="C198" s="112"/>
      <c r="D198" s="110"/>
      <c r="E198" s="110"/>
      <c r="F198" s="110"/>
      <c r="G198" s="111"/>
      <c r="H198" s="110"/>
      <c r="I198" s="110"/>
      <c r="J198" s="110"/>
      <c r="L198" s="58"/>
      <c r="M198" s="58"/>
      <c r="N198" s="58"/>
      <c r="O198" s="58"/>
      <c r="P198" s="58"/>
      <c r="Q198" s="58"/>
      <c r="R198" s="58"/>
      <c r="S198" s="58"/>
      <c r="T198" s="58"/>
      <c r="U198" s="58"/>
      <c r="W198" s="58"/>
      <c r="X198" s="58"/>
      <c r="Y198" s="58"/>
      <c r="Z198" s="58"/>
      <c r="AA198" s="58"/>
      <c r="AB198" s="58"/>
      <c r="AC198" s="58"/>
      <c r="AD198" s="58"/>
    </row>
    <row r="199" spans="3:30" x14ac:dyDescent="0.25">
      <c r="C199" s="112"/>
      <c r="D199" s="110"/>
      <c r="E199" s="110"/>
      <c r="F199" s="110"/>
      <c r="G199" s="111"/>
      <c r="H199" s="110"/>
      <c r="I199" s="110"/>
      <c r="J199" s="110"/>
      <c r="L199" s="58"/>
      <c r="M199" s="58"/>
      <c r="N199" s="58"/>
      <c r="O199" s="58"/>
      <c r="P199" s="58"/>
      <c r="Q199" s="58"/>
      <c r="R199" s="58"/>
      <c r="S199" s="58"/>
      <c r="T199" s="58"/>
      <c r="U199" s="58"/>
      <c r="W199" s="58"/>
      <c r="X199" s="58"/>
      <c r="Y199" s="58"/>
      <c r="Z199" s="58"/>
      <c r="AA199" s="58"/>
      <c r="AB199" s="58"/>
      <c r="AC199" s="58"/>
      <c r="AD199" s="58"/>
    </row>
    <row r="200" spans="3:30" x14ac:dyDescent="0.25">
      <c r="C200" s="112"/>
      <c r="D200" s="110"/>
      <c r="E200" s="110"/>
      <c r="F200" s="110"/>
      <c r="G200" s="111"/>
      <c r="H200" s="110"/>
      <c r="I200" s="110"/>
      <c r="J200" s="110"/>
      <c r="L200" s="58"/>
      <c r="M200" s="58"/>
      <c r="N200" s="58"/>
      <c r="O200" s="58"/>
      <c r="P200" s="58"/>
      <c r="Q200" s="58"/>
      <c r="R200" s="58"/>
      <c r="S200" s="58"/>
      <c r="T200" s="58"/>
      <c r="U200" s="58"/>
      <c r="W200" s="58"/>
      <c r="X200" s="58"/>
      <c r="Y200" s="58"/>
      <c r="Z200" s="58"/>
      <c r="AA200" s="58"/>
      <c r="AB200" s="58"/>
      <c r="AC200" s="58"/>
      <c r="AD200" s="58"/>
    </row>
    <row r="201" spans="3:30" x14ac:dyDescent="0.25">
      <c r="C201" s="112"/>
      <c r="D201" s="110"/>
      <c r="E201" s="110"/>
      <c r="F201" s="110"/>
      <c r="G201" s="111"/>
      <c r="H201" s="110"/>
      <c r="I201" s="110"/>
      <c r="J201" s="110"/>
      <c r="L201" s="58"/>
      <c r="M201" s="58"/>
      <c r="N201" s="58"/>
      <c r="O201" s="58"/>
      <c r="P201" s="58"/>
      <c r="Q201" s="58"/>
      <c r="R201" s="58"/>
      <c r="S201" s="58"/>
      <c r="T201" s="58"/>
      <c r="U201" s="58"/>
      <c r="W201" s="58"/>
      <c r="X201" s="58"/>
      <c r="Y201" s="58"/>
      <c r="Z201" s="58"/>
      <c r="AA201" s="58"/>
      <c r="AB201" s="58"/>
      <c r="AC201" s="58"/>
      <c r="AD201" s="58"/>
    </row>
    <row r="202" spans="3:30" x14ac:dyDescent="0.25">
      <c r="C202" s="112"/>
      <c r="D202" s="110"/>
      <c r="E202" s="110"/>
      <c r="F202" s="110"/>
      <c r="G202" s="111"/>
      <c r="H202" s="110"/>
      <c r="I202" s="110"/>
      <c r="J202" s="110"/>
      <c r="L202" s="58"/>
      <c r="M202" s="58"/>
      <c r="N202" s="58"/>
      <c r="O202" s="58"/>
      <c r="P202" s="58"/>
      <c r="Q202" s="58"/>
      <c r="R202" s="58"/>
      <c r="S202" s="58"/>
      <c r="T202" s="58"/>
      <c r="U202" s="58"/>
      <c r="W202" s="58"/>
      <c r="X202" s="58"/>
      <c r="Y202" s="58"/>
      <c r="Z202" s="58"/>
      <c r="AA202" s="58"/>
      <c r="AB202" s="58"/>
      <c r="AC202" s="58"/>
      <c r="AD202" s="58"/>
    </row>
    <row r="203" spans="3:30" x14ac:dyDescent="0.25">
      <c r="C203" s="112"/>
      <c r="D203" s="110"/>
      <c r="E203" s="110"/>
      <c r="F203" s="110"/>
      <c r="G203" s="111"/>
      <c r="H203" s="110"/>
      <c r="I203" s="110"/>
      <c r="J203" s="110"/>
      <c r="L203" s="58"/>
      <c r="M203" s="58"/>
      <c r="N203" s="58"/>
      <c r="O203" s="58"/>
      <c r="P203" s="58"/>
      <c r="Q203" s="58"/>
      <c r="R203" s="58"/>
      <c r="S203" s="58"/>
      <c r="T203" s="58"/>
      <c r="U203" s="58"/>
      <c r="W203" s="58"/>
      <c r="X203" s="58"/>
      <c r="Y203" s="58"/>
      <c r="Z203" s="58"/>
      <c r="AA203" s="58"/>
      <c r="AB203" s="58"/>
      <c r="AC203" s="58"/>
      <c r="AD203" s="58"/>
    </row>
    <row r="204" spans="3:30" x14ac:dyDescent="0.25">
      <c r="C204" s="112"/>
      <c r="D204" s="110"/>
      <c r="E204" s="110"/>
      <c r="F204" s="110"/>
      <c r="G204" s="111"/>
      <c r="H204" s="110"/>
      <c r="I204" s="110"/>
      <c r="J204" s="110"/>
      <c r="L204" s="58"/>
      <c r="M204" s="58"/>
      <c r="N204" s="58"/>
      <c r="O204" s="58"/>
      <c r="P204" s="58"/>
      <c r="Q204" s="58"/>
      <c r="R204" s="58"/>
      <c r="S204" s="58"/>
      <c r="T204" s="58"/>
      <c r="U204" s="58"/>
      <c r="W204" s="58"/>
      <c r="X204" s="58"/>
      <c r="Y204" s="58"/>
      <c r="Z204" s="58"/>
      <c r="AA204" s="58"/>
      <c r="AB204" s="58"/>
      <c r="AC204" s="58"/>
      <c r="AD204" s="58"/>
    </row>
    <row r="205" spans="3:30" x14ac:dyDescent="0.25">
      <c r="C205" s="112"/>
      <c r="D205" s="110"/>
      <c r="E205" s="110"/>
      <c r="F205" s="110"/>
      <c r="G205" s="111"/>
      <c r="H205" s="110"/>
      <c r="I205" s="110"/>
      <c r="J205" s="110"/>
      <c r="L205" s="58"/>
      <c r="M205" s="58"/>
      <c r="N205" s="58"/>
      <c r="O205" s="58"/>
      <c r="P205" s="58"/>
      <c r="Q205" s="58"/>
      <c r="R205" s="58"/>
      <c r="S205" s="58"/>
      <c r="T205" s="58"/>
      <c r="U205" s="58"/>
      <c r="W205" s="58"/>
      <c r="X205" s="58"/>
      <c r="Y205" s="58"/>
      <c r="Z205" s="58"/>
      <c r="AA205" s="58"/>
      <c r="AB205" s="58"/>
      <c r="AC205" s="58"/>
      <c r="AD205" s="58"/>
    </row>
    <row r="206" spans="3:30" x14ac:dyDescent="0.25">
      <c r="C206" s="112"/>
      <c r="D206" s="110"/>
      <c r="E206" s="110"/>
      <c r="F206" s="110"/>
      <c r="G206" s="111"/>
      <c r="H206" s="110"/>
      <c r="I206" s="110"/>
      <c r="J206" s="110"/>
      <c r="L206" s="58"/>
      <c r="M206" s="58"/>
      <c r="N206" s="58"/>
      <c r="O206" s="58"/>
      <c r="P206" s="58"/>
      <c r="Q206" s="58"/>
      <c r="R206" s="58"/>
      <c r="S206" s="58"/>
      <c r="T206" s="58"/>
      <c r="U206" s="58"/>
      <c r="W206" s="58"/>
      <c r="X206" s="58"/>
      <c r="Y206" s="58"/>
      <c r="Z206" s="58"/>
      <c r="AA206" s="58"/>
      <c r="AB206" s="58"/>
      <c r="AC206" s="58"/>
      <c r="AD206" s="58"/>
    </row>
    <row r="207" spans="3:30" x14ac:dyDescent="0.25">
      <c r="C207" s="112"/>
      <c r="D207" s="110"/>
      <c r="E207" s="110"/>
      <c r="F207" s="110"/>
      <c r="G207" s="111"/>
      <c r="H207" s="110"/>
      <c r="I207" s="110"/>
      <c r="J207" s="110"/>
      <c r="L207" s="58"/>
      <c r="M207" s="58"/>
      <c r="N207" s="58"/>
      <c r="O207" s="58"/>
      <c r="P207" s="58"/>
      <c r="Q207" s="58"/>
      <c r="R207" s="58"/>
      <c r="S207" s="58"/>
      <c r="T207" s="58"/>
      <c r="U207" s="58"/>
      <c r="W207" s="58"/>
      <c r="X207" s="58"/>
      <c r="Y207" s="58"/>
      <c r="Z207" s="58"/>
      <c r="AA207" s="58"/>
      <c r="AB207" s="58"/>
      <c r="AC207" s="58"/>
      <c r="AD207" s="58"/>
    </row>
    <row r="208" spans="3:30" x14ac:dyDescent="0.25">
      <c r="C208" s="112"/>
      <c r="D208" s="110"/>
      <c r="E208" s="110"/>
      <c r="F208" s="110"/>
      <c r="G208" s="111"/>
      <c r="H208" s="110"/>
      <c r="I208" s="110"/>
      <c r="J208" s="110"/>
      <c r="L208" s="58"/>
      <c r="M208" s="58"/>
      <c r="N208" s="58"/>
      <c r="O208" s="58"/>
      <c r="P208" s="58"/>
      <c r="Q208" s="58"/>
      <c r="R208" s="58"/>
      <c r="S208" s="58"/>
      <c r="T208" s="58"/>
      <c r="U208" s="58"/>
      <c r="W208" s="58"/>
      <c r="X208" s="58"/>
      <c r="Y208" s="58"/>
      <c r="Z208" s="58"/>
      <c r="AA208" s="58"/>
      <c r="AB208" s="58"/>
      <c r="AC208" s="58"/>
      <c r="AD208" s="58"/>
    </row>
    <row r="209" spans="3:30" x14ac:dyDescent="0.25">
      <c r="C209" s="112"/>
      <c r="D209" s="110"/>
      <c r="E209" s="110"/>
      <c r="F209" s="110"/>
      <c r="G209" s="111"/>
      <c r="H209" s="110"/>
      <c r="I209" s="110"/>
      <c r="J209" s="110"/>
      <c r="L209" s="58"/>
      <c r="M209" s="58"/>
      <c r="N209" s="58"/>
      <c r="O209" s="58"/>
      <c r="P209" s="58"/>
      <c r="Q209" s="58"/>
      <c r="R209" s="58"/>
      <c r="S209" s="58"/>
      <c r="T209" s="58"/>
      <c r="U209" s="58"/>
      <c r="W209" s="58"/>
      <c r="X209" s="58"/>
      <c r="Y209" s="58"/>
      <c r="Z209" s="58"/>
      <c r="AA209" s="58"/>
      <c r="AB209" s="58"/>
      <c r="AC209" s="58"/>
      <c r="AD209" s="58"/>
    </row>
    <row r="210" spans="3:30" x14ac:dyDescent="0.25">
      <c r="C210" s="112"/>
      <c r="D210" s="110"/>
      <c r="E210" s="110"/>
      <c r="F210" s="110"/>
      <c r="G210" s="111"/>
      <c r="H210" s="110"/>
      <c r="I210" s="110"/>
      <c r="J210" s="110"/>
      <c r="L210" s="58"/>
      <c r="M210" s="58"/>
      <c r="N210" s="58"/>
      <c r="O210" s="58"/>
      <c r="P210" s="58"/>
      <c r="Q210" s="58"/>
      <c r="R210" s="58"/>
      <c r="S210" s="58"/>
      <c r="T210" s="58"/>
      <c r="U210" s="58"/>
      <c r="W210" s="58"/>
      <c r="X210" s="58"/>
      <c r="Y210" s="58"/>
      <c r="Z210" s="58"/>
      <c r="AA210" s="58"/>
      <c r="AB210" s="58"/>
      <c r="AC210" s="58"/>
      <c r="AD210" s="58"/>
    </row>
    <row r="211" spans="3:30" x14ac:dyDescent="0.25">
      <c r="C211" s="112"/>
      <c r="D211" s="110"/>
      <c r="E211" s="110"/>
      <c r="F211" s="110"/>
      <c r="G211" s="111"/>
      <c r="H211" s="110"/>
      <c r="I211" s="110"/>
      <c r="J211" s="110"/>
      <c r="L211" s="58"/>
      <c r="M211" s="58"/>
      <c r="N211" s="58"/>
      <c r="O211" s="58"/>
      <c r="P211" s="58"/>
      <c r="Q211" s="58"/>
      <c r="R211" s="58"/>
      <c r="S211" s="58"/>
      <c r="T211" s="58"/>
      <c r="U211" s="58"/>
      <c r="W211" s="58"/>
      <c r="X211" s="58"/>
      <c r="Y211" s="58"/>
      <c r="Z211" s="58"/>
      <c r="AA211" s="58"/>
      <c r="AB211" s="58"/>
      <c r="AC211" s="58"/>
      <c r="AD211" s="58"/>
    </row>
    <row r="212" spans="3:30" x14ac:dyDescent="0.25">
      <c r="C212" s="112"/>
      <c r="D212" s="110"/>
      <c r="E212" s="110"/>
      <c r="F212" s="110"/>
      <c r="G212" s="111"/>
      <c r="H212" s="110"/>
      <c r="I212" s="110"/>
      <c r="J212" s="110"/>
      <c r="L212" s="58"/>
      <c r="M212" s="58"/>
      <c r="N212" s="58"/>
      <c r="O212" s="58"/>
      <c r="P212" s="58"/>
      <c r="Q212" s="58"/>
      <c r="R212" s="58"/>
      <c r="S212" s="58"/>
      <c r="T212" s="58"/>
      <c r="U212" s="58"/>
      <c r="W212" s="58"/>
      <c r="X212" s="58"/>
      <c r="Y212" s="58"/>
      <c r="Z212" s="58"/>
      <c r="AA212" s="58"/>
      <c r="AB212" s="58"/>
      <c r="AC212" s="58"/>
      <c r="AD212" s="58"/>
    </row>
    <row r="213" spans="3:30" x14ac:dyDescent="0.25">
      <c r="C213" s="112"/>
      <c r="D213" s="110"/>
      <c r="E213" s="110"/>
      <c r="F213" s="110"/>
      <c r="G213" s="111"/>
      <c r="H213" s="110"/>
      <c r="I213" s="110"/>
      <c r="J213" s="110"/>
      <c r="L213" s="58"/>
      <c r="M213" s="58"/>
      <c r="N213" s="58"/>
      <c r="O213" s="58"/>
      <c r="P213" s="58"/>
      <c r="Q213" s="58"/>
      <c r="R213" s="58"/>
      <c r="S213" s="58"/>
      <c r="T213" s="58"/>
      <c r="U213" s="58"/>
      <c r="W213" s="58"/>
      <c r="X213" s="58"/>
      <c r="Y213" s="58"/>
      <c r="Z213" s="58"/>
      <c r="AA213" s="58"/>
      <c r="AB213" s="58"/>
      <c r="AC213" s="58"/>
      <c r="AD213" s="58"/>
    </row>
    <row r="214" spans="3:30" x14ac:dyDescent="0.25">
      <c r="C214" s="112"/>
      <c r="D214" s="110"/>
      <c r="E214" s="110"/>
      <c r="F214" s="110"/>
      <c r="G214" s="111"/>
      <c r="H214" s="110"/>
      <c r="I214" s="110"/>
      <c r="J214" s="110"/>
      <c r="L214" s="58"/>
      <c r="M214" s="58"/>
      <c r="N214" s="58"/>
      <c r="O214" s="58"/>
      <c r="P214" s="58"/>
      <c r="Q214" s="58"/>
      <c r="R214" s="58"/>
      <c r="S214" s="58"/>
      <c r="T214" s="58"/>
      <c r="U214" s="58"/>
      <c r="W214" s="58"/>
      <c r="X214" s="58"/>
      <c r="Y214" s="58"/>
      <c r="Z214" s="58"/>
      <c r="AA214" s="58"/>
      <c r="AB214" s="58"/>
      <c r="AC214" s="58"/>
      <c r="AD214" s="58"/>
    </row>
    <row r="215" spans="3:30" x14ac:dyDescent="0.25">
      <c r="C215" s="112"/>
      <c r="D215" s="110"/>
      <c r="E215" s="110"/>
      <c r="F215" s="110"/>
      <c r="G215" s="111"/>
      <c r="H215" s="110"/>
      <c r="I215" s="110"/>
      <c r="J215" s="110"/>
      <c r="L215" s="58"/>
      <c r="M215" s="58"/>
      <c r="N215" s="58"/>
      <c r="O215" s="58"/>
      <c r="P215" s="58"/>
      <c r="Q215" s="58"/>
      <c r="R215" s="58"/>
      <c r="S215" s="58"/>
      <c r="T215" s="58"/>
      <c r="U215" s="58"/>
      <c r="W215" s="58"/>
      <c r="X215" s="58"/>
      <c r="Y215" s="58"/>
      <c r="Z215" s="58"/>
      <c r="AA215" s="58"/>
      <c r="AB215" s="58"/>
      <c r="AC215" s="58"/>
      <c r="AD215" s="58"/>
    </row>
    <row r="216" spans="3:30" x14ac:dyDescent="0.25">
      <c r="C216" s="112"/>
      <c r="D216" s="110"/>
      <c r="E216" s="110"/>
      <c r="F216" s="110"/>
      <c r="G216" s="111"/>
      <c r="H216" s="110"/>
      <c r="I216" s="110"/>
      <c r="J216" s="110"/>
      <c r="L216" s="58"/>
      <c r="M216" s="58"/>
      <c r="N216" s="58"/>
      <c r="O216" s="58"/>
      <c r="P216" s="58"/>
      <c r="Q216" s="58"/>
      <c r="R216" s="58"/>
      <c r="S216" s="58"/>
      <c r="T216" s="58"/>
      <c r="U216" s="58"/>
      <c r="W216" s="58"/>
      <c r="X216" s="58"/>
      <c r="Y216" s="58"/>
      <c r="Z216" s="58"/>
      <c r="AA216" s="58"/>
      <c r="AB216" s="58"/>
      <c r="AC216" s="58"/>
      <c r="AD216" s="58"/>
    </row>
    <row r="217" spans="3:30" x14ac:dyDescent="0.25">
      <c r="C217" s="112"/>
      <c r="D217" s="110"/>
      <c r="E217" s="110"/>
      <c r="F217" s="110"/>
      <c r="G217" s="111"/>
      <c r="H217" s="110"/>
      <c r="I217" s="110"/>
      <c r="J217" s="110"/>
      <c r="L217" s="58"/>
      <c r="M217" s="58"/>
      <c r="N217" s="58"/>
      <c r="O217" s="58"/>
      <c r="P217" s="58"/>
      <c r="Q217" s="58"/>
      <c r="R217" s="58"/>
      <c r="S217" s="58"/>
      <c r="T217" s="58"/>
      <c r="U217" s="58"/>
      <c r="W217" s="58"/>
      <c r="X217" s="58"/>
      <c r="Y217" s="58"/>
      <c r="Z217" s="58"/>
      <c r="AA217" s="58"/>
      <c r="AB217" s="58"/>
      <c r="AC217" s="58"/>
      <c r="AD217" s="58"/>
    </row>
    <row r="218" spans="3:30" x14ac:dyDescent="0.25">
      <c r="C218" s="112"/>
      <c r="D218" s="110"/>
      <c r="E218" s="110"/>
      <c r="F218" s="110"/>
      <c r="G218" s="111"/>
      <c r="H218" s="110"/>
      <c r="I218" s="110"/>
      <c r="J218" s="110"/>
      <c r="L218" s="58"/>
      <c r="M218" s="58"/>
      <c r="N218" s="58"/>
      <c r="O218" s="58"/>
      <c r="P218" s="58"/>
      <c r="Q218" s="58"/>
      <c r="R218" s="58"/>
      <c r="S218" s="58"/>
      <c r="T218" s="58"/>
      <c r="U218" s="58"/>
      <c r="W218" s="58"/>
      <c r="X218" s="58"/>
      <c r="Y218" s="58"/>
      <c r="Z218" s="58"/>
      <c r="AA218" s="58"/>
      <c r="AB218" s="58"/>
      <c r="AC218" s="58"/>
      <c r="AD218" s="58"/>
    </row>
    <row r="219" spans="3:30" x14ac:dyDescent="0.25">
      <c r="C219" s="112"/>
      <c r="D219" s="110"/>
      <c r="E219" s="110"/>
      <c r="F219" s="110"/>
      <c r="G219" s="111"/>
      <c r="H219" s="110"/>
      <c r="I219" s="110"/>
      <c r="J219" s="110"/>
      <c r="L219" s="58"/>
      <c r="M219" s="58"/>
      <c r="N219" s="58"/>
      <c r="O219" s="58"/>
      <c r="P219" s="58"/>
      <c r="Q219" s="58"/>
      <c r="R219" s="58"/>
      <c r="S219" s="58"/>
      <c r="T219" s="58"/>
      <c r="U219" s="58"/>
      <c r="W219" s="58"/>
      <c r="X219" s="58"/>
      <c r="Y219" s="58"/>
      <c r="Z219" s="58"/>
      <c r="AA219" s="58"/>
      <c r="AB219" s="58"/>
      <c r="AC219" s="58"/>
      <c r="AD219" s="58"/>
    </row>
    <row r="220" spans="3:30" x14ac:dyDescent="0.25">
      <c r="C220" s="112"/>
      <c r="D220" s="110"/>
      <c r="E220" s="110"/>
      <c r="F220" s="110"/>
      <c r="G220" s="111"/>
      <c r="H220" s="110"/>
      <c r="I220" s="110"/>
      <c r="J220" s="110"/>
      <c r="L220" s="58"/>
      <c r="M220" s="58"/>
      <c r="N220" s="58"/>
      <c r="O220" s="58"/>
      <c r="P220" s="58"/>
      <c r="Q220" s="58"/>
      <c r="R220" s="58"/>
      <c r="S220" s="58"/>
      <c r="T220" s="58"/>
      <c r="U220" s="58"/>
      <c r="W220" s="58"/>
      <c r="X220" s="58"/>
      <c r="Y220" s="58"/>
      <c r="Z220" s="58"/>
      <c r="AA220" s="58"/>
      <c r="AB220" s="58"/>
      <c r="AC220" s="58"/>
      <c r="AD220" s="58"/>
    </row>
    <row r="221" spans="3:30" x14ac:dyDescent="0.25">
      <c r="C221" s="112"/>
      <c r="D221" s="110"/>
      <c r="E221" s="110"/>
      <c r="F221" s="110"/>
      <c r="G221" s="111"/>
      <c r="H221" s="110"/>
      <c r="I221" s="110"/>
      <c r="J221" s="110"/>
      <c r="L221" s="58"/>
      <c r="M221" s="58"/>
      <c r="N221" s="58"/>
      <c r="O221" s="58"/>
      <c r="P221" s="58"/>
      <c r="Q221" s="58"/>
      <c r="R221" s="58"/>
      <c r="S221" s="58"/>
      <c r="T221" s="58"/>
      <c r="U221" s="58"/>
      <c r="W221" s="58"/>
      <c r="X221" s="58"/>
      <c r="Y221" s="58"/>
      <c r="Z221" s="58"/>
      <c r="AA221" s="58"/>
      <c r="AB221" s="58"/>
      <c r="AC221" s="58"/>
      <c r="AD221" s="58"/>
    </row>
    <row r="222" spans="3:30" x14ac:dyDescent="0.25">
      <c r="C222" s="112"/>
      <c r="D222" s="110"/>
      <c r="E222" s="110"/>
      <c r="F222" s="110"/>
      <c r="G222" s="111"/>
      <c r="H222" s="110"/>
      <c r="I222" s="110"/>
      <c r="J222" s="110"/>
      <c r="L222" s="58"/>
      <c r="M222" s="58"/>
      <c r="N222" s="58"/>
      <c r="O222" s="58"/>
      <c r="P222" s="58"/>
      <c r="Q222" s="58"/>
      <c r="R222" s="58"/>
      <c r="S222" s="58"/>
      <c r="T222" s="58"/>
      <c r="U222" s="58"/>
      <c r="W222" s="58"/>
      <c r="X222" s="58"/>
      <c r="Y222" s="58"/>
      <c r="Z222" s="58"/>
      <c r="AA222" s="58"/>
      <c r="AB222" s="58"/>
      <c r="AC222" s="58"/>
      <c r="AD222" s="58"/>
    </row>
    <row r="223" spans="3:30" x14ac:dyDescent="0.25">
      <c r="C223" s="112"/>
      <c r="D223" s="110"/>
      <c r="E223" s="110"/>
      <c r="F223" s="110"/>
      <c r="G223" s="111"/>
      <c r="H223" s="110"/>
      <c r="I223" s="110"/>
      <c r="J223" s="110"/>
      <c r="L223" s="58"/>
      <c r="M223" s="58"/>
      <c r="N223" s="58"/>
      <c r="O223" s="58"/>
      <c r="P223" s="58"/>
      <c r="Q223" s="58"/>
      <c r="R223" s="58"/>
      <c r="S223" s="58"/>
      <c r="T223" s="58"/>
      <c r="U223" s="58"/>
      <c r="W223" s="58"/>
      <c r="X223" s="58"/>
      <c r="Y223" s="58"/>
      <c r="Z223" s="58"/>
      <c r="AA223" s="58"/>
      <c r="AB223" s="58"/>
      <c r="AC223" s="58"/>
      <c r="AD223" s="58"/>
    </row>
    <row r="224" spans="3:30" x14ac:dyDescent="0.25">
      <c r="C224" s="112"/>
      <c r="D224" s="110"/>
      <c r="E224" s="110"/>
      <c r="F224" s="110"/>
      <c r="G224" s="111"/>
      <c r="H224" s="110"/>
      <c r="I224" s="110"/>
      <c r="J224" s="110"/>
      <c r="L224" s="58"/>
      <c r="M224" s="58"/>
      <c r="N224" s="58"/>
      <c r="O224" s="58"/>
      <c r="P224" s="58"/>
      <c r="Q224" s="58"/>
      <c r="R224" s="58"/>
      <c r="S224" s="58"/>
      <c r="T224" s="58"/>
      <c r="U224" s="58"/>
      <c r="W224" s="58"/>
      <c r="X224" s="58"/>
      <c r="Y224" s="58"/>
      <c r="Z224" s="58"/>
      <c r="AA224" s="58"/>
      <c r="AB224" s="58"/>
      <c r="AC224" s="58"/>
      <c r="AD224" s="58"/>
    </row>
    <row r="225" spans="3:30" x14ac:dyDescent="0.25">
      <c r="C225" s="112"/>
      <c r="D225" s="110"/>
      <c r="E225" s="110"/>
      <c r="F225" s="110"/>
      <c r="G225" s="111"/>
      <c r="H225" s="110"/>
      <c r="I225" s="110"/>
      <c r="J225" s="110"/>
      <c r="L225" s="58"/>
      <c r="M225" s="58"/>
      <c r="N225" s="58"/>
      <c r="O225" s="58"/>
      <c r="P225" s="58"/>
      <c r="Q225" s="58"/>
      <c r="R225" s="58"/>
      <c r="S225" s="58"/>
      <c r="T225" s="58"/>
      <c r="U225" s="58"/>
      <c r="W225" s="58"/>
      <c r="X225" s="58"/>
      <c r="Y225" s="58"/>
      <c r="Z225" s="58"/>
      <c r="AA225" s="58"/>
      <c r="AB225" s="58"/>
      <c r="AC225" s="58"/>
      <c r="AD225" s="58"/>
    </row>
    <row r="226" spans="3:30" x14ac:dyDescent="0.25">
      <c r="C226" s="112"/>
      <c r="D226" s="110"/>
      <c r="E226" s="110"/>
      <c r="F226" s="110"/>
      <c r="G226" s="111"/>
      <c r="H226" s="110"/>
      <c r="I226" s="110"/>
      <c r="J226" s="110"/>
      <c r="L226" s="58"/>
      <c r="M226" s="58"/>
      <c r="N226" s="58"/>
      <c r="O226" s="58"/>
      <c r="P226" s="58"/>
      <c r="Q226" s="58"/>
      <c r="R226" s="58"/>
      <c r="S226" s="58"/>
      <c r="T226" s="58"/>
      <c r="U226" s="58"/>
      <c r="W226" s="58"/>
      <c r="X226" s="58"/>
      <c r="Y226" s="58"/>
      <c r="Z226" s="58"/>
      <c r="AA226" s="58"/>
      <c r="AB226" s="58"/>
      <c r="AC226" s="58"/>
      <c r="AD226" s="58"/>
    </row>
    <row r="227" spans="3:30" x14ac:dyDescent="0.25">
      <c r="C227" s="112"/>
      <c r="D227" s="110"/>
      <c r="E227" s="110"/>
      <c r="F227" s="110"/>
      <c r="G227" s="111"/>
      <c r="H227" s="110"/>
      <c r="I227" s="110"/>
      <c r="J227" s="110"/>
      <c r="L227" s="58"/>
      <c r="M227" s="58"/>
      <c r="N227" s="58"/>
      <c r="O227" s="58"/>
      <c r="P227" s="58"/>
      <c r="Q227" s="58"/>
      <c r="R227" s="58"/>
      <c r="S227" s="58"/>
      <c r="T227" s="58"/>
      <c r="U227" s="58"/>
      <c r="W227" s="58"/>
      <c r="X227" s="58"/>
      <c r="Y227" s="58"/>
      <c r="Z227" s="58"/>
      <c r="AA227" s="58"/>
      <c r="AB227" s="58"/>
      <c r="AC227" s="58"/>
      <c r="AD227" s="58"/>
    </row>
    <row r="228" spans="3:30" x14ac:dyDescent="0.25">
      <c r="C228" s="112"/>
      <c r="D228" s="110"/>
      <c r="E228" s="110"/>
      <c r="F228" s="110"/>
      <c r="G228" s="111"/>
      <c r="H228" s="110"/>
      <c r="I228" s="110"/>
      <c r="J228" s="110"/>
      <c r="L228" s="58"/>
      <c r="M228" s="58"/>
      <c r="N228" s="58"/>
      <c r="O228" s="58"/>
      <c r="P228" s="58"/>
      <c r="Q228" s="58"/>
      <c r="R228" s="58"/>
      <c r="S228" s="58"/>
      <c r="T228" s="58"/>
      <c r="U228" s="58"/>
      <c r="W228" s="58"/>
      <c r="X228" s="58"/>
      <c r="Y228" s="58"/>
      <c r="Z228" s="58"/>
      <c r="AA228" s="58"/>
      <c r="AB228" s="58"/>
      <c r="AC228" s="58"/>
      <c r="AD228" s="58"/>
    </row>
    <row r="229" spans="3:30" x14ac:dyDescent="0.25">
      <c r="C229" s="112"/>
      <c r="D229" s="110"/>
      <c r="E229" s="110"/>
      <c r="F229" s="110"/>
      <c r="G229" s="111"/>
      <c r="H229" s="110"/>
      <c r="I229" s="110"/>
      <c r="J229" s="110"/>
      <c r="L229" s="58"/>
      <c r="M229" s="58"/>
      <c r="N229" s="58"/>
      <c r="O229" s="58"/>
      <c r="P229" s="58"/>
      <c r="Q229" s="58"/>
      <c r="R229" s="58"/>
      <c r="S229" s="58"/>
      <c r="T229" s="58"/>
      <c r="U229" s="58"/>
      <c r="W229" s="58"/>
      <c r="X229" s="58"/>
      <c r="Y229" s="58"/>
      <c r="Z229" s="58"/>
      <c r="AA229" s="58"/>
      <c r="AB229" s="58"/>
      <c r="AC229" s="58"/>
      <c r="AD229" s="58"/>
    </row>
    <row r="230" spans="3:30" x14ac:dyDescent="0.25">
      <c r="C230" s="112"/>
      <c r="D230" s="110"/>
      <c r="E230" s="110"/>
      <c r="F230" s="110"/>
      <c r="G230" s="111"/>
      <c r="H230" s="110"/>
      <c r="I230" s="110"/>
      <c r="J230" s="110"/>
      <c r="L230" s="58"/>
      <c r="M230" s="58"/>
      <c r="N230" s="58"/>
      <c r="O230" s="58"/>
      <c r="P230" s="58"/>
      <c r="Q230" s="58"/>
      <c r="R230" s="58"/>
      <c r="S230" s="58"/>
      <c r="T230" s="58"/>
      <c r="U230" s="58"/>
      <c r="W230" s="58"/>
      <c r="X230" s="58"/>
      <c r="Y230" s="58"/>
      <c r="Z230" s="58"/>
      <c r="AA230" s="58"/>
      <c r="AB230" s="58"/>
      <c r="AC230" s="58"/>
      <c r="AD230" s="58"/>
    </row>
    <row r="231" spans="3:30" x14ac:dyDescent="0.25">
      <c r="C231" s="112"/>
      <c r="D231" s="110"/>
      <c r="E231" s="110"/>
      <c r="F231" s="110"/>
      <c r="G231" s="111"/>
      <c r="H231" s="110"/>
      <c r="I231" s="110"/>
      <c r="J231" s="110"/>
      <c r="L231" s="58"/>
      <c r="M231" s="58"/>
      <c r="N231" s="58"/>
      <c r="O231" s="58"/>
      <c r="P231" s="58"/>
      <c r="Q231" s="58"/>
      <c r="R231" s="58"/>
      <c r="S231" s="58"/>
      <c r="T231" s="58"/>
      <c r="U231" s="58"/>
      <c r="W231" s="58"/>
      <c r="X231" s="58"/>
      <c r="Y231" s="58"/>
      <c r="Z231" s="58"/>
      <c r="AA231" s="58"/>
      <c r="AB231" s="58"/>
      <c r="AC231" s="58"/>
      <c r="AD231" s="58"/>
    </row>
    <row r="232" spans="3:30" x14ac:dyDescent="0.25">
      <c r="C232" s="112"/>
      <c r="D232" s="110"/>
      <c r="E232" s="110"/>
      <c r="F232" s="110"/>
      <c r="G232" s="111"/>
      <c r="H232" s="110"/>
      <c r="I232" s="110"/>
      <c r="J232" s="110"/>
      <c r="L232" s="58"/>
      <c r="M232" s="58"/>
      <c r="N232" s="58"/>
      <c r="O232" s="58"/>
      <c r="P232" s="58"/>
      <c r="Q232" s="58"/>
      <c r="R232" s="58"/>
      <c r="S232" s="58"/>
      <c r="T232" s="58"/>
      <c r="U232" s="58"/>
      <c r="W232" s="58"/>
      <c r="X232" s="58"/>
      <c r="Y232" s="58"/>
      <c r="Z232" s="58"/>
      <c r="AA232" s="58"/>
      <c r="AB232" s="58"/>
      <c r="AC232" s="58"/>
      <c r="AD232" s="58"/>
    </row>
    <row r="233" spans="3:30" x14ac:dyDescent="0.25">
      <c r="C233" s="112"/>
      <c r="D233" s="110"/>
      <c r="E233" s="110"/>
      <c r="F233" s="110"/>
      <c r="G233" s="111"/>
      <c r="H233" s="110"/>
      <c r="I233" s="110"/>
      <c r="J233" s="110"/>
      <c r="L233" s="58"/>
      <c r="M233" s="58"/>
      <c r="N233" s="58"/>
      <c r="O233" s="58"/>
      <c r="P233" s="58"/>
      <c r="Q233" s="58"/>
      <c r="R233" s="58"/>
      <c r="S233" s="58"/>
      <c r="T233" s="58"/>
      <c r="U233" s="58"/>
      <c r="W233" s="58"/>
      <c r="X233" s="58"/>
      <c r="Y233" s="58"/>
      <c r="Z233" s="58"/>
      <c r="AA233" s="58"/>
      <c r="AB233" s="58"/>
      <c r="AC233" s="58"/>
      <c r="AD233" s="58"/>
    </row>
    <row r="234" spans="3:30" x14ac:dyDescent="0.25">
      <c r="C234" s="112"/>
      <c r="D234" s="110"/>
      <c r="E234" s="110"/>
      <c r="F234" s="110"/>
      <c r="G234" s="111"/>
      <c r="H234" s="110"/>
      <c r="I234" s="110"/>
      <c r="J234" s="110"/>
      <c r="L234" s="58"/>
      <c r="M234" s="58"/>
      <c r="N234" s="58"/>
      <c r="O234" s="58"/>
      <c r="P234" s="58"/>
      <c r="Q234" s="58"/>
      <c r="R234" s="58"/>
      <c r="S234" s="58"/>
      <c r="T234" s="58"/>
      <c r="U234" s="58"/>
      <c r="W234" s="58"/>
      <c r="X234" s="58"/>
      <c r="Y234" s="58"/>
      <c r="Z234" s="58"/>
      <c r="AA234" s="58"/>
      <c r="AB234" s="58"/>
      <c r="AC234" s="58"/>
      <c r="AD234" s="58"/>
    </row>
    <row r="235" spans="3:30" x14ac:dyDescent="0.25">
      <c r="C235" s="112"/>
      <c r="D235" s="110"/>
      <c r="E235" s="110"/>
      <c r="F235" s="110"/>
      <c r="G235" s="111"/>
      <c r="H235" s="110"/>
      <c r="I235" s="110"/>
      <c r="J235" s="110"/>
      <c r="L235" s="58"/>
      <c r="M235" s="58"/>
      <c r="N235" s="58"/>
      <c r="O235" s="58"/>
      <c r="P235" s="58"/>
      <c r="Q235" s="58"/>
      <c r="R235" s="58"/>
      <c r="S235" s="58"/>
      <c r="T235" s="58"/>
      <c r="U235" s="58"/>
      <c r="W235" s="58"/>
      <c r="X235" s="58"/>
      <c r="Y235" s="58"/>
      <c r="Z235" s="58"/>
      <c r="AA235" s="58"/>
      <c r="AB235" s="58"/>
      <c r="AC235" s="58"/>
      <c r="AD235" s="58"/>
    </row>
    <row r="236" spans="3:30" x14ac:dyDescent="0.25">
      <c r="C236" s="112"/>
      <c r="D236" s="110"/>
      <c r="E236" s="110"/>
      <c r="F236" s="110"/>
      <c r="G236" s="111"/>
      <c r="H236" s="110"/>
      <c r="I236" s="110"/>
      <c r="J236" s="110"/>
      <c r="L236" s="58"/>
      <c r="M236" s="58"/>
      <c r="N236" s="58"/>
      <c r="O236" s="58"/>
      <c r="P236" s="58"/>
      <c r="Q236" s="58"/>
      <c r="R236" s="58"/>
      <c r="S236" s="58"/>
      <c r="T236" s="58"/>
      <c r="U236" s="58"/>
      <c r="W236" s="58"/>
      <c r="X236" s="58"/>
      <c r="Y236" s="58"/>
      <c r="Z236" s="58"/>
      <c r="AA236" s="58"/>
      <c r="AB236" s="58"/>
      <c r="AC236" s="58"/>
      <c r="AD236" s="58"/>
    </row>
    <row r="237" spans="3:30" x14ac:dyDescent="0.25">
      <c r="C237" s="112"/>
      <c r="D237" s="110"/>
      <c r="E237" s="110"/>
      <c r="F237" s="110"/>
      <c r="G237" s="111"/>
      <c r="H237" s="110"/>
      <c r="I237" s="110"/>
      <c r="J237" s="110"/>
      <c r="L237" s="58"/>
      <c r="M237" s="58"/>
      <c r="N237" s="58"/>
      <c r="O237" s="58"/>
      <c r="P237" s="58"/>
      <c r="Q237" s="58"/>
      <c r="R237" s="58"/>
      <c r="S237" s="58"/>
      <c r="T237" s="58"/>
      <c r="U237" s="58"/>
      <c r="W237" s="58"/>
      <c r="X237" s="58"/>
      <c r="Y237" s="58"/>
      <c r="Z237" s="58"/>
      <c r="AA237" s="58"/>
      <c r="AB237" s="58"/>
      <c r="AC237" s="58"/>
      <c r="AD237" s="58"/>
    </row>
    <row r="238" spans="3:30" x14ac:dyDescent="0.25">
      <c r="C238" s="112"/>
      <c r="D238" s="110"/>
      <c r="E238" s="110"/>
      <c r="F238" s="110"/>
      <c r="G238" s="111"/>
      <c r="H238" s="110"/>
      <c r="I238" s="110"/>
      <c r="J238" s="110"/>
      <c r="L238" s="58"/>
      <c r="M238" s="58"/>
      <c r="N238" s="58"/>
      <c r="O238" s="58"/>
      <c r="P238" s="58"/>
      <c r="Q238" s="58"/>
      <c r="R238" s="58"/>
      <c r="S238" s="58"/>
      <c r="T238" s="58"/>
      <c r="U238" s="58"/>
      <c r="W238" s="58"/>
      <c r="X238" s="58"/>
      <c r="Y238" s="58"/>
      <c r="Z238" s="58"/>
      <c r="AA238" s="58"/>
      <c r="AB238" s="58"/>
      <c r="AC238" s="58"/>
      <c r="AD238" s="58"/>
    </row>
    <row r="239" spans="3:30" x14ac:dyDescent="0.25">
      <c r="C239" s="112"/>
      <c r="D239" s="110"/>
      <c r="E239" s="110"/>
      <c r="F239" s="110"/>
      <c r="G239" s="111"/>
      <c r="H239" s="110"/>
      <c r="I239" s="110"/>
      <c r="J239" s="110"/>
      <c r="L239" s="58"/>
      <c r="M239" s="58"/>
      <c r="N239" s="58"/>
      <c r="O239" s="58"/>
      <c r="P239" s="58"/>
      <c r="Q239" s="58"/>
      <c r="R239" s="58"/>
      <c r="S239" s="58"/>
      <c r="T239" s="58"/>
      <c r="U239" s="58"/>
      <c r="W239" s="58"/>
      <c r="X239" s="58"/>
      <c r="Y239" s="58"/>
      <c r="Z239" s="58"/>
      <c r="AA239" s="58"/>
      <c r="AB239" s="58"/>
      <c r="AC239" s="58"/>
      <c r="AD239" s="58"/>
    </row>
    <row r="240" spans="3:30" x14ac:dyDescent="0.25">
      <c r="C240" s="112"/>
      <c r="D240" s="110"/>
      <c r="E240" s="110"/>
      <c r="F240" s="110"/>
      <c r="G240" s="111"/>
      <c r="H240" s="110"/>
      <c r="I240" s="110"/>
      <c r="J240" s="110"/>
      <c r="L240" s="58"/>
      <c r="M240" s="58"/>
      <c r="N240" s="58"/>
      <c r="O240" s="58"/>
      <c r="P240" s="58"/>
      <c r="Q240" s="58"/>
      <c r="R240" s="58"/>
      <c r="S240" s="58"/>
      <c r="T240" s="58"/>
      <c r="U240" s="58"/>
      <c r="W240" s="58"/>
      <c r="X240" s="58"/>
      <c r="Y240" s="58"/>
      <c r="Z240" s="58"/>
      <c r="AA240" s="58"/>
      <c r="AB240" s="58"/>
      <c r="AC240" s="58"/>
      <c r="AD240" s="58"/>
    </row>
    <row r="241" spans="3:30" x14ac:dyDescent="0.25">
      <c r="C241" s="112"/>
      <c r="D241" s="110"/>
      <c r="E241" s="110"/>
      <c r="F241" s="110"/>
      <c r="G241" s="111"/>
      <c r="H241" s="110"/>
      <c r="I241" s="110"/>
      <c r="J241" s="110"/>
      <c r="L241" s="58"/>
      <c r="M241" s="58"/>
      <c r="N241" s="58"/>
      <c r="O241" s="58"/>
      <c r="P241" s="58"/>
      <c r="Q241" s="58"/>
      <c r="R241" s="58"/>
      <c r="S241" s="58"/>
      <c r="T241" s="58"/>
      <c r="U241" s="58"/>
      <c r="W241" s="58"/>
      <c r="X241" s="58"/>
      <c r="Y241" s="58"/>
      <c r="Z241" s="58"/>
      <c r="AA241" s="58"/>
      <c r="AB241" s="58"/>
      <c r="AC241" s="58"/>
      <c r="AD241" s="58"/>
    </row>
    <row r="242" spans="3:30" x14ac:dyDescent="0.25">
      <c r="C242" s="112"/>
      <c r="D242" s="110"/>
      <c r="E242" s="110"/>
      <c r="F242" s="110"/>
      <c r="G242" s="111"/>
      <c r="H242" s="110"/>
      <c r="I242" s="110"/>
      <c r="J242" s="110"/>
      <c r="L242" s="58"/>
      <c r="M242" s="58"/>
      <c r="N242" s="58"/>
      <c r="O242" s="58"/>
      <c r="P242" s="58"/>
      <c r="Q242" s="58"/>
      <c r="R242" s="58"/>
      <c r="S242" s="58"/>
      <c r="T242" s="58"/>
      <c r="U242" s="58"/>
      <c r="W242" s="58"/>
      <c r="X242" s="58"/>
      <c r="Y242" s="58"/>
      <c r="Z242" s="58"/>
      <c r="AA242" s="58"/>
      <c r="AB242" s="58"/>
      <c r="AC242" s="58"/>
      <c r="AD242" s="58"/>
    </row>
    <row r="243" spans="3:30" x14ac:dyDescent="0.25">
      <c r="C243" s="112"/>
      <c r="D243" s="110"/>
      <c r="E243" s="110"/>
      <c r="F243" s="110"/>
      <c r="G243" s="111"/>
      <c r="H243" s="110"/>
      <c r="I243" s="110"/>
      <c r="J243" s="110"/>
      <c r="L243" s="58"/>
      <c r="M243" s="58"/>
      <c r="N243" s="58"/>
      <c r="O243" s="58"/>
      <c r="P243" s="58"/>
      <c r="Q243" s="58"/>
      <c r="R243" s="58"/>
      <c r="S243" s="58"/>
      <c r="T243" s="58"/>
      <c r="U243" s="58"/>
      <c r="W243" s="58"/>
      <c r="X243" s="58"/>
      <c r="Y243" s="58"/>
      <c r="Z243" s="58"/>
      <c r="AA243" s="58"/>
      <c r="AB243" s="58"/>
      <c r="AC243" s="58"/>
      <c r="AD243" s="58"/>
    </row>
    <row r="244" spans="3:30" x14ac:dyDescent="0.25">
      <c r="C244" s="112"/>
      <c r="D244" s="110"/>
      <c r="E244" s="110"/>
      <c r="F244" s="110"/>
      <c r="G244" s="111"/>
      <c r="H244" s="110"/>
      <c r="I244" s="110"/>
      <c r="J244" s="110"/>
      <c r="L244" s="58"/>
      <c r="M244" s="58"/>
      <c r="N244" s="58"/>
      <c r="O244" s="58"/>
      <c r="P244" s="58"/>
      <c r="Q244" s="58"/>
      <c r="R244" s="58"/>
      <c r="S244" s="58"/>
      <c r="T244" s="58"/>
      <c r="U244" s="58"/>
      <c r="W244" s="58"/>
      <c r="X244" s="58"/>
      <c r="Y244" s="58"/>
      <c r="Z244" s="58"/>
      <c r="AA244" s="58"/>
      <c r="AB244" s="58"/>
      <c r="AC244" s="58"/>
      <c r="AD244" s="58"/>
    </row>
    <row r="245" spans="3:30" x14ac:dyDescent="0.25">
      <c r="C245" s="112"/>
      <c r="D245" s="110"/>
      <c r="E245" s="110"/>
      <c r="F245" s="110"/>
      <c r="G245" s="111"/>
      <c r="H245" s="110"/>
      <c r="I245" s="110"/>
      <c r="J245" s="110"/>
      <c r="L245" s="58"/>
      <c r="M245" s="58"/>
      <c r="N245" s="58"/>
      <c r="O245" s="58"/>
      <c r="P245" s="58"/>
      <c r="Q245" s="58"/>
      <c r="R245" s="58"/>
      <c r="S245" s="58"/>
      <c r="T245" s="58"/>
      <c r="U245" s="58"/>
      <c r="W245" s="58"/>
      <c r="X245" s="58"/>
      <c r="Y245" s="58"/>
      <c r="Z245" s="58"/>
      <c r="AA245" s="58"/>
      <c r="AB245" s="58"/>
      <c r="AC245" s="58"/>
      <c r="AD245" s="58"/>
    </row>
    <row r="246" spans="3:30" x14ac:dyDescent="0.25">
      <c r="C246" s="112"/>
      <c r="D246" s="110"/>
      <c r="E246" s="110"/>
      <c r="F246" s="110"/>
      <c r="G246" s="111"/>
      <c r="H246" s="110"/>
      <c r="I246" s="110"/>
      <c r="J246" s="110"/>
      <c r="L246" s="58"/>
      <c r="M246" s="58"/>
      <c r="N246" s="58"/>
      <c r="O246" s="58"/>
      <c r="P246" s="58"/>
      <c r="Q246" s="58"/>
      <c r="R246" s="58"/>
      <c r="S246" s="58"/>
      <c r="T246" s="58"/>
      <c r="U246" s="58"/>
      <c r="W246" s="58"/>
      <c r="X246" s="58"/>
      <c r="Y246" s="58"/>
      <c r="Z246" s="58"/>
      <c r="AA246" s="58"/>
      <c r="AB246" s="58"/>
      <c r="AC246" s="58"/>
      <c r="AD246" s="58"/>
    </row>
    <row r="247" spans="3:30" x14ac:dyDescent="0.25">
      <c r="C247" s="112"/>
      <c r="D247" s="110"/>
      <c r="E247" s="110"/>
      <c r="F247" s="110"/>
      <c r="G247" s="111"/>
      <c r="H247" s="110"/>
      <c r="I247" s="110"/>
      <c r="J247" s="110"/>
      <c r="L247" s="58"/>
      <c r="M247" s="58"/>
      <c r="N247" s="58"/>
      <c r="O247" s="58"/>
      <c r="P247" s="58"/>
      <c r="Q247" s="58"/>
      <c r="R247" s="58"/>
      <c r="S247" s="58"/>
      <c r="T247" s="58"/>
      <c r="U247" s="58"/>
      <c r="W247" s="58"/>
      <c r="X247" s="58"/>
      <c r="Y247" s="58"/>
      <c r="Z247" s="58"/>
      <c r="AA247" s="58"/>
      <c r="AB247" s="58"/>
      <c r="AC247" s="58"/>
      <c r="AD247" s="58"/>
    </row>
    <row r="248" spans="3:30" x14ac:dyDescent="0.25">
      <c r="C248" s="112"/>
      <c r="D248" s="110"/>
      <c r="E248" s="110"/>
      <c r="F248" s="110"/>
      <c r="G248" s="111"/>
      <c r="H248" s="110"/>
      <c r="I248" s="110"/>
      <c r="J248" s="110"/>
      <c r="L248" s="58"/>
      <c r="M248" s="58"/>
      <c r="N248" s="58"/>
      <c r="O248" s="58"/>
      <c r="P248" s="58"/>
      <c r="Q248" s="58"/>
      <c r="R248" s="58"/>
      <c r="S248" s="58"/>
      <c r="T248" s="58"/>
      <c r="U248" s="58"/>
      <c r="W248" s="58"/>
      <c r="X248" s="58"/>
      <c r="Y248" s="58"/>
      <c r="Z248" s="58"/>
      <c r="AA248" s="58"/>
      <c r="AB248" s="58"/>
      <c r="AC248" s="58"/>
      <c r="AD248" s="58"/>
    </row>
    <row r="249" spans="3:30" x14ac:dyDescent="0.25">
      <c r="C249" s="112"/>
      <c r="D249" s="110"/>
      <c r="E249" s="110"/>
      <c r="F249" s="110"/>
      <c r="G249" s="111"/>
      <c r="H249" s="110"/>
      <c r="I249" s="110"/>
      <c r="J249" s="110"/>
      <c r="L249" s="58"/>
      <c r="M249" s="58"/>
      <c r="N249" s="58"/>
      <c r="O249" s="58"/>
      <c r="P249" s="58"/>
      <c r="Q249" s="58"/>
      <c r="R249" s="58"/>
      <c r="S249" s="58"/>
      <c r="T249" s="58"/>
      <c r="U249" s="58"/>
      <c r="W249" s="58"/>
      <c r="X249" s="58"/>
      <c r="Y249" s="58"/>
      <c r="Z249" s="58"/>
      <c r="AA249" s="58"/>
      <c r="AB249" s="58"/>
      <c r="AC249" s="58"/>
      <c r="AD249" s="58"/>
    </row>
    <row r="250" spans="3:30" x14ac:dyDescent="0.25">
      <c r="C250" s="112"/>
      <c r="D250" s="110"/>
      <c r="E250" s="110"/>
      <c r="F250" s="110"/>
      <c r="G250" s="111"/>
      <c r="H250" s="110"/>
      <c r="I250" s="110"/>
      <c r="J250" s="110"/>
      <c r="L250" s="58"/>
      <c r="M250" s="58"/>
      <c r="N250" s="58"/>
      <c r="O250" s="58"/>
      <c r="P250" s="58"/>
      <c r="Q250" s="58"/>
      <c r="R250" s="58"/>
      <c r="S250" s="58"/>
      <c r="T250" s="58"/>
      <c r="U250" s="58"/>
      <c r="W250" s="58"/>
      <c r="X250" s="58"/>
      <c r="Y250" s="58"/>
      <c r="Z250" s="58"/>
      <c r="AA250" s="58"/>
      <c r="AB250" s="58"/>
      <c r="AC250" s="58"/>
      <c r="AD250" s="58"/>
    </row>
    <row r="251" spans="3:30" x14ac:dyDescent="0.25">
      <c r="C251" s="112"/>
      <c r="D251" s="110"/>
      <c r="E251" s="110"/>
      <c r="F251" s="110"/>
      <c r="G251" s="111"/>
      <c r="H251" s="110"/>
      <c r="I251" s="110"/>
      <c r="J251" s="110"/>
      <c r="L251" s="58"/>
      <c r="M251" s="58"/>
      <c r="N251" s="58"/>
      <c r="O251" s="58"/>
      <c r="P251" s="58"/>
      <c r="Q251" s="58"/>
      <c r="R251" s="58"/>
      <c r="S251" s="58"/>
      <c r="T251" s="58"/>
      <c r="U251" s="58"/>
      <c r="W251" s="58"/>
      <c r="X251" s="58"/>
      <c r="Y251" s="58"/>
      <c r="Z251" s="58"/>
      <c r="AA251" s="58"/>
      <c r="AB251" s="58"/>
      <c r="AC251" s="58"/>
      <c r="AD251" s="58"/>
    </row>
    <row r="252" spans="3:30" x14ac:dyDescent="0.25">
      <c r="C252" s="112"/>
      <c r="D252" s="110"/>
      <c r="E252" s="110"/>
      <c r="F252" s="110"/>
      <c r="G252" s="111"/>
      <c r="H252" s="110"/>
      <c r="I252" s="110"/>
      <c r="J252" s="110"/>
      <c r="L252" s="58"/>
      <c r="M252" s="58"/>
      <c r="N252" s="58"/>
      <c r="O252" s="58"/>
      <c r="P252" s="58"/>
      <c r="Q252" s="58"/>
      <c r="R252" s="58"/>
      <c r="S252" s="58"/>
      <c r="T252" s="58"/>
      <c r="U252" s="58"/>
      <c r="W252" s="58"/>
      <c r="X252" s="58"/>
      <c r="Y252" s="58"/>
      <c r="Z252" s="58"/>
      <c r="AA252" s="58"/>
      <c r="AB252" s="58"/>
      <c r="AC252" s="58"/>
      <c r="AD252" s="58"/>
    </row>
    <row r="253" spans="3:30" x14ac:dyDescent="0.25">
      <c r="C253" s="112"/>
      <c r="D253" s="110"/>
      <c r="E253" s="110"/>
      <c r="F253" s="110"/>
      <c r="G253" s="111"/>
      <c r="H253" s="110"/>
      <c r="I253" s="110"/>
      <c r="J253" s="110"/>
      <c r="L253" s="58"/>
      <c r="M253" s="58"/>
      <c r="N253" s="58"/>
      <c r="O253" s="58"/>
      <c r="P253" s="58"/>
      <c r="Q253" s="58"/>
      <c r="R253" s="58"/>
      <c r="S253" s="58"/>
      <c r="T253" s="58"/>
      <c r="U253" s="58"/>
      <c r="W253" s="58"/>
      <c r="X253" s="58"/>
      <c r="Y253" s="58"/>
      <c r="Z253" s="58"/>
      <c r="AA253" s="58"/>
      <c r="AB253" s="58"/>
      <c r="AC253" s="58"/>
      <c r="AD253" s="58"/>
    </row>
    <row r="254" spans="3:30" x14ac:dyDescent="0.25">
      <c r="C254" s="112"/>
      <c r="D254" s="110"/>
      <c r="E254" s="110"/>
      <c r="F254" s="110"/>
      <c r="G254" s="111"/>
      <c r="H254" s="110"/>
      <c r="I254" s="110"/>
      <c r="J254" s="110"/>
      <c r="L254" s="58"/>
      <c r="M254" s="58"/>
      <c r="N254" s="58"/>
      <c r="O254" s="58"/>
      <c r="P254" s="58"/>
      <c r="Q254" s="58"/>
      <c r="R254" s="58"/>
      <c r="S254" s="58"/>
      <c r="T254" s="58"/>
      <c r="U254" s="58"/>
      <c r="W254" s="58"/>
      <c r="X254" s="58"/>
      <c r="Y254" s="58"/>
      <c r="Z254" s="58"/>
      <c r="AA254" s="58"/>
      <c r="AB254" s="58"/>
      <c r="AC254" s="58"/>
      <c r="AD254" s="58"/>
    </row>
    <row r="255" spans="3:30" x14ac:dyDescent="0.25">
      <c r="C255" s="112"/>
      <c r="D255" s="110"/>
      <c r="E255" s="110"/>
      <c r="F255" s="110"/>
      <c r="G255" s="111"/>
      <c r="H255" s="110"/>
      <c r="I255" s="110"/>
      <c r="J255" s="110"/>
      <c r="L255" s="58"/>
      <c r="M255" s="58"/>
      <c r="N255" s="58"/>
      <c r="O255" s="58"/>
      <c r="P255" s="58"/>
      <c r="Q255" s="58"/>
      <c r="R255" s="58"/>
      <c r="S255" s="58"/>
      <c r="T255" s="58"/>
      <c r="U255" s="58"/>
      <c r="W255" s="58"/>
      <c r="X255" s="58"/>
      <c r="Y255" s="58"/>
      <c r="Z255" s="58"/>
      <c r="AA255" s="58"/>
      <c r="AB255" s="58"/>
      <c r="AC255" s="58"/>
      <c r="AD255" s="58"/>
    </row>
    <row r="256" spans="3:30" x14ac:dyDescent="0.25">
      <c r="C256" s="112"/>
      <c r="D256" s="110"/>
      <c r="E256" s="110"/>
      <c r="F256" s="110"/>
      <c r="G256" s="111"/>
      <c r="H256" s="110"/>
      <c r="I256" s="110"/>
      <c r="J256" s="110"/>
      <c r="L256" s="58"/>
      <c r="M256" s="58"/>
      <c r="N256" s="58"/>
      <c r="O256" s="58"/>
      <c r="P256" s="58"/>
      <c r="Q256" s="58"/>
      <c r="R256" s="58"/>
      <c r="S256" s="58"/>
      <c r="T256" s="58"/>
      <c r="U256" s="58"/>
      <c r="W256" s="58"/>
      <c r="X256" s="58"/>
      <c r="Y256" s="58"/>
      <c r="Z256" s="58"/>
      <c r="AA256" s="58"/>
      <c r="AB256" s="58"/>
      <c r="AC256" s="58"/>
      <c r="AD256" s="58"/>
    </row>
    <row r="257" spans="3:30" x14ac:dyDescent="0.25">
      <c r="C257" s="112"/>
      <c r="D257" s="110"/>
      <c r="E257" s="110"/>
      <c r="F257" s="110"/>
      <c r="G257" s="111"/>
      <c r="H257" s="110"/>
      <c r="I257" s="110"/>
      <c r="J257" s="110"/>
      <c r="L257" s="58"/>
      <c r="M257" s="58"/>
      <c r="N257" s="58"/>
      <c r="O257" s="58"/>
      <c r="P257" s="58"/>
      <c r="Q257" s="58"/>
      <c r="R257" s="58"/>
      <c r="S257" s="58"/>
      <c r="T257" s="58"/>
      <c r="U257" s="58"/>
      <c r="W257" s="58"/>
      <c r="X257" s="58"/>
      <c r="Y257" s="58"/>
      <c r="Z257" s="58"/>
      <c r="AA257" s="58"/>
      <c r="AB257" s="58"/>
      <c r="AC257" s="58"/>
      <c r="AD257" s="58"/>
    </row>
    <row r="258" spans="3:30" x14ac:dyDescent="0.25">
      <c r="C258" s="112"/>
      <c r="D258" s="110"/>
      <c r="E258" s="110"/>
      <c r="F258" s="110"/>
      <c r="G258" s="111"/>
      <c r="H258" s="110"/>
      <c r="I258" s="110"/>
      <c r="J258" s="110"/>
      <c r="L258" s="58"/>
      <c r="M258" s="58"/>
      <c r="N258" s="58"/>
      <c r="O258" s="58"/>
      <c r="P258" s="58"/>
      <c r="Q258" s="58"/>
      <c r="R258" s="58"/>
      <c r="S258" s="58"/>
      <c r="T258" s="58"/>
      <c r="U258" s="58"/>
      <c r="W258" s="58"/>
      <c r="X258" s="58"/>
      <c r="Y258" s="58"/>
      <c r="Z258" s="58"/>
      <c r="AA258" s="58"/>
      <c r="AB258" s="58"/>
      <c r="AC258" s="58"/>
      <c r="AD258" s="58"/>
    </row>
    <row r="259" spans="3:30" x14ac:dyDescent="0.25">
      <c r="C259" s="112"/>
      <c r="D259" s="110"/>
      <c r="E259" s="110"/>
      <c r="F259" s="110"/>
      <c r="G259" s="111"/>
      <c r="H259" s="110"/>
      <c r="I259" s="110"/>
      <c r="J259" s="110"/>
      <c r="L259" s="58"/>
      <c r="M259" s="58"/>
      <c r="N259" s="58"/>
      <c r="O259" s="58"/>
      <c r="P259" s="58"/>
      <c r="Q259" s="58"/>
      <c r="R259" s="58"/>
      <c r="S259" s="58"/>
      <c r="T259" s="58"/>
      <c r="U259" s="58"/>
      <c r="W259" s="58"/>
      <c r="X259" s="58"/>
      <c r="Y259" s="58"/>
      <c r="Z259" s="58"/>
      <c r="AA259" s="58"/>
      <c r="AB259" s="58"/>
      <c r="AC259" s="58"/>
      <c r="AD259" s="58"/>
    </row>
    <row r="260" spans="3:30" x14ac:dyDescent="0.25">
      <c r="C260" s="112"/>
      <c r="D260" s="110"/>
      <c r="E260" s="110"/>
      <c r="F260" s="110"/>
      <c r="G260" s="111"/>
      <c r="H260" s="110"/>
      <c r="I260" s="110"/>
      <c r="J260" s="110"/>
      <c r="L260" s="58"/>
      <c r="M260" s="58"/>
      <c r="N260" s="58"/>
      <c r="O260" s="58"/>
      <c r="P260" s="58"/>
      <c r="Q260" s="58"/>
      <c r="R260" s="58"/>
      <c r="S260" s="58"/>
      <c r="T260" s="58"/>
      <c r="U260" s="58"/>
      <c r="W260" s="58"/>
      <c r="X260" s="58"/>
      <c r="Y260" s="58"/>
      <c r="Z260" s="58"/>
      <c r="AA260" s="58"/>
      <c r="AB260" s="58"/>
      <c r="AC260" s="58"/>
      <c r="AD260" s="58"/>
    </row>
    <row r="261" spans="3:30" x14ac:dyDescent="0.25">
      <c r="C261" s="112"/>
      <c r="D261" s="110"/>
      <c r="E261" s="110"/>
      <c r="F261" s="110"/>
      <c r="G261" s="111"/>
      <c r="H261" s="110"/>
      <c r="I261" s="110"/>
      <c r="J261" s="110"/>
      <c r="L261" s="58"/>
      <c r="M261" s="58"/>
      <c r="N261" s="58"/>
      <c r="O261" s="58"/>
      <c r="P261" s="58"/>
      <c r="Q261" s="58"/>
      <c r="R261" s="58"/>
      <c r="S261" s="58"/>
      <c r="T261" s="58"/>
      <c r="U261" s="58"/>
      <c r="W261" s="58"/>
      <c r="X261" s="58"/>
      <c r="Y261" s="58"/>
      <c r="Z261" s="58"/>
      <c r="AA261" s="58"/>
      <c r="AB261" s="58"/>
      <c r="AC261" s="58"/>
      <c r="AD261" s="58"/>
    </row>
    <row r="262" spans="3:30" x14ac:dyDescent="0.25">
      <c r="C262" s="112"/>
      <c r="D262" s="110"/>
      <c r="E262" s="110"/>
      <c r="F262" s="110"/>
      <c r="G262" s="111"/>
      <c r="H262" s="110"/>
      <c r="I262" s="110"/>
      <c r="J262" s="110"/>
      <c r="L262" s="58"/>
      <c r="M262" s="58"/>
      <c r="N262" s="58"/>
      <c r="O262" s="58"/>
      <c r="P262" s="58"/>
      <c r="Q262" s="58"/>
      <c r="R262" s="58"/>
      <c r="S262" s="58"/>
      <c r="T262" s="58"/>
      <c r="U262" s="58"/>
      <c r="W262" s="58"/>
      <c r="X262" s="58"/>
      <c r="Y262" s="58"/>
      <c r="Z262" s="58"/>
      <c r="AA262" s="58"/>
      <c r="AB262" s="58"/>
      <c r="AC262" s="58"/>
      <c r="AD262" s="58"/>
    </row>
    <row r="263" spans="3:30" x14ac:dyDescent="0.25">
      <c r="C263" s="112"/>
      <c r="D263" s="110"/>
      <c r="E263" s="110"/>
      <c r="F263" s="110"/>
      <c r="G263" s="111"/>
      <c r="H263" s="110"/>
      <c r="I263" s="110"/>
      <c r="J263" s="110"/>
      <c r="L263" s="58"/>
      <c r="M263" s="58"/>
      <c r="N263" s="58"/>
      <c r="O263" s="58"/>
      <c r="P263" s="58"/>
      <c r="Q263" s="58"/>
      <c r="R263" s="58"/>
      <c r="S263" s="58"/>
      <c r="T263" s="58"/>
      <c r="U263" s="58"/>
      <c r="W263" s="58"/>
      <c r="X263" s="58"/>
      <c r="Y263" s="58"/>
      <c r="Z263" s="58"/>
      <c r="AA263" s="58"/>
      <c r="AB263" s="58"/>
      <c r="AC263" s="58"/>
      <c r="AD263" s="58"/>
    </row>
    <row r="264" spans="3:30" x14ac:dyDescent="0.25">
      <c r="C264" s="112"/>
      <c r="D264" s="110"/>
      <c r="E264" s="110"/>
      <c r="F264" s="110"/>
      <c r="G264" s="111"/>
      <c r="H264" s="110"/>
      <c r="I264" s="110"/>
      <c r="J264" s="110"/>
      <c r="L264" s="58"/>
      <c r="M264" s="58"/>
      <c r="N264" s="58"/>
      <c r="O264" s="58"/>
      <c r="P264" s="58"/>
      <c r="Q264" s="58"/>
      <c r="R264" s="58"/>
      <c r="S264" s="58"/>
      <c r="T264" s="58"/>
      <c r="U264" s="58"/>
      <c r="W264" s="58"/>
      <c r="X264" s="58"/>
      <c r="Y264" s="58"/>
      <c r="Z264" s="58"/>
      <c r="AA264" s="58"/>
      <c r="AB264" s="58"/>
      <c r="AC264" s="58"/>
      <c r="AD264" s="58"/>
    </row>
    <row r="265" spans="3:30" x14ac:dyDescent="0.25">
      <c r="C265" s="112"/>
      <c r="D265" s="110"/>
      <c r="E265" s="110"/>
      <c r="F265" s="110"/>
      <c r="G265" s="111"/>
      <c r="H265" s="110"/>
      <c r="I265" s="110"/>
      <c r="J265" s="110"/>
      <c r="L265" s="58"/>
      <c r="M265" s="58"/>
      <c r="N265" s="58"/>
      <c r="O265" s="58"/>
      <c r="P265" s="58"/>
      <c r="Q265" s="58"/>
      <c r="R265" s="58"/>
      <c r="S265" s="58"/>
      <c r="T265" s="58"/>
      <c r="U265" s="58"/>
      <c r="W265" s="58"/>
      <c r="X265" s="58"/>
      <c r="Y265" s="58"/>
      <c r="Z265" s="58"/>
      <c r="AA265" s="58"/>
      <c r="AB265" s="58"/>
      <c r="AC265" s="58"/>
      <c r="AD265" s="58"/>
    </row>
    <row r="266" spans="3:30" x14ac:dyDescent="0.25">
      <c r="C266" s="112"/>
      <c r="D266" s="110"/>
      <c r="E266" s="110"/>
      <c r="F266" s="110"/>
      <c r="G266" s="111"/>
      <c r="H266" s="110"/>
      <c r="I266" s="110"/>
      <c r="J266" s="110"/>
      <c r="L266" s="58"/>
      <c r="M266" s="58"/>
      <c r="N266" s="58"/>
      <c r="O266" s="58"/>
      <c r="P266" s="58"/>
      <c r="Q266" s="58"/>
      <c r="R266" s="58"/>
      <c r="S266" s="58"/>
      <c r="T266" s="58"/>
      <c r="U266" s="58"/>
      <c r="W266" s="58"/>
      <c r="X266" s="58"/>
      <c r="Y266" s="58"/>
      <c r="Z266" s="58"/>
      <c r="AA266" s="58"/>
      <c r="AB266" s="58"/>
      <c r="AC266" s="58"/>
      <c r="AD266" s="58"/>
    </row>
    <row r="267" spans="3:30" x14ac:dyDescent="0.25">
      <c r="C267" s="112"/>
      <c r="D267" s="110"/>
      <c r="E267" s="110"/>
      <c r="F267" s="110"/>
      <c r="G267" s="111"/>
      <c r="H267" s="110"/>
      <c r="I267" s="110"/>
      <c r="J267" s="110"/>
      <c r="L267" s="58"/>
      <c r="M267" s="58"/>
      <c r="N267" s="58"/>
      <c r="O267" s="58"/>
      <c r="P267" s="58"/>
      <c r="Q267" s="58"/>
      <c r="R267" s="58"/>
      <c r="S267" s="58"/>
      <c r="T267" s="58"/>
      <c r="U267" s="58"/>
      <c r="W267" s="58"/>
      <c r="X267" s="58"/>
      <c r="Y267" s="58"/>
      <c r="Z267" s="58"/>
      <c r="AA267" s="58"/>
      <c r="AB267" s="58"/>
      <c r="AC267" s="58"/>
      <c r="AD267" s="58"/>
    </row>
    <row r="268" spans="3:30" x14ac:dyDescent="0.25">
      <c r="C268" s="112"/>
      <c r="D268" s="110"/>
      <c r="E268" s="110"/>
      <c r="F268" s="110"/>
      <c r="G268" s="111"/>
      <c r="H268" s="110"/>
      <c r="I268" s="110"/>
      <c r="J268" s="110"/>
      <c r="L268" s="58"/>
      <c r="M268" s="58"/>
      <c r="N268" s="58"/>
      <c r="O268" s="58"/>
      <c r="P268" s="58"/>
      <c r="Q268" s="58"/>
      <c r="R268" s="58"/>
      <c r="S268" s="58"/>
      <c r="T268" s="58"/>
      <c r="U268" s="58"/>
      <c r="W268" s="58"/>
      <c r="X268" s="58"/>
      <c r="Y268" s="58"/>
      <c r="Z268" s="58"/>
      <c r="AA268" s="58"/>
      <c r="AB268" s="58"/>
      <c r="AC268" s="58"/>
      <c r="AD268" s="58"/>
    </row>
    <row r="269" spans="3:30" x14ac:dyDescent="0.25">
      <c r="C269" s="112"/>
      <c r="D269" s="110"/>
      <c r="E269" s="110"/>
      <c r="F269" s="110"/>
      <c r="G269" s="111"/>
      <c r="H269" s="110"/>
      <c r="I269" s="110"/>
      <c r="J269" s="110"/>
      <c r="L269" s="58"/>
      <c r="M269" s="58"/>
      <c r="N269" s="58"/>
      <c r="O269" s="58"/>
      <c r="P269" s="58"/>
      <c r="Q269" s="58"/>
      <c r="R269" s="58"/>
      <c r="S269" s="58"/>
      <c r="T269" s="58"/>
      <c r="U269" s="58"/>
      <c r="W269" s="58"/>
      <c r="X269" s="58"/>
      <c r="Y269" s="58"/>
      <c r="Z269" s="58"/>
      <c r="AA269" s="58"/>
      <c r="AB269" s="58"/>
      <c r="AC269" s="58"/>
      <c r="AD269" s="58"/>
    </row>
    <row r="270" spans="3:30" x14ac:dyDescent="0.25">
      <c r="C270" s="112"/>
      <c r="D270" s="110"/>
      <c r="E270" s="110"/>
      <c r="F270" s="110"/>
      <c r="G270" s="111"/>
      <c r="H270" s="110"/>
      <c r="I270" s="110"/>
      <c r="J270" s="110"/>
      <c r="L270" s="58"/>
      <c r="M270" s="58"/>
      <c r="N270" s="58"/>
      <c r="O270" s="58"/>
      <c r="P270" s="58"/>
      <c r="Q270" s="58"/>
      <c r="R270" s="58"/>
      <c r="S270" s="58"/>
      <c r="T270" s="58"/>
      <c r="U270" s="58"/>
      <c r="W270" s="58"/>
      <c r="X270" s="58"/>
      <c r="Y270" s="58"/>
      <c r="Z270" s="58"/>
      <c r="AA270" s="58"/>
      <c r="AB270" s="58"/>
      <c r="AC270" s="58"/>
      <c r="AD270" s="58"/>
    </row>
    <row r="271" spans="3:30" x14ac:dyDescent="0.25">
      <c r="C271" s="112"/>
      <c r="D271" s="110"/>
      <c r="E271" s="110"/>
      <c r="F271" s="110"/>
      <c r="G271" s="111"/>
      <c r="H271" s="110"/>
      <c r="I271" s="110"/>
      <c r="J271" s="110"/>
      <c r="L271" s="58"/>
      <c r="M271" s="58"/>
      <c r="N271" s="58"/>
      <c r="O271" s="58"/>
      <c r="P271" s="58"/>
      <c r="Q271" s="58"/>
      <c r="R271" s="58"/>
      <c r="S271" s="58"/>
      <c r="T271" s="58"/>
      <c r="U271" s="58"/>
      <c r="W271" s="58"/>
      <c r="X271" s="58"/>
      <c r="Y271" s="58"/>
      <c r="Z271" s="58"/>
      <c r="AA271" s="58"/>
      <c r="AB271" s="58"/>
      <c r="AC271" s="58"/>
      <c r="AD271" s="58"/>
    </row>
    <row r="272" spans="3:30" x14ac:dyDescent="0.25">
      <c r="C272" s="112"/>
      <c r="D272" s="110"/>
      <c r="E272" s="110"/>
      <c r="F272" s="110"/>
      <c r="G272" s="111"/>
      <c r="H272" s="110"/>
      <c r="I272" s="110"/>
      <c r="J272" s="110"/>
      <c r="L272" s="58"/>
      <c r="M272" s="58"/>
      <c r="N272" s="58"/>
      <c r="O272" s="58"/>
      <c r="P272" s="58"/>
      <c r="Q272" s="58"/>
      <c r="R272" s="58"/>
      <c r="S272" s="58"/>
      <c r="T272" s="58"/>
      <c r="U272" s="58"/>
      <c r="W272" s="58"/>
      <c r="X272" s="58"/>
      <c r="Y272" s="58"/>
      <c r="Z272" s="58"/>
      <c r="AA272" s="58"/>
      <c r="AB272" s="58"/>
      <c r="AC272" s="58"/>
      <c r="AD272" s="58"/>
    </row>
    <row r="273" spans="3:30" x14ac:dyDescent="0.25">
      <c r="C273" s="112"/>
      <c r="D273" s="110"/>
      <c r="E273" s="110"/>
      <c r="F273" s="110"/>
      <c r="G273" s="111"/>
      <c r="H273" s="110"/>
      <c r="I273" s="110"/>
      <c r="J273" s="110"/>
      <c r="L273" s="58"/>
      <c r="M273" s="58"/>
      <c r="N273" s="58"/>
      <c r="O273" s="58"/>
      <c r="P273" s="58"/>
      <c r="Q273" s="58"/>
      <c r="R273" s="58"/>
      <c r="S273" s="58"/>
      <c r="T273" s="58"/>
      <c r="U273" s="58"/>
      <c r="W273" s="58"/>
      <c r="X273" s="58"/>
      <c r="Y273" s="58"/>
      <c r="Z273" s="58"/>
      <c r="AA273" s="58"/>
      <c r="AB273" s="58"/>
      <c r="AC273" s="58"/>
      <c r="AD273" s="58"/>
    </row>
    <row r="274" spans="3:30" x14ac:dyDescent="0.25">
      <c r="C274" s="112"/>
      <c r="D274" s="110"/>
      <c r="E274" s="110"/>
      <c r="F274" s="110"/>
      <c r="G274" s="111"/>
      <c r="H274" s="110"/>
      <c r="I274" s="110"/>
      <c r="J274" s="110"/>
      <c r="L274" s="58"/>
      <c r="M274" s="58"/>
      <c r="N274" s="58"/>
      <c r="O274" s="58"/>
      <c r="P274" s="58"/>
      <c r="Q274" s="58"/>
      <c r="R274" s="58"/>
      <c r="S274" s="58"/>
      <c r="T274" s="58"/>
      <c r="U274" s="58"/>
      <c r="W274" s="58"/>
      <c r="X274" s="58"/>
      <c r="Y274" s="58"/>
      <c r="Z274" s="58"/>
      <c r="AA274" s="58"/>
      <c r="AB274" s="58"/>
      <c r="AC274" s="58"/>
      <c r="AD274" s="58"/>
    </row>
    <row r="275" spans="3:30" x14ac:dyDescent="0.25">
      <c r="C275" s="112"/>
      <c r="D275" s="110"/>
      <c r="E275" s="110"/>
      <c r="F275" s="110"/>
      <c r="G275" s="111"/>
      <c r="H275" s="110"/>
      <c r="I275" s="110"/>
      <c r="J275" s="110"/>
      <c r="L275" s="58"/>
      <c r="M275" s="58"/>
      <c r="N275" s="58"/>
      <c r="O275" s="58"/>
      <c r="P275" s="58"/>
      <c r="Q275" s="58"/>
      <c r="R275" s="58"/>
      <c r="S275" s="58"/>
      <c r="T275" s="58"/>
      <c r="U275" s="58"/>
      <c r="W275" s="58"/>
      <c r="X275" s="58"/>
      <c r="Y275" s="58"/>
      <c r="Z275" s="58"/>
      <c r="AA275" s="58"/>
      <c r="AB275" s="58"/>
      <c r="AC275" s="58"/>
      <c r="AD275" s="58"/>
    </row>
    <row r="276" spans="3:30" x14ac:dyDescent="0.25">
      <c r="C276" s="112"/>
      <c r="D276" s="110"/>
      <c r="E276" s="110"/>
      <c r="F276" s="110"/>
      <c r="G276" s="111"/>
      <c r="H276" s="110"/>
      <c r="I276" s="110"/>
      <c r="J276" s="110"/>
      <c r="L276" s="58"/>
      <c r="M276" s="58"/>
      <c r="N276" s="58"/>
      <c r="O276" s="58"/>
      <c r="P276" s="58"/>
      <c r="Q276" s="58"/>
      <c r="R276" s="58"/>
      <c r="S276" s="58"/>
      <c r="T276" s="58"/>
      <c r="U276" s="58"/>
      <c r="W276" s="58"/>
      <c r="X276" s="58"/>
      <c r="Y276" s="58"/>
      <c r="Z276" s="58"/>
      <c r="AA276" s="58"/>
      <c r="AB276" s="58"/>
      <c r="AC276" s="58"/>
      <c r="AD276" s="58"/>
    </row>
    <row r="277" spans="3:30" x14ac:dyDescent="0.25">
      <c r="C277" s="112"/>
      <c r="D277" s="110"/>
      <c r="E277" s="110"/>
      <c r="F277" s="110"/>
      <c r="G277" s="111"/>
      <c r="H277" s="110"/>
      <c r="I277" s="110"/>
      <c r="J277" s="110"/>
      <c r="L277" s="58"/>
      <c r="M277" s="58"/>
      <c r="N277" s="58"/>
      <c r="O277" s="58"/>
      <c r="P277" s="58"/>
      <c r="Q277" s="58"/>
      <c r="R277" s="58"/>
      <c r="S277" s="58"/>
      <c r="T277" s="58"/>
      <c r="U277" s="58"/>
      <c r="W277" s="58"/>
      <c r="X277" s="58"/>
      <c r="Y277" s="58"/>
      <c r="Z277" s="58"/>
      <c r="AA277" s="58"/>
      <c r="AB277" s="58"/>
      <c r="AC277" s="58"/>
      <c r="AD277" s="58"/>
    </row>
    <row r="278" spans="3:30" x14ac:dyDescent="0.25">
      <c r="C278" s="112"/>
      <c r="D278" s="110"/>
      <c r="E278" s="110"/>
      <c r="F278" s="110"/>
      <c r="G278" s="111"/>
      <c r="H278" s="110"/>
      <c r="I278" s="110"/>
      <c r="J278" s="110"/>
      <c r="L278" s="58"/>
      <c r="M278" s="58"/>
      <c r="N278" s="58"/>
      <c r="O278" s="58"/>
      <c r="P278" s="58"/>
      <c r="Q278" s="58"/>
      <c r="R278" s="58"/>
      <c r="S278" s="58"/>
      <c r="T278" s="58"/>
      <c r="U278" s="58"/>
      <c r="W278" s="58"/>
      <c r="X278" s="58"/>
      <c r="Y278" s="58"/>
      <c r="Z278" s="58"/>
      <c r="AA278" s="58"/>
      <c r="AB278" s="58"/>
      <c r="AC278" s="58"/>
      <c r="AD278" s="58"/>
    </row>
    <row r="279" spans="3:30" x14ac:dyDescent="0.25">
      <c r="C279" s="112"/>
      <c r="D279" s="110"/>
      <c r="E279" s="110"/>
      <c r="F279" s="110"/>
      <c r="G279" s="111"/>
      <c r="H279" s="110"/>
      <c r="I279" s="110"/>
      <c r="J279" s="110"/>
      <c r="L279" s="58"/>
      <c r="M279" s="58"/>
      <c r="N279" s="58"/>
      <c r="O279" s="58"/>
      <c r="P279" s="58"/>
      <c r="Q279" s="58"/>
      <c r="R279" s="58"/>
      <c r="S279" s="58"/>
      <c r="T279" s="58"/>
      <c r="U279" s="58"/>
      <c r="W279" s="58"/>
      <c r="X279" s="58"/>
      <c r="Y279" s="58"/>
      <c r="Z279" s="58"/>
      <c r="AA279" s="58"/>
      <c r="AB279" s="58"/>
      <c r="AC279" s="58"/>
      <c r="AD279" s="58"/>
    </row>
    <row r="280" spans="3:30" x14ac:dyDescent="0.25">
      <c r="C280" s="112"/>
      <c r="D280" s="110"/>
      <c r="E280" s="110"/>
      <c r="F280" s="110"/>
      <c r="G280" s="111"/>
      <c r="H280" s="110"/>
      <c r="I280" s="110"/>
      <c r="J280" s="110"/>
      <c r="L280" s="58"/>
      <c r="M280" s="58"/>
      <c r="N280" s="58"/>
      <c r="O280" s="58"/>
      <c r="P280" s="58"/>
      <c r="Q280" s="58"/>
      <c r="R280" s="58"/>
      <c r="S280" s="58"/>
      <c r="T280" s="58"/>
      <c r="U280" s="58"/>
      <c r="W280" s="58"/>
      <c r="X280" s="58"/>
      <c r="Y280" s="58"/>
      <c r="Z280" s="58"/>
      <c r="AA280" s="58"/>
      <c r="AB280" s="58"/>
      <c r="AC280" s="58"/>
      <c r="AD280" s="58"/>
    </row>
    <row r="281" spans="3:30" x14ac:dyDescent="0.25">
      <c r="C281" s="112"/>
      <c r="D281" s="110"/>
      <c r="E281" s="110"/>
      <c r="F281" s="110"/>
      <c r="G281" s="111"/>
      <c r="H281" s="110"/>
      <c r="I281" s="110"/>
      <c r="J281" s="110"/>
      <c r="L281" s="58"/>
      <c r="M281" s="58"/>
      <c r="N281" s="58"/>
      <c r="O281" s="58"/>
      <c r="P281" s="58"/>
      <c r="Q281" s="58"/>
      <c r="R281" s="58"/>
      <c r="S281" s="58"/>
      <c r="T281" s="58"/>
      <c r="U281" s="58"/>
      <c r="W281" s="58"/>
      <c r="X281" s="58"/>
      <c r="Y281" s="58"/>
      <c r="Z281" s="58"/>
      <c r="AA281" s="58"/>
      <c r="AB281" s="58"/>
      <c r="AC281" s="58"/>
      <c r="AD281" s="58"/>
    </row>
    <row r="282" spans="3:30" x14ac:dyDescent="0.25">
      <c r="C282" s="112"/>
      <c r="D282" s="110"/>
      <c r="E282" s="110"/>
      <c r="F282" s="110"/>
      <c r="G282" s="111"/>
      <c r="H282" s="110"/>
      <c r="I282" s="110"/>
      <c r="J282" s="110"/>
      <c r="L282" s="58"/>
      <c r="M282" s="58"/>
      <c r="N282" s="58"/>
      <c r="O282" s="58"/>
      <c r="P282" s="58"/>
      <c r="Q282" s="58"/>
      <c r="R282" s="58"/>
      <c r="S282" s="58"/>
      <c r="T282" s="58"/>
      <c r="U282" s="58"/>
      <c r="W282" s="58"/>
      <c r="X282" s="58"/>
      <c r="Y282" s="58"/>
      <c r="Z282" s="58"/>
      <c r="AA282" s="58"/>
      <c r="AB282" s="58"/>
      <c r="AC282" s="58"/>
      <c r="AD282" s="58"/>
    </row>
    <row r="283" spans="3:30" x14ac:dyDescent="0.25">
      <c r="C283" s="112"/>
      <c r="D283" s="110"/>
      <c r="E283" s="110"/>
      <c r="F283" s="110"/>
      <c r="G283" s="111"/>
      <c r="H283" s="110"/>
      <c r="I283" s="110"/>
      <c r="J283" s="110"/>
      <c r="L283" s="58"/>
      <c r="M283" s="58"/>
      <c r="N283" s="58"/>
      <c r="O283" s="58"/>
      <c r="P283" s="58"/>
      <c r="Q283" s="58"/>
      <c r="R283" s="58"/>
      <c r="S283" s="58"/>
      <c r="T283" s="58"/>
      <c r="U283" s="58"/>
      <c r="W283" s="58"/>
      <c r="X283" s="58"/>
      <c r="Y283" s="58"/>
      <c r="Z283" s="58"/>
      <c r="AA283" s="58"/>
      <c r="AB283" s="58"/>
      <c r="AC283" s="58"/>
      <c r="AD283" s="58"/>
    </row>
    <row r="284" spans="3:30" x14ac:dyDescent="0.25">
      <c r="C284" s="112"/>
      <c r="D284" s="110"/>
      <c r="E284" s="110"/>
      <c r="F284" s="110"/>
      <c r="G284" s="111"/>
      <c r="H284" s="110"/>
      <c r="I284" s="110"/>
      <c r="J284" s="110"/>
      <c r="L284" s="58"/>
      <c r="M284" s="58"/>
      <c r="N284" s="58"/>
      <c r="O284" s="58"/>
      <c r="P284" s="58"/>
      <c r="Q284" s="58"/>
      <c r="R284" s="58"/>
      <c r="S284" s="58"/>
      <c r="T284" s="58"/>
      <c r="U284" s="58"/>
      <c r="W284" s="58"/>
      <c r="X284" s="58"/>
      <c r="Y284" s="58"/>
      <c r="Z284" s="58"/>
      <c r="AA284" s="58"/>
      <c r="AB284" s="58"/>
      <c r="AC284" s="58"/>
      <c r="AD284" s="58"/>
    </row>
    <row r="285" spans="3:30" x14ac:dyDescent="0.25">
      <c r="C285" s="112"/>
      <c r="D285" s="110"/>
      <c r="E285" s="110"/>
      <c r="F285" s="110"/>
      <c r="G285" s="111"/>
      <c r="H285" s="110"/>
      <c r="I285" s="110"/>
      <c r="J285" s="110"/>
      <c r="L285" s="58"/>
      <c r="M285" s="58"/>
      <c r="N285" s="58"/>
      <c r="O285" s="58"/>
      <c r="P285" s="58"/>
      <c r="Q285" s="58"/>
      <c r="R285" s="58"/>
      <c r="S285" s="58"/>
      <c r="T285" s="58"/>
      <c r="U285" s="58"/>
      <c r="W285" s="58"/>
      <c r="X285" s="58"/>
      <c r="Y285" s="58"/>
      <c r="Z285" s="58"/>
      <c r="AA285" s="58"/>
      <c r="AB285" s="58"/>
      <c r="AC285" s="58"/>
      <c r="AD285" s="58"/>
    </row>
    <row r="286" spans="3:30" x14ac:dyDescent="0.25">
      <c r="C286" s="112"/>
      <c r="D286" s="110"/>
      <c r="E286" s="110"/>
      <c r="F286" s="110"/>
      <c r="G286" s="111"/>
      <c r="H286" s="110"/>
      <c r="I286" s="110"/>
      <c r="J286" s="110"/>
      <c r="L286" s="58"/>
      <c r="M286" s="58"/>
      <c r="N286" s="58"/>
      <c r="O286" s="58"/>
      <c r="P286" s="58"/>
      <c r="Q286" s="58"/>
      <c r="R286" s="58"/>
      <c r="S286" s="58"/>
      <c r="T286" s="58"/>
      <c r="U286" s="58"/>
      <c r="W286" s="58"/>
      <c r="X286" s="58"/>
      <c r="Y286" s="58"/>
      <c r="Z286" s="58"/>
      <c r="AA286" s="58"/>
      <c r="AB286" s="58"/>
      <c r="AC286" s="58"/>
      <c r="AD286" s="58"/>
    </row>
    <row r="287" spans="3:30" x14ac:dyDescent="0.25">
      <c r="C287" s="112"/>
      <c r="D287" s="110"/>
      <c r="E287" s="110"/>
      <c r="F287" s="110"/>
      <c r="G287" s="111"/>
      <c r="H287" s="110"/>
      <c r="I287" s="110"/>
      <c r="J287" s="110"/>
      <c r="L287" s="58"/>
      <c r="M287" s="58"/>
      <c r="N287" s="58"/>
      <c r="O287" s="58"/>
      <c r="P287" s="58"/>
      <c r="Q287" s="58"/>
      <c r="R287" s="58"/>
      <c r="S287" s="58"/>
      <c r="T287" s="58"/>
      <c r="U287" s="58"/>
      <c r="W287" s="58"/>
      <c r="X287" s="58"/>
      <c r="Y287" s="58"/>
      <c r="Z287" s="58"/>
      <c r="AA287" s="58"/>
      <c r="AB287" s="58"/>
      <c r="AC287" s="58"/>
      <c r="AD287" s="58"/>
    </row>
    <row r="288" spans="3:30" x14ac:dyDescent="0.25">
      <c r="C288" s="112"/>
      <c r="D288" s="110"/>
      <c r="E288" s="110"/>
      <c r="F288" s="110"/>
      <c r="G288" s="111"/>
      <c r="H288" s="110"/>
      <c r="I288" s="110"/>
      <c r="J288" s="110"/>
      <c r="L288" s="58"/>
      <c r="M288" s="58"/>
      <c r="N288" s="58"/>
      <c r="O288" s="58"/>
      <c r="P288" s="58"/>
      <c r="Q288" s="58"/>
      <c r="R288" s="58"/>
      <c r="S288" s="58"/>
      <c r="T288" s="58"/>
      <c r="U288" s="58"/>
      <c r="W288" s="58"/>
      <c r="X288" s="58"/>
      <c r="Y288" s="58"/>
      <c r="Z288" s="58"/>
      <c r="AA288" s="58"/>
      <c r="AB288" s="58"/>
      <c r="AC288" s="58"/>
      <c r="AD288" s="58"/>
    </row>
    <row r="289" spans="3:30" x14ac:dyDescent="0.25">
      <c r="C289" s="112"/>
      <c r="D289" s="110"/>
      <c r="E289" s="110"/>
      <c r="F289" s="110"/>
      <c r="G289" s="111"/>
      <c r="H289" s="110"/>
      <c r="I289" s="110"/>
      <c r="J289" s="110"/>
      <c r="L289" s="58"/>
      <c r="M289" s="58"/>
      <c r="N289" s="58"/>
      <c r="O289" s="58"/>
      <c r="P289" s="58"/>
      <c r="Q289" s="58"/>
      <c r="R289" s="58"/>
      <c r="S289" s="58"/>
      <c r="T289" s="58"/>
      <c r="U289" s="58"/>
      <c r="W289" s="58"/>
      <c r="X289" s="58"/>
      <c r="Y289" s="58"/>
      <c r="Z289" s="58"/>
      <c r="AA289" s="58"/>
      <c r="AB289" s="58"/>
      <c r="AC289" s="58"/>
      <c r="AD289" s="58"/>
    </row>
    <row r="290" spans="3:30" x14ac:dyDescent="0.25">
      <c r="C290" s="112"/>
      <c r="D290" s="110"/>
      <c r="E290" s="110"/>
      <c r="F290" s="110"/>
      <c r="G290" s="111"/>
      <c r="H290" s="110"/>
      <c r="I290" s="110"/>
      <c r="J290" s="110"/>
      <c r="L290" s="58"/>
      <c r="M290" s="58"/>
      <c r="N290" s="58"/>
      <c r="O290" s="58"/>
      <c r="P290" s="58"/>
      <c r="Q290" s="58"/>
      <c r="R290" s="58"/>
      <c r="S290" s="58"/>
      <c r="T290" s="58"/>
      <c r="U290" s="58"/>
      <c r="W290" s="58"/>
      <c r="X290" s="58"/>
      <c r="Y290" s="58"/>
      <c r="Z290" s="58"/>
      <c r="AA290" s="58"/>
      <c r="AB290" s="58"/>
      <c r="AC290" s="58"/>
      <c r="AD290" s="58"/>
    </row>
    <row r="291" spans="3:30" x14ac:dyDescent="0.25">
      <c r="C291" s="112"/>
      <c r="D291" s="110"/>
      <c r="E291" s="110"/>
      <c r="F291" s="110"/>
      <c r="G291" s="111"/>
      <c r="H291" s="110"/>
      <c r="I291" s="110"/>
      <c r="J291" s="110"/>
      <c r="L291" s="58"/>
      <c r="M291" s="58"/>
      <c r="N291" s="58"/>
      <c r="O291" s="58"/>
      <c r="P291" s="58"/>
      <c r="Q291" s="58"/>
      <c r="R291" s="58"/>
      <c r="S291" s="58"/>
      <c r="T291" s="58"/>
      <c r="U291" s="58"/>
      <c r="W291" s="58"/>
      <c r="X291" s="58"/>
      <c r="Y291" s="58"/>
      <c r="Z291" s="58"/>
      <c r="AA291" s="58"/>
      <c r="AB291" s="58"/>
      <c r="AC291" s="58"/>
      <c r="AD291" s="58"/>
    </row>
    <row r="292" spans="3:30" x14ac:dyDescent="0.25">
      <c r="C292" s="112"/>
      <c r="D292" s="110"/>
      <c r="E292" s="110"/>
      <c r="F292" s="110"/>
      <c r="G292" s="111"/>
      <c r="H292" s="110"/>
      <c r="I292" s="110"/>
      <c r="J292" s="110"/>
      <c r="L292" s="58"/>
      <c r="M292" s="58"/>
      <c r="N292" s="58"/>
      <c r="O292" s="58"/>
      <c r="P292" s="58"/>
      <c r="Q292" s="58"/>
      <c r="R292" s="58"/>
      <c r="S292" s="58"/>
      <c r="T292" s="58"/>
      <c r="U292" s="58"/>
      <c r="W292" s="58"/>
      <c r="X292" s="58"/>
      <c r="Y292" s="58"/>
      <c r="Z292" s="58"/>
      <c r="AA292" s="58"/>
      <c r="AB292" s="58"/>
      <c r="AC292" s="58"/>
      <c r="AD292" s="58"/>
    </row>
    <row r="293" spans="3:30" x14ac:dyDescent="0.25">
      <c r="C293" s="112"/>
      <c r="D293" s="110"/>
      <c r="E293" s="110"/>
      <c r="F293" s="110"/>
      <c r="G293" s="111"/>
      <c r="H293" s="110"/>
      <c r="I293" s="110"/>
      <c r="J293" s="110"/>
      <c r="L293" s="58"/>
      <c r="M293" s="58"/>
      <c r="N293" s="58"/>
      <c r="O293" s="58"/>
      <c r="P293" s="58"/>
      <c r="Q293" s="58"/>
      <c r="R293" s="58"/>
      <c r="S293" s="58"/>
      <c r="T293" s="58"/>
      <c r="U293" s="58"/>
      <c r="W293" s="58"/>
      <c r="X293" s="58"/>
      <c r="Y293" s="58"/>
      <c r="Z293" s="58"/>
      <c r="AA293" s="58"/>
      <c r="AB293" s="58"/>
      <c r="AC293" s="58"/>
      <c r="AD293" s="58"/>
    </row>
    <row r="294" spans="3:30" x14ac:dyDescent="0.25">
      <c r="C294" s="112"/>
      <c r="D294" s="110"/>
      <c r="E294" s="110"/>
      <c r="F294" s="110"/>
      <c r="G294" s="111"/>
      <c r="H294" s="110"/>
      <c r="I294" s="110"/>
      <c r="J294" s="110"/>
      <c r="L294" s="58"/>
      <c r="M294" s="58"/>
      <c r="N294" s="58"/>
      <c r="O294" s="58"/>
      <c r="P294" s="58"/>
      <c r="Q294" s="58"/>
      <c r="R294" s="58"/>
      <c r="S294" s="58"/>
      <c r="T294" s="58"/>
      <c r="U294" s="58"/>
      <c r="W294" s="58"/>
      <c r="X294" s="58"/>
      <c r="Y294" s="58"/>
      <c r="Z294" s="58"/>
      <c r="AA294" s="58"/>
      <c r="AB294" s="58"/>
      <c r="AC294" s="58"/>
      <c r="AD294" s="58"/>
    </row>
    <row r="295" spans="3:30" x14ac:dyDescent="0.25">
      <c r="C295" s="112"/>
      <c r="D295" s="110"/>
      <c r="E295" s="110"/>
      <c r="F295" s="110"/>
      <c r="G295" s="111"/>
      <c r="H295" s="110"/>
      <c r="I295" s="110"/>
      <c r="J295" s="110"/>
      <c r="L295" s="58"/>
      <c r="M295" s="58"/>
      <c r="N295" s="58"/>
      <c r="O295" s="58"/>
      <c r="P295" s="58"/>
      <c r="Q295" s="58"/>
      <c r="R295" s="58"/>
      <c r="S295" s="58"/>
      <c r="T295" s="58"/>
      <c r="U295" s="58"/>
      <c r="W295" s="58"/>
      <c r="X295" s="58"/>
      <c r="Y295" s="58"/>
      <c r="Z295" s="58"/>
      <c r="AA295" s="58"/>
      <c r="AB295" s="58"/>
      <c r="AC295" s="58"/>
      <c r="AD295" s="58"/>
    </row>
    <row r="296" spans="3:30" x14ac:dyDescent="0.25">
      <c r="C296" s="112"/>
      <c r="D296" s="110"/>
      <c r="E296" s="110"/>
      <c r="F296" s="110"/>
      <c r="G296" s="111"/>
      <c r="H296" s="110"/>
      <c r="I296" s="110"/>
      <c r="J296" s="110"/>
      <c r="L296" s="58"/>
      <c r="M296" s="58"/>
      <c r="N296" s="58"/>
      <c r="O296" s="58"/>
      <c r="P296" s="58"/>
      <c r="Q296" s="58"/>
      <c r="R296" s="58"/>
      <c r="S296" s="58"/>
      <c r="T296" s="58"/>
      <c r="U296" s="58"/>
      <c r="W296" s="58"/>
      <c r="X296" s="58"/>
      <c r="Y296" s="58"/>
      <c r="Z296" s="58"/>
      <c r="AA296" s="58"/>
      <c r="AB296" s="58"/>
      <c r="AC296" s="58"/>
      <c r="AD296" s="58"/>
    </row>
    <row r="297" spans="3:30" x14ac:dyDescent="0.25">
      <c r="C297" s="112"/>
      <c r="D297" s="110"/>
      <c r="E297" s="110"/>
      <c r="F297" s="110"/>
      <c r="G297" s="111"/>
      <c r="H297" s="110"/>
      <c r="I297" s="110"/>
      <c r="J297" s="110"/>
      <c r="L297" s="58"/>
      <c r="M297" s="58"/>
      <c r="N297" s="58"/>
      <c r="O297" s="58"/>
      <c r="P297" s="58"/>
      <c r="Q297" s="58"/>
      <c r="R297" s="58"/>
      <c r="S297" s="58"/>
      <c r="T297" s="58"/>
      <c r="U297" s="58"/>
      <c r="W297" s="58"/>
      <c r="X297" s="58"/>
      <c r="Y297" s="58"/>
      <c r="Z297" s="58"/>
      <c r="AA297" s="58"/>
      <c r="AB297" s="58"/>
      <c r="AC297" s="58"/>
      <c r="AD297" s="58"/>
    </row>
    <row r="298" spans="3:30" x14ac:dyDescent="0.25">
      <c r="C298" s="112"/>
      <c r="D298" s="110"/>
      <c r="E298" s="110"/>
      <c r="F298" s="110"/>
      <c r="G298" s="111"/>
      <c r="H298" s="110"/>
      <c r="I298" s="110"/>
      <c r="J298" s="110"/>
      <c r="L298" s="58"/>
      <c r="M298" s="58"/>
      <c r="N298" s="58"/>
      <c r="O298" s="58"/>
      <c r="P298" s="58"/>
      <c r="Q298" s="58"/>
      <c r="R298" s="58"/>
      <c r="S298" s="58"/>
      <c r="T298" s="58"/>
      <c r="U298" s="58"/>
      <c r="W298" s="58"/>
      <c r="X298" s="58"/>
      <c r="Y298" s="58"/>
      <c r="Z298" s="58"/>
      <c r="AA298" s="58"/>
      <c r="AB298" s="58"/>
      <c r="AC298" s="58"/>
      <c r="AD298" s="58"/>
    </row>
    <row r="299" spans="3:30" x14ac:dyDescent="0.25">
      <c r="C299" s="112"/>
      <c r="D299" s="110"/>
      <c r="E299" s="110"/>
      <c r="F299" s="110"/>
      <c r="G299" s="111"/>
      <c r="H299" s="110"/>
      <c r="I299" s="110"/>
      <c r="J299" s="110"/>
      <c r="L299" s="58"/>
      <c r="M299" s="58"/>
      <c r="N299" s="58"/>
      <c r="O299" s="58"/>
      <c r="P299" s="58"/>
      <c r="Q299" s="58"/>
      <c r="R299" s="58"/>
      <c r="S299" s="58"/>
      <c r="T299" s="58"/>
      <c r="U299" s="58"/>
      <c r="W299" s="58"/>
      <c r="X299" s="58"/>
      <c r="Y299" s="58"/>
      <c r="Z299" s="58"/>
      <c r="AA299" s="58"/>
      <c r="AB299" s="58"/>
      <c r="AC299" s="58"/>
      <c r="AD299" s="58"/>
    </row>
    <row r="300" spans="3:30" x14ac:dyDescent="0.25">
      <c r="C300" s="112"/>
      <c r="D300" s="110"/>
      <c r="E300" s="110"/>
      <c r="F300" s="110"/>
      <c r="G300" s="111"/>
      <c r="H300" s="110"/>
      <c r="I300" s="110"/>
      <c r="J300" s="110"/>
      <c r="L300" s="58"/>
      <c r="M300" s="58"/>
      <c r="N300" s="58"/>
      <c r="O300" s="58"/>
      <c r="P300" s="58"/>
      <c r="Q300" s="58"/>
      <c r="R300" s="58"/>
      <c r="S300" s="58"/>
      <c r="T300" s="58"/>
      <c r="U300" s="58"/>
      <c r="W300" s="58"/>
      <c r="X300" s="58"/>
      <c r="Y300" s="58"/>
      <c r="Z300" s="58"/>
      <c r="AA300" s="58"/>
      <c r="AB300" s="58"/>
      <c r="AC300" s="58"/>
      <c r="AD300" s="58"/>
    </row>
    <row r="301" spans="3:30" x14ac:dyDescent="0.25">
      <c r="C301" s="112"/>
      <c r="D301" s="110"/>
      <c r="E301" s="110"/>
      <c r="F301" s="110"/>
      <c r="G301" s="111"/>
      <c r="H301" s="110"/>
      <c r="I301" s="110"/>
      <c r="J301" s="110"/>
      <c r="L301" s="58"/>
      <c r="M301" s="58"/>
      <c r="N301" s="58"/>
      <c r="O301" s="58"/>
      <c r="P301" s="58"/>
      <c r="Q301" s="58"/>
      <c r="R301" s="58"/>
      <c r="S301" s="58"/>
      <c r="T301" s="58"/>
      <c r="U301" s="58"/>
      <c r="W301" s="58"/>
      <c r="X301" s="58"/>
      <c r="Y301" s="58"/>
      <c r="Z301" s="58"/>
      <c r="AA301" s="58"/>
      <c r="AB301" s="58"/>
      <c r="AC301" s="58"/>
      <c r="AD301" s="58"/>
    </row>
    <row r="302" spans="3:30" x14ac:dyDescent="0.25">
      <c r="C302" s="112"/>
      <c r="D302" s="110"/>
      <c r="E302" s="110"/>
      <c r="F302" s="110"/>
      <c r="G302" s="111"/>
      <c r="H302" s="110"/>
      <c r="I302" s="110"/>
      <c r="J302" s="110"/>
      <c r="L302" s="58"/>
      <c r="M302" s="58"/>
      <c r="N302" s="58"/>
      <c r="O302" s="58"/>
      <c r="P302" s="58"/>
      <c r="Q302" s="58"/>
      <c r="R302" s="58"/>
      <c r="S302" s="58"/>
      <c r="T302" s="58"/>
      <c r="U302" s="58"/>
      <c r="W302" s="58"/>
      <c r="X302" s="58"/>
      <c r="Y302" s="58"/>
      <c r="Z302" s="58"/>
      <c r="AA302" s="58"/>
      <c r="AB302" s="58"/>
      <c r="AC302" s="58"/>
      <c r="AD302" s="58"/>
    </row>
    <row r="303" spans="3:30" x14ac:dyDescent="0.25">
      <c r="C303" s="112"/>
      <c r="D303" s="110"/>
      <c r="E303" s="110"/>
      <c r="F303" s="110"/>
      <c r="G303" s="111"/>
      <c r="H303" s="110"/>
      <c r="I303" s="110"/>
      <c r="J303" s="110"/>
      <c r="L303" s="58"/>
      <c r="M303" s="58"/>
      <c r="N303" s="58"/>
      <c r="O303" s="58"/>
      <c r="P303" s="58"/>
      <c r="Q303" s="58"/>
      <c r="R303" s="58"/>
      <c r="S303" s="58"/>
      <c r="T303" s="58"/>
      <c r="U303" s="58"/>
      <c r="W303" s="58"/>
      <c r="X303" s="58"/>
      <c r="Y303" s="58"/>
      <c r="Z303" s="58"/>
      <c r="AA303" s="58"/>
      <c r="AB303" s="58"/>
      <c r="AC303" s="58"/>
      <c r="AD303" s="58"/>
    </row>
    <row r="304" spans="3:30" x14ac:dyDescent="0.25">
      <c r="C304" s="112"/>
      <c r="D304" s="110"/>
      <c r="E304" s="110"/>
      <c r="F304" s="110"/>
      <c r="G304" s="111"/>
      <c r="H304" s="110"/>
      <c r="I304" s="110"/>
      <c r="J304" s="110"/>
      <c r="L304" s="58"/>
      <c r="M304" s="58"/>
      <c r="N304" s="58"/>
      <c r="O304" s="58"/>
      <c r="P304" s="58"/>
      <c r="Q304" s="58"/>
      <c r="R304" s="58"/>
      <c r="S304" s="58"/>
      <c r="T304" s="58"/>
      <c r="U304" s="58"/>
      <c r="W304" s="58"/>
      <c r="X304" s="58"/>
      <c r="Y304" s="58"/>
      <c r="Z304" s="58"/>
      <c r="AA304" s="58"/>
      <c r="AB304" s="58"/>
      <c r="AC304" s="58"/>
      <c r="AD304" s="58"/>
    </row>
    <row r="305" spans="3:30" x14ac:dyDescent="0.25">
      <c r="C305" s="112"/>
      <c r="D305" s="110"/>
      <c r="E305" s="110"/>
      <c r="F305" s="110"/>
      <c r="G305" s="111"/>
      <c r="H305" s="110"/>
      <c r="I305" s="110"/>
      <c r="J305" s="110"/>
      <c r="L305" s="58"/>
      <c r="M305" s="58"/>
      <c r="N305" s="58"/>
      <c r="O305" s="58"/>
      <c r="P305" s="58"/>
      <c r="Q305" s="58"/>
      <c r="R305" s="58"/>
      <c r="S305" s="58"/>
      <c r="T305" s="58"/>
      <c r="U305" s="58"/>
      <c r="W305" s="58"/>
      <c r="X305" s="58"/>
      <c r="Y305" s="58"/>
      <c r="Z305" s="58"/>
      <c r="AA305" s="58"/>
      <c r="AB305" s="58"/>
      <c r="AC305" s="58"/>
      <c r="AD305" s="58"/>
    </row>
    <row r="306" spans="3:30" x14ac:dyDescent="0.25">
      <c r="C306" s="112"/>
      <c r="D306" s="110"/>
      <c r="E306" s="110"/>
      <c r="F306" s="110"/>
      <c r="G306" s="111"/>
      <c r="H306" s="110"/>
      <c r="I306" s="110"/>
      <c r="J306" s="110"/>
      <c r="L306" s="58"/>
      <c r="M306" s="58"/>
      <c r="N306" s="58"/>
      <c r="O306" s="58"/>
      <c r="P306" s="58"/>
      <c r="Q306" s="58"/>
      <c r="R306" s="58"/>
      <c r="S306" s="58"/>
      <c r="T306" s="58"/>
      <c r="U306" s="58"/>
      <c r="W306" s="58"/>
      <c r="X306" s="58"/>
      <c r="Y306" s="58"/>
      <c r="Z306" s="58"/>
      <c r="AA306" s="58"/>
      <c r="AB306" s="58"/>
      <c r="AC306" s="58"/>
      <c r="AD306" s="58"/>
    </row>
    <row r="307" spans="3:30" x14ac:dyDescent="0.25">
      <c r="C307" s="112"/>
      <c r="D307" s="110"/>
      <c r="E307" s="110"/>
      <c r="F307" s="110"/>
      <c r="G307" s="111"/>
      <c r="H307" s="110"/>
      <c r="I307" s="110"/>
      <c r="J307" s="110"/>
      <c r="L307" s="58"/>
      <c r="M307" s="58"/>
      <c r="N307" s="58"/>
      <c r="O307" s="58"/>
      <c r="P307" s="58"/>
      <c r="Q307" s="58"/>
      <c r="R307" s="58"/>
      <c r="S307" s="58"/>
      <c r="T307" s="58"/>
      <c r="U307" s="58"/>
      <c r="W307" s="58"/>
      <c r="X307" s="58"/>
      <c r="Y307" s="58"/>
      <c r="Z307" s="58"/>
      <c r="AA307" s="58"/>
      <c r="AB307" s="58"/>
      <c r="AC307" s="58"/>
      <c r="AD307" s="58"/>
    </row>
    <row r="308" spans="3:30" x14ac:dyDescent="0.25">
      <c r="C308" s="112"/>
      <c r="D308" s="110"/>
      <c r="E308" s="110"/>
      <c r="F308" s="110"/>
      <c r="G308" s="111"/>
      <c r="H308" s="110"/>
      <c r="I308" s="110"/>
      <c r="J308" s="110"/>
      <c r="L308" s="58"/>
      <c r="M308" s="58"/>
      <c r="N308" s="58"/>
      <c r="O308" s="58"/>
      <c r="P308" s="58"/>
      <c r="Q308" s="58"/>
      <c r="R308" s="58"/>
      <c r="S308" s="58"/>
      <c r="T308" s="58"/>
      <c r="U308" s="58"/>
      <c r="W308" s="58"/>
      <c r="X308" s="58"/>
      <c r="Y308" s="58"/>
      <c r="Z308" s="58"/>
      <c r="AA308" s="58"/>
      <c r="AB308" s="58"/>
      <c r="AC308" s="58"/>
      <c r="AD308" s="58"/>
    </row>
    <row r="309" spans="3:30" x14ac:dyDescent="0.25">
      <c r="C309" s="112"/>
      <c r="D309" s="110"/>
      <c r="E309" s="110"/>
      <c r="F309" s="110"/>
      <c r="G309" s="111"/>
      <c r="H309" s="110"/>
      <c r="I309" s="110"/>
      <c r="J309" s="110"/>
      <c r="L309" s="58"/>
      <c r="M309" s="58"/>
      <c r="N309" s="58"/>
      <c r="O309" s="58"/>
      <c r="P309" s="58"/>
      <c r="Q309" s="58"/>
      <c r="R309" s="58"/>
      <c r="S309" s="58"/>
      <c r="T309" s="58"/>
      <c r="U309" s="58"/>
      <c r="W309" s="58"/>
      <c r="X309" s="58"/>
      <c r="Y309" s="58"/>
      <c r="Z309" s="58"/>
      <c r="AA309" s="58"/>
      <c r="AB309" s="58"/>
      <c r="AC309" s="58"/>
      <c r="AD309" s="58"/>
    </row>
    <row r="310" spans="3:30" x14ac:dyDescent="0.25">
      <c r="C310" s="112"/>
      <c r="D310" s="110"/>
      <c r="E310" s="110"/>
      <c r="F310" s="110"/>
      <c r="G310" s="111"/>
      <c r="H310" s="110"/>
      <c r="I310" s="110"/>
      <c r="J310" s="110"/>
      <c r="L310" s="58"/>
      <c r="M310" s="58"/>
      <c r="N310" s="58"/>
      <c r="O310" s="58"/>
      <c r="P310" s="58"/>
      <c r="Q310" s="58"/>
      <c r="R310" s="58"/>
      <c r="S310" s="58"/>
      <c r="T310" s="58"/>
      <c r="U310" s="58"/>
      <c r="W310" s="58"/>
      <c r="X310" s="58"/>
      <c r="Y310" s="58"/>
      <c r="Z310" s="58"/>
      <c r="AA310" s="58"/>
      <c r="AB310" s="58"/>
      <c r="AC310" s="58"/>
      <c r="AD310" s="58"/>
    </row>
    <row r="311" spans="3:30" x14ac:dyDescent="0.25">
      <c r="C311" s="112"/>
      <c r="D311" s="110"/>
      <c r="E311" s="110"/>
      <c r="F311" s="110"/>
      <c r="G311" s="111"/>
      <c r="H311" s="110"/>
      <c r="I311" s="110"/>
      <c r="J311" s="110"/>
      <c r="L311" s="58"/>
      <c r="M311" s="58"/>
      <c r="N311" s="58"/>
      <c r="O311" s="58"/>
      <c r="P311" s="58"/>
      <c r="Q311" s="58"/>
      <c r="R311" s="58"/>
      <c r="S311" s="58"/>
      <c r="T311" s="58"/>
      <c r="U311" s="58"/>
      <c r="W311" s="58"/>
      <c r="X311" s="58"/>
      <c r="Y311" s="58"/>
      <c r="Z311" s="58"/>
      <c r="AA311" s="58"/>
      <c r="AB311" s="58"/>
      <c r="AC311" s="58"/>
      <c r="AD311" s="58"/>
    </row>
    <row r="312" spans="3:30" x14ac:dyDescent="0.25">
      <c r="C312" s="112"/>
      <c r="D312" s="110"/>
      <c r="E312" s="110"/>
      <c r="F312" s="110"/>
      <c r="G312" s="111"/>
      <c r="H312" s="110"/>
      <c r="I312" s="110"/>
      <c r="J312" s="110"/>
      <c r="L312" s="58"/>
      <c r="M312" s="58"/>
      <c r="N312" s="58"/>
      <c r="O312" s="58"/>
      <c r="P312" s="58"/>
      <c r="Q312" s="58"/>
      <c r="R312" s="58"/>
      <c r="S312" s="58"/>
      <c r="T312" s="58"/>
      <c r="U312" s="58"/>
      <c r="W312" s="58"/>
      <c r="X312" s="58"/>
      <c r="Y312" s="58"/>
      <c r="Z312" s="58"/>
      <c r="AA312" s="58"/>
      <c r="AB312" s="58"/>
      <c r="AC312" s="58"/>
      <c r="AD312" s="58"/>
    </row>
    <row r="313" spans="3:30" x14ac:dyDescent="0.25">
      <c r="C313" s="112"/>
      <c r="D313" s="110"/>
      <c r="E313" s="110"/>
      <c r="F313" s="110"/>
      <c r="G313" s="111"/>
      <c r="H313" s="110"/>
      <c r="I313" s="110"/>
      <c r="J313" s="110"/>
      <c r="L313" s="58"/>
      <c r="M313" s="58"/>
      <c r="N313" s="58"/>
      <c r="O313" s="58"/>
      <c r="P313" s="58"/>
      <c r="Q313" s="58"/>
      <c r="R313" s="58"/>
      <c r="S313" s="58"/>
      <c r="T313" s="58"/>
      <c r="U313" s="58"/>
      <c r="W313" s="58"/>
      <c r="X313" s="58"/>
      <c r="Y313" s="58"/>
      <c r="Z313" s="58"/>
      <c r="AA313" s="58"/>
      <c r="AB313" s="58"/>
      <c r="AC313" s="58"/>
      <c r="AD313" s="58"/>
    </row>
    <row r="314" spans="3:30" x14ac:dyDescent="0.25">
      <c r="C314" s="112"/>
      <c r="D314" s="110"/>
      <c r="E314" s="110"/>
      <c r="F314" s="110"/>
      <c r="G314" s="111"/>
      <c r="H314" s="110"/>
      <c r="I314" s="110"/>
      <c r="J314" s="110"/>
      <c r="L314" s="58"/>
      <c r="M314" s="58"/>
      <c r="N314" s="58"/>
      <c r="O314" s="58"/>
      <c r="P314" s="58"/>
      <c r="Q314" s="58"/>
      <c r="R314" s="58"/>
      <c r="S314" s="58"/>
      <c r="T314" s="58"/>
      <c r="U314" s="58"/>
      <c r="W314" s="58"/>
      <c r="X314" s="58"/>
      <c r="Y314" s="58"/>
      <c r="Z314" s="58"/>
      <c r="AA314" s="58"/>
      <c r="AB314" s="58"/>
      <c r="AC314" s="58"/>
      <c r="AD314" s="58"/>
    </row>
    <row r="315" spans="3:30" x14ac:dyDescent="0.25">
      <c r="C315" s="112"/>
      <c r="D315" s="110"/>
      <c r="E315" s="110"/>
      <c r="F315" s="110"/>
      <c r="G315" s="111"/>
      <c r="H315" s="110"/>
      <c r="I315" s="110"/>
      <c r="J315" s="110"/>
      <c r="L315" s="58"/>
      <c r="M315" s="58"/>
      <c r="N315" s="58"/>
      <c r="O315" s="58"/>
      <c r="P315" s="58"/>
      <c r="Q315" s="58"/>
      <c r="R315" s="58"/>
      <c r="S315" s="58"/>
      <c r="T315" s="58"/>
      <c r="U315" s="58"/>
      <c r="W315" s="58"/>
      <c r="X315" s="58"/>
      <c r="Y315" s="58"/>
      <c r="Z315" s="58"/>
      <c r="AA315" s="58"/>
      <c r="AB315" s="58"/>
      <c r="AC315" s="58"/>
      <c r="AD315" s="58"/>
    </row>
    <row r="316" spans="3:30" x14ac:dyDescent="0.25">
      <c r="C316" s="112"/>
      <c r="D316" s="110"/>
      <c r="E316" s="110"/>
      <c r="F316" s="110"/>
      <c r="G316" s="111"/>
      <c r="H316" s="110"/>
      <c r="I316" s="110"/>
      <c r="J316" s="110"/>
      <c r="L316" s="58"/>
      <c r="M316" s="58"/>
      <c r="N316" s="58"/>
      <c r="O316" s="58"/>
      <c r="P316" s="58"/>
      <c r="Q316" s="58"/>
      <c r="R316" s="58"/>
      <c r="S316" s="58"/>
      <c r="T316" s="58"/>
      <c r="U316" s="58"/>
      <c r="W316" s="58"/>
      <c r="X316" s="58"/>
      <c r="Y316" s="58"/>
      <c r="Z316" s="58"/>
      <c r="AA316" s="58"/>
      <c r="AB316" s="58"/>
      <c r="AC316" s="58"/>
      <c r="AD316" s="58"/>
    </row>
    <row r="317" spans="3:30" x14ac:dyDescent="0.25">
      <c r="C317" s="112"/>
      <c r="D317" s="110"/>
      <c r="E317" s="110"/>
      <c r="F317" s="110"/>
      <c r="G317" s="111"/>
      <c r="H317" s="110"/>
      <c r="I317" s="110"/>
      <c r="J317" s="110"/>
      <c r="L317" s="58"/>
      <c r="M317" s="58"/>
      <c r="N317" s="58"/>
      <c r="O317" s="58"/>
      <c r="P317" s="58"/>
      <c r="Q317" s="58"/>
      <c r="R317" s="58"/>
      <c r="S317" s="58"/>
      <c r="T317" s="58"/>
      <c r="U317" s="58"/>
      <c r="W317" s="58"/>
      <c r="X317" s="58"/>
      <c r="Y317" s="58"/>
      <c r="Z317" s="58"/>
      <c r="AA317" s="58"/>
      <c r="AB317" s="58"/>
      <c r="AC317" s="58"/>
      <c r="AD317" s="58"/>
    </row>
    <row r="318" spans="3:30" x14ac:dyDescent="0.25">
      <c r="C318" s="112"/>
      <c r="D318" s="110"/>
      <c r="E318" s="110"/>
      <c r="F318" s="110"/>
      <c r="G318" s="111"/>
      <c r="H318" s="110"/>
      <c r="I318" s="110"/>
      <c r="J318" s="110"/>
      <c r="L318" s="58"/>
      <c r="M318" s="58"/>
      <c r="N318" s="58"/>
      <c r="O318" s="58"/>
      <c r="P318" s="58"/>
      <c r="Q318" s="58"/>
      <c r="R318" s="58"/>
      <c r="S318" s="58"/>
      <c r="T318" s="58"/>
      <c r="U318" s="58"/>
      <c r="W318" s="58"/>
      <c r="X318" s="58"/>
      <c r="Y318" s="58"/>
      <c r="Z318" s="58"/>
      <c r="AA318" s="58"/>
      <c r="AB318" s="58"/>
      <c r="AC318" s="58"/>
      <c r="AD318" s="58"/>
    </row>
    <row r="319" spans="3:30" x14ac:dyDescent="0.25">
      <c r="C319" s="112"/>
      <c r="D319" s="110"/>
      <c r="E319" s="110"/>
      <c r="F319" s="110"/>
      <c r="G319" s="111"/>
      <c r="H319" s="110"/>
      <c r="I319" s="110"/>
      <c r="J319" s="110"/>
      <c r="L319" s="58"/>
      <c r="M319" s="58"/>
      <c r="N319" s="58"/>
      <c r="O319" s="58"/>
      <c r="P319" s="58"/>
      <c r="Q319" s="58"/>
      <c r="R319" s="58"/>
      <c r="S319" s="58"/>
      <c r="T319" s="58"/>
      <c r="U319" s="58"/>
      <c r="W319" s="58"/>
      <c r="X319" s="58"/>
      <c r="Y319" s="58"/>
      <c r="Z319" s="58"/>
      <c r="AA319" s="58"/>
      <c r="AB319" s="58"/>
      <c r="AC319" s="58"/>
      <c r="AD319" s="58"/>
    </row>
  </sheetData>
  <pageMargins left="0.7" right="0.7" top="0.75" bottom="0.75" header="0.3" footer="0.3"/>
  <pageSetup orientation="portrait" r:id="rId1"/>
  <ignoredErrors>
    <ignoredError sqref="B2 E3 D14 D2:J2 D15:J48 E14:J14 D4:J7 D3 F3:J3 B1 A7:B7 B3 B4 B5 B6 D9:J13 D8:G8 I8:J8 A9:B1048576 B8"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Drop Down 1">
              <controlPr defaultSize="0" autoLine="0" autoPict="0">
                <anchor moveWithCells="1">
                  <from>
                    <xdr:col>3</xdr:col>
                    <xdr:colOff>28575</xdr:colOff>
                    <xdr:row>0</xdr:row>
                    <xdr:rowOff>47625</xdr:rowOff>
                  </from>
                  <to>
                    <xdr:col>3</xdr:col>
                    <xdr:colOff>800100</xdr:colOff>
                    <xdr:row>0</xdr:row>
                    <xdr:rowOff>438150</xdr:rowOff>
                  </to>
                </anchor>
              </controlPr>
            </control>
          </mc:Choice>
        </mc:AlternateContent>
        <mc:AlternateContent xmlns:mc="http://schemas.openxmlformats.org/markup-compatibility/2006">
          <mc:Choice Requires="x14">
            <control shapeId="3074" r:id="rId5" name="Drop Down 2">
              <controlPr defaultSize="0" autoLine="0" autoPict="0">
                <anchor moveWithCells="1">
                  <from>
                    <xdr:col>4</xdr:col>
                    <xdr:colOff>19050</xdr:colOff>
                    <xdr:row>0</xdr:row>
                    <xdr:rowOff>47625</xdr:rowOff>
                  </from>
                  <to>
                    <xdr:col>4</xdr:col>
                    <xdr:colOff>800100</xdr:colOff>
                    <xdr:row>0</xdr:row>
                    <xdr:rowOff>428625</xdr:rowOff>
                  </to>
                </anchor>
              </controlPr>
            </control>
          </mc:Choice>
        </mc:AlternateContent>
        <mc:AlternateContent xmlns:mc="http://schemas.openxmlformats.org/markup-compatibility/2006">
          <mc:Choice Requires="x14">
            <control shapeId="3075" r:id="rId6" name="Drop Down 3">
              <controlPr defaultSize="0" autoLine="0" autoPict="0">
                <anchor moveWithCells="1">
                  <from>
                    <xdr:col>5</xdr:col>
                    <xdr:colOff>19050</xdr:colOff>
                    <xdr:row>0</xdr:row>
                    <xdr:rowOff>47625</xdr:rowOff>
                  </from>
                  <to>
                    <xdr:col>5</xdr:col>
                    <xdr:colOff>800100</xdr:colOff>
                    <xdr:row>0</xdr:row>
                    <xdr:rowOff>428625</xdr:rowOff>
                  </to>
                </anchor>
              </controlPr>
            </control>
          </mc:Choice>
        </mc:AlternateContent>
        <mc:AlternateContent xmlns:mc="http://schemas.openxmlformats.org/markup-compatibility/2006">
          <mc:Choice Requires="x14">
            <control shapeId="3076" r:id="rId7" name="Drop Down 4">
              <controlPr defaultSize="0" autoLine="0" autoPict="0">
                <anchor moveWithCells="1">
                  <from>
                    <xdr:col>7</xdr:col>
                    <xdr:colOff>28575</xdr:colOff>
                    <xdr:row>0</xdr:row>
                    <xdr:rowOff>47625</xdr:rowOff>
                  </from>
                  <to>
                    <xdr:col>7</xdr:col>
                    <xdr:colOff>800100</xdr:colOff>
                    <xdr:row>0</xdr:row>
                    <xdr:rowOff>428625</xdr:rowOff>
                  </to>
                </anchor>
              </controlPr>
            </control>
          </mc:Choice>
        </mc:AlternateContent>
        <mc:AlternateContent xmlns:mc="http://schemas.openxmlformats.org/markup-compatibility/2006">
          <mc:Choice Requires="x14">
            <control shapeId="3077" r:id="rId8" name="Drop Down 5">
              <controlPr defaultSize="0" autoLine="0" autoPict="0">
                <anchor moveWithCells="1">
                  <from>
                    <xdr:col>8</xdr:col>
                    <xdr:colOff>28575</xdr:colOff>
                    <xdr:row>0</xdr:row>
                    <xdr:rowOff>47625</xdr:rowOff>
                  </from>
                  <to>
                    <xdr:col>8</xdr:col>
                    <xdr:colOff>800100</xdr:colOff>
                    <xdr:row>0</xdr:row>
                    <xdr:rowOff>428625</xdr:rowOff>
                  </to>
                </anchor>
              </controlPr>
            </control>
          </mc:Choice>
        </mc:AlternateContent>
        <mc:AlternateContent xmlns:mc="http://schemas.openxmlformats.org/markup-compatibility/2006">
          <mc:Choice Requires="x14">
            <control shapeId="3078" r:id="rId9" name="Drop Down 6">
              <controlPr defaultSize="0" autoLine="0" autoPict="0">
                <anchor moveWithCells="1">
                  <from>
                    <xdr:col>9</xdr:col>
                    <xdr:colOff>19050</xdr:colOff>
                    <xdr:row>0</xdr:row>
                    <xdr:rowOff>47625</xdr:rowOff>
                  </from>
                  <to>
                    <xdr:col>9</xdr:col>
                    <xdr:colOff>800100</xdr:colOff>
                    <xdr:row>0</xdr:row>
                    <xdr:rowOff>428625</xdr:rowOff>
                  </to>
                </anchor>
              </controlPr>
            </control>
          </mc:Choice>
        </mc:AlternateContent>
        <mc:AlternateContent xmlns:mc="http://schemas.openxmlformats.org/markup-compatibility/2006">
          <mc:Choice Requires="x14">
            <control shapeId="3079" r:id="rId10" name="Button7">
              <controlPr defaultSize="0" print="0" autoFill="0" autoPict="0" macro="[0]!Sheet3.Invisible">
                <anchor moveWithCells="1" sizeWithCells="1">
                  <from>
                    <xdr:col>10</xdr:col>
                    <xdr:colOff>0</xdr:colOff>
                    <xdr:row>0</xdr:row>
                    <xdr:rowOff>9525</xdr:rowOff>
                  </from>
                  <to>
                    <xdr:col>11</xdr:col>
                    <xdr:colOff>447675</xdr:colOff>
                    <xdr:row>1</xdr:row>
                    <xdr:rowOff>95250</xdr:rowOff>
                  </to>
                </anchor>
              </controlPr>
            </control>
          </mc:Choice>
        </mc:AlternateContent>
        <mc:AlternateContent xmlns:mc="http://schemas.openxmlformats.org/markup-compatibility/2006">
          <mc:Choice Requires="x14">
            <control shapeId="3080" r:id="rId11" name="Drop Down 8">
              <controlPr defaultSize="0" autoLine="0" autoPict="0" macro="[0]!clap_show_power3">
                <anchor moveWithCells="1">
                  <from>
                    <xdr:col>22</xdr:col>
                    <xdr:colOff>38100</xdr:colOff>
                    <xdr:row>34</xdr:row>
                    <xdr:rowOff>38100</xdr:rowOff>
                  </from>
                  <to>
                    <xdr:col>23</xdr:col>
                    <xdr:colOff>552450</xdr:colOff>
                    <xdr:row>35</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5CDEE3-F57D-42A7-BA11-301BF529A399}">
  <sheetPr codeName="Sheet5"/>
  <dimension ref="A1:Y774"/>
  <sheetViews>
    <sheetView tabSelected="1" topLeftCell="B3" zoomScale="97" zoomScaleNormal="99" workbookViewId="0">
      <selection activeCell="I16" sqref="I16"/>
    </sheetView>
  </sheetViews>
  <sheetFormatPr defaultRowHeight="15" x14ac:dyDescent="0.25"/>
  <cols>
    <col min="1" max="1" width="19.85546875" bestFit="1" customWidth="1"/>
    <col min="2" max="2" width="10.85546875" style="13" bestFit="1" customWidth="1"/>
    <col min="3" max="3" width="15" style="13" bestFit="1" customWidth="1"/>
    <col min="4" max="4" width="15.5703125" style="13" bestFit="1" customWidth="1"/>
    <col min="5" max="5" width="18.140625" style="13" bestFit="1" customWidth="1"/>
    <col min="6" max="7" width="16.7109375" style="13" bestFit="1" customWidth="1"/>
    <col min="8" max="8" width="13" style="13" bestFit="1" customWidth="1"/>
    <col min="9" max="9" width="19.140625" style="13" bestFit="1" customWidth="1"/>
    <col min="10" max="10" width="15.5703125" style="13" bestFit="1" customWidth="1"/>
    <col min="11" max="11" width="11.5703125" style="13" bestFit="1" customWidth="1"/>
    <col min="12" max="13" width="12.140625" style="13" bestFit="1" customWidth="1"/>
    <col min="14" max="15" width="14.42578125" style="13" bestFit="1" customWidth="1"/>
    <col min="16" max="16" width="8.42578125" style="13" bestFit="1" customWidth="1"/>
    <col min="17" max="17" width="17.42578125" style="42" bestFit="1" customWidth="1"/>
    <col min="18" max="18" width="19.28515625" style="13" bestFit="1" customWidth="1"/>
    <col min="19" max="19" width="13.7109375" style="18" bestFit="1" customWidth="1"/>
    <col min="20" max="25" width="9.140625" style="18"/>
  </cols>
  <sheetData>
    <row r="1" spans="1:25" hidden="1" x14ac:dyDescent="0.25"/>
    <row r="2" spans="1:25" ht="15.75" hidden="1" customHeight="1" x14ac:dyDescent="0.25"/>
    <row r="3" spans="1:25" s="5" customFormat="1" ht="30" x14ac:dyDescent="0.25">
      <c r="A3" s="1" t="s">
        <v>47</v>
      </c>
      <c r="B3" s="43" t="s">
        <v>53</v>
      </c>
      <c r="C3" s="5" t="s">
        <v>163</v>
      </c>
      <c r="D3" s="5" t="s">
        <v>164</v>
      </c>
      <c r="E3" s="5" t="s">
        <v>165</v>
      </c>
      <c r="F3" s="21" t="s">
        <v>54</v>
      </c>
      <c r="G3" s="21" t="s">
        <v>56</v>
      </c>
      <c r="H3" s="21" t="s">
        <v>166</v>
      </c>
      <c r="I3" s="21" t="s">
        <v>167</v>
      </c>
      <c r="J3" s="21" t="s">
        <v>168</v>
      </c>
      <c r="K3" s="21" t="s">
        <v>169</v>
      </c>
      <c r="L3" s="5" t="s">
        <v>170</v>
      </c>
      <c r="M3" s="5" t="s">
        <v>171</v>
      </c>
      <c r="N3" s="21" t="s">
        <v>48</v>
      </c>
      <c r="O3" s="21" t="s">
        <v>49</v>
      </c>
      <c r="P3" s="21" t="s">
        <v>50</v>
      </c>
      <c r="Q3" s="45" t="s">
        <v>51</v>
      </c>
      <c r="R3" s="21" t="s">
        <v>52</v>
      </c>
      <c r="S3" s="21" t="s">
        <v>137</v>
      </c>
      <c r="T3" s="19"/>
      <c r="U3" s="19"/>
      <c r="V3" s="19"/>
      <c r="W3" s="19"/>
      <c r="X3" s="19"/>
      <c r="Y3" s="19"/>
    </row>
    <row r="4" spans="1:25" x14ac:dyDescent="0.25">
      <c r="A4" s="12">
        <v>2877</v>
      </c>
      <c r="B4" s="13">
        <v>4.25</v>
      </c>
      <c r="C4" s="13">
        <v>1.375</v>
      </c>
      <c r="D4" s="13">
        <v>2.875</v>
      </c>
      <c r="E4" s="13">
        <v>0</v>
      </c>
      <c r="F4" s="13">
        <v>0.375</v>
      </c>
      <c r="G4" s="13">
        <v>0</v>
      </c>
      <c r="H4" s="13">
        <v>2</v>
      </c>
      <c r="I4" s="13">
        <v>0.25</v>
      </c>
      <c r="J4" s="13">
        <v>0</v>
      </c>
      <c r="K4" s="13">
        <v>2.375</v>
      </c>
      <c r="L4" s="13">
        <v>6</v>
      </c>
      <c r="M4" s="13">
        <v>6</v>
      </c>
      <c r="N4" s="13">
        <v>0</v>
      </c>
      <c r="O4" s="13">
        <v>0</v>
      </c>
      <c r="P4" s="13">
        <v>0</v>
      </c>
      <c r="Q4" s="44">
        <v>0</v>
      </c>
      <c r="R4" s="13">
        <v>3</v>
      </c>
      <c r="S4" s="13">
        <v>0</v>
      </c>
    </row>
    <row r="5" spans="1:25" x14ac:dyDescent="0.25">
      <c r="B5"/>
      <c r="C5"/>
      <c r="D5"/>
      <c r="E5"/>
      <c r="F5"/>
      <c r="G5"/>
      <c r="H5"/>
      <c r="I5"/>
      <c r="J5"/>
      <c r="K5"/>
      <c r="L5"/>
      <c r="M5"/>
      <c r="N5"/>
      <c r="O5"/>
      <c r="P5"/>
      <c r="Q5"/>
      <c r="R5"/>
      <c r="S5"/>
    </row>
    <row r="6" spans="1:25" x14ac:dyDescent="0.25">
      <c r="B6"/>
      <c r="C6"/>
      <c r="D6"/>
      <c r="E6"/>
      <c r="F6"/>
      <c r="G6"/>
      <c r="H6"/>
      <c r="I6"/>
      <c r="J6"/>
      <c r="K6"/>
      <c r="L6"/>
      <c r="M6"/>
      <c r="N6"/>
      <c r="O6"/>
      <c r="P6"/>
      <c r="Q6"/>
      <c r="R6"/>
      <c r="S6"/>
    </row>
    <row r="7" spans="1:25" x14ac:dyDescent="0.25">
      <c r="B7"/>
      <c r="C7"/>
      <c r="D7"/>
      <c r="E7"/>
      <c r="F7"/>
      <c r="G7"/>
      <c r="H7"/>
      <c r="I7"/>
      <c r="J7"/>
      <c r="K7"/>
      <c r="L7"/>
      <c r="M7"/>
      <c r="N7"/>
      <c r="O7"/>
      <c r="P7"/>
      <c r="Q7"/>
      <c r="R7"/>
      <c r="S7"/>
    </row>
    <row r="8" spans="1:25" x14ac:dyDescent="0.25">
      <c r="B8"/>
      <c r="C8"/>
      <c r="D8"/>
      <c r="E8"/>
      <c r="F8"/>
      <c r="G8"/>
      <c r="H8"/>
      <c r="I8"/>
      <c r="J8"/>
      <c r="K8"/>
      <c r="L8"/>
      <c r="M8"/>
      <c r="N8"/>
      <c r="O8"/>
      <c r="P8"/>
      <c r="Q8"/>
      <c r="R8"/>
      <c r="S8"/>
    </row>
    <row r="9" spans="1:25" x14ac:dyDescent="0.25">
      <c r="B9"/>
      <c r="C9"/>
      <c r="D9"/>
      <c r="E9"/>
      <c r="F9"/>
      <c r="G9"/>
      <c r="H9"/>
      <c r="I9"/>
      <c r="J9"/>
      <c r="K9"/>
      <c r="L9"/>
      <c r="M9"/>
      <c r="N9"/>
      <c r="O9"/>
      <c r="P9"/>
      <c r="Q9"/>
      <c r="R9"/>
      <c r="S9"/>
    </row>
    <row r="10" spans="1:25" x14ac:dyDescent="0.25">
      <c r="B10"/>
      <c r="C10"/>
      <c r="D10"/>
      <c r="E10"/>
      <c r="F10"/>
      <c r="G10"/>
      <c r="H10"/>
      <c r="I10"/>
      <c r="J10"/>
      <c r="K10"/>
      <c r="L10"/>
      <c r="M10"/>
      <c r="N10"/>
      <c r="O10"/>
      <c r="P10"/>
      <c r="Q10"/>
      <c r="R10"/>
      <c r="S10"/>
    </row>
    <row r="11" spans="1:25" x14ac:dyDescent="0.25">
      <c r="B11"/>
      <c r="C11"/>
      <c r="D11"/>
      <c r="E11"/>
      <c r="F11"/>
      <c r="G11"/>
      <c r="H11"/>
      <c r="I11"/>
      <c r="J11"/>
      <c r="K11"/>
      <c r="L11"/>
      <c r="M11"/>
      <c r="N11"/>
      <c r="O11"/>
      <c r="P11"/>
      <c r="Q11"/>
      <c r="R11"/>
      <c r="S11"/>
    </row>
    <row r="12" spans="1:25" x14ac:dyDescent="0.25">
      <c r="B12"/>
      <c r="C12"/>
      <c r="D12"/>
      <c r="E12"/>
      <c r="F12"/>
      <c r="G12"/>
      <c r="H12"/>
      <c r="I12"/>
      <c r="J12"/>
      <c r="K12"/>
      <c r="L12"/>
      <c r="M12"/>
      <c r="N12"/>
      <c r="O12"/>
      <c r="P12"/>
      <c r="Q12"/>
      <c r="R12"/>
      <c r="S12"/>
    </row>
    <row r="13" spans="1:25" x14ac:dyDescent="0.25">
      <c r="B13"/>
      <c r="C13"/>
      <c r="D13"/>
      <c r="E13"/>
      <c r="F13"/>
      <c r="G13"/>
      <c r="H13"/>
      <c r="I13"/>
      <c r="J13"/>
      <c r="K13"/>
      <c r="L13"/>
      <c r="M13"/>
      <c r="N13"/>
      <c r="O13"/>
      <c r="P13"/>
      <c r="Q13"/>
      <c r="R13"/>
      <c r="S13"/>
    </row>
    <row r="14" spans="1:25" x14ac:dyDescent="0.25">
      <c r="B14"/>
      <c r="C14"/>
      <c r="D14"/>
      <c r="E14"/>
      <c r="F14"/>
      <c r="G14"/>
      <c r="H14"/>
      <c r="I14"/>
      <c r="J14"/>
      <c r="K14"/>
      <c r="L14"/>
      <c r="M14"/>
      <c r="N14"/>
      <c r="O14"/>
      <c r="P14"/>
      <c r="Q14"/>
      <c r="R14"/>
      <c r="S14"/>
    </row>
    <row r="15" spans="1:25" x14ac:dyDescent="0.25">
      <c r="B15"/>
      <c r="C15"/>
      <c r="D15"/>
      <c r="E15"/>
      <c r="F15"/>
      <c r="G15"/>
      <c r="H15"/>
      <c r="I15"/>
      <c r="J15"/>
      <c r="K15"/>
      <c r="L15"/>
      <c r="M15"/>
      <c r="N15"/>
      <c r="O15"/>
      <c r="P15"/>
      <c r="Q15"/>
      <c r="R15"/>
      <c r="S15"/>
    </row>
    <row r="16" spans="1:25" x14ac:dyDescent="0.25">
      <c r="B16"/>
      <c r="C16"/>
      <c r="D16"/>
      <c r="E16"/>
      <c r="F16"/>
      <c r="G16"/>
      <c r="H16"/>
      <c r="I16"/>
      <c r="J16"/>
      <c r="K16"/>
      <c r="L16"/>
      <c r="M16"/>
      <c r="N16"/>
      <c r="O16"/>
      <c r="P16"/>
      <c r="Q16"/>
      <c r="R16"/>
      <c r="S16"/>
    </row>
    <row r="17" spans="2:19" x14ac:dyDescent="0.25">
      <c r="B17"/>
      <c r="C17"/>
      <c r="D17"/>
      <c r="E17"/>
      <c r="F17"/>
      <c r="G17"/>
      <c r="H17"/>
      <c r="I17"/>
      <c r="J17"/>
      <c r="K17"/>
      <c r="L17"/>
      <c r="M17"/>
      <c r="N17"/>
      <c r="O17"/>
      <c r="P17"/>
      <c r="Q17"/>
      <c r="R17"/>
      <c r="S17"/>
    </row>
    <row r="18" spans="2:19" x14ac:dyDescent="0.25">
      <c r="B18"/>
      <c r="C18"/>
      <c r="D18"/>
      <c r="E18"/>
      <c r="F18"/>
      <c r="G18"/>
      <c r="H18"/>
      <c r="I18"/>
      <c r="J18"/>
      <c r="K18"/>
      <c r="L18"/>
      <c r="M18"/>
      <c r="N18"/>
      <c r="O18"/>
      <c r="P18"/>
      <c r="Q18"/>
      <c r="R18"/>
      <c r="S18"/>
    </row>
    <row r="19" spans="2:19" x14ac:dyDescent="0.25">
      <c r="B19"/>
      <c r="C19"/>
      <c r="D19"/>
      <c r="E19"/>
      <c r="F19"/>
      <c r="G19"/>
      <c r="H19"/>
      <c r="I19"/>
      <c r="J19"/>
      <c r="K19"/>
      <c r="L19"/>
      <c r="M19"/>
      <c r="N19"/>
      <c r="O19"/>
      <c r="P19"/>
      <c r="Q19"/>
      <c r="R19"/>
      <c r="S19"/>
    </row>
    <row r="20" spans="2:19" x14ac:dyDescent="0.25">
      <c r="B20"/>
      <c r="C20"/>
      <c r="D20"/>
      <c r="E20"/>
      <c r="F20"/>
      <c r="G20"/>
      <c r="H20"/>
      <c r="I20"/>
      <c r="J20"/>
      <c r="K20"/>
      <c r="L20"/>
      <c r="M20"/>
      <c r="N20"/>
      <c r="O20"/>
      <c r="P20"/>
      <c r="Q20"/>
      <c r="R20"/>
      <c r="S20"/>
    </row>
    <row r="21" spans="2:19" x14ac:dyDescent="0.25">
      <c r="B21"/>
      <c r="C21"/>
      <c r="D21"/>
      <c r="E21"/>
      <c r="F21"/>
      <c r="G21"/>
      <c r="H21"/>
      <c r="I21"/>
      <c r="J21"/>
      <c r="K21"/>
      <c r="L21"/>
      <c r="M21"/>
      <c r="N21"/>
      <c r="O21"/>
      <c r="P21"/>
      <c r="Q21"/>
      <c r="R21"/>
      <c r="S21"/>
    </row>
    <row r="22" spans="2:19" x14ac:dyDescent="0.25">
      <c r="B22"/>
      <c r="C22"/>
      <c r="D22"/>
      <c r="E22"/>
      <c r="F22"/>
      <c r="G22"/>
      <c r="H22"/>
      <c r="I22"/>
      <c r="J22"/>
      <c r="K22"/>
      <c r="L22"/>
      <c r="M22"/>
      <c r="N22"/>
      <c r="O22"/>
      <c r="P22"/>
      <c r="Q22"/>
      <c r="R22"/>
      <c r="S22"/>
    </row>
    <row r="23" spans="2:19" x14ac:dyDescent="0.25">
      <c r="B23"/>
      <c r="C23"/>
      <c r="D23"/>
      <c r="E23"/>
      <c r="F23"/>
      <c r="G23"/>
      <c r="H23"/>
      <c r="I23"/>
      <c r="J23"/>
      <c r="K23"/>
      <c r="L23"/>
      <c r="M23"/>
      <c r="N23"/>
      <c r="O23"/>
      <c r="P23"/>
      <c r="Q23"/>
      <c r="R23"/>
      <c r="S23"/>
    </row>
    <row r="24" spans="2:19" x14ac:dyDescent="0.25">
      <c r="B24"/>
      <c r="C24"/>
      <c r="D24"/>
      <c r="E24"/>
      <c r="F24"/>
      <c r="G24"/>
      <c r="H24"/>
      <c r="I24"/>
      <c r="J24"/>
      <c r="K24"/>
      <c r="L24"/>
      <c r="M24"/>
      <c r="N24"/>
      <c r="O24"/>
      <c r="P24"/>
      <c r="Q24"/>
      <c r="R24"/>
      <c r="S24"/>
    </row>
    <row r="25" spans="2:19" x14ac:dyDescent="0.25">
      <c r="B25"/>
      <c r="C25"/>
      <c r="D25"/>
      <c r="E25"/>
      <c r="F25"/>
      <c r="G25"/>
      <c r="H25"/>
      <c r="I25"/>
      <c r="J25"/>
      <c r="K25"/>
      <c r="L25"/>
      <c r="M25"/>
      <c r="N25"/>
      <c r="O25"/>
      <c r="P25"/>
      <c r="Q25"/>
      <c r="R25"/>
      <c r="S25"/>
    </row>
    <row r="26" spans="2:19" x14ac:dyDescent="0.25">
      <c r="B26"/>
      <c r="C26"/>
      <c r="D26"/>
      <c r="E26"/>
      <c r="F26"/>
      <c r="G26"/>
      <c r="H26"/>
      <c r="I26"/>
      <c r="J26"/>
      <c r="K26"/>
      <c r="L26"/>
      <c r="M26"/>
      <c r="N26"/>
      <c r="O26"/>
      <c r="P26"/>
      <c r="Q26"/>
      <c r="R26"/>
      <c r="S26"/>
    </row>
    <row r="27" spans="2:19" x14ac:dyDescent="0.25">
      <c r="B27"/>
      <c r="C27"/>
      <c r="D27"/>
      <c r="E27"/>
      <c r="F27"/>
      <c r="G27"/>
      <c r="H27"/>
      <c r="I27"/>
      <c r="J27"/>
      <c r="K27"/>
      <c r="L27"/>
      <c r="M27"/>
      <c r="N27"/>
      <c r="O27"/>
      <c r="P27"/>
      <c r="Q27"/>
      <c r="R27"/>
      <c r="S27"/>
    </row>
    <row r="28" spans="2:19" x14ac:dyDescent="0.25">
      <c r="B28"/>
      <c r="C28"/>
      <c r="D28"/>
      <c r="E28"/>
      <c r="F28"/>
      <c r="G28"/>
      <c r="H28"/>
      <c r="I28"/>
      <c r="J28"/>
      <c r="K28"/>
      <c r="L28"/>
      <c r="M28"/>
      <c r="N28"/>
      <c r="O28"/>
      <c r="P28"/>
      <c r="Q28"/>
      <c r="R28"/>
      <c r="S28"/>
    </row>
    <row r="29" spans="2:19" x14ac:dyDescent="0.25">
      <c r="B29"/>
      <c r="C29"/>
      <c r="D29"/>
      <c r="E29"/>
      <c r="F29"/>
      <c r="G29"/>
      <c r="H29"/>
      <c r="I29"/>
      <c r="J29"/>
      <c r="K29"/>
      <c r="L29"/>
      <c r="M29"/>
      <c r="N29"/>
      <c r="O29"/>
      <c r="P29"/>
      <c r="Q29"/>
      <c r="R29"/>
      <c r="S29"/>
    </row>
    <row r="30" spans="2:19" x14ac:dyDescent="0.25">
      <c r="B30"/>
      <c r="C30"/>
      <c r="D30"/>
      <c r="E30"/>
      <c r="F30"/>
      <c r="G30"/>
      <c r="H30"/>
      <c r="I30"/>
      <c r="J30"/>
      <c r="K30"/>
      <c r="L30"/>
      <c r="M30"/>
      <c r="N30"/>
      <c r="O30"/>
      <c r="P30"/>
      <c r="Q30"/>
      <c r="R30"/>
      <c r="S30"/>
    </row>
    <row r="31" spans="2:19" x14ac:dyDescent="0.25">
      <c r="B31"/>
      <c r="C31"/>
      <c r="D31"/>
      <c r="E31"/>
      <c r="F31"/>
      <c r="G31"/>
      <c r="H31"/>
      <c r="I31"/>
      <c r="J31"/>
      <c r="K31"/>
      <c r="L31"/>
      <c r="M31"/>
      <c r="N31"/>
      <c r="O31"/>
      <c r="P31"/>
      <c r="Q31"/>
      <c r="R31"/>
      <c r="S31"/>
    </row>
    <row r="32" spans="2:19" x14ac:dyDescent="0.25">
      <c r="B32"/>
      <c r="C32"/>
      <c r="D32"/>
      <c r="E32"/>
      <c r="F32"/>
      <c r="G32"/>
      <c r="H32"/>
      <c r="I32"/>
      <c r="J32"/>
      <c r="K32"/>
      <c r="L32"/>
      <c r="M32"/>
      <c r="N32"/>
      <c r="O32"/>
      <c r="P32"/>
      <c r="Q32"/>
      <c r="R32"/>
      <c r="S32"/>
    </row>
    <row r="33" spans="2:19" x14ac:dyDescent="0.25">
      <c r="B33"/>
      <c r="C33"/>
      <c r="D33"/>
      <c r="E33"/>
      <c r="F33"/>
      <c r="G33"/>
      <c r="H33"/>
      <c r="I33"/>
      <c r="J33"/>
      <c r="K33"/>
      <c r="L33"/>
      <c r="M33"/>
      <c r="N33"/>
      <c r="O33"/>
      <c r="P33"/>
      <c r="Q33"/>
      <c r="R33"/>
      <c r="S33"/>
    </row>
    <row r="34" spans="2:19" x14ac:dyDescent="0.25">
      <c r="B34"/>
      <c r="C34"/>
      <c r="D34"/>
      <c r="E34"/>
      <c r="F34"/>
      <c r="G34"/>
      <c r="H34"/>
      <c r="I34"/>
      <c r="J34"/>
      <c r="K34"/>
      <c r="L34"/>
      <c r="M34"/>
      <c r="N34"/>
      <c r="O34"/>
      <c r="P34"/>
      <c r="Q34"/>
      <c r="R34"/>
      <c r="S34"/>
    </row>
    <row r="35" spans="2:19" x14ac:dyDescent="0.25">
      <c r="B35"/>
      <c r="C35"/>
      <c r="D35"/>
      <c r="E35"/>
      <c r="F35"/>
      <c r="G35"/>
      <c r="H35"/>
      <c r="I35"/>
      <c r="J35"/>
      <c r="K35"/>
      <c r="L35"/>
      <c r="M35"/>
      <c r="N35"/>
      <c r="O35"/>
      <c r="P35"/>
      <c r="Q35"/>
      <c r="R35"/>
      <c r="S35"/>
    </row>
    <row r="36" spans="2:19" x14ac:dyDescent="0.25">
      <c r="B36"/>
      <c r="C36"/>
      <c r="D36"/>
      <c r="E36"/>
      <c r="F36"/>
      <c r="G36"/>
      <c r="H36"/>
      <c r="I36"/>
      <c r="J36"/>
      <c r="K36"/>
      <c r="L36"/>
      <c r="M36"/>
      <c r="N36"/>
      <c r="O36"/>
      <c r="P36"/>
      <c r="Q36"/>
      <c r="R36"/>
      <c r="S36"/>
    </row>
    <row r="37" spans="2:19" x14ac:dyDescent="0.25">
      <c r="B37"/>
      <c r="C37"/>
      <c r="D37"/>
      <c r="E37"/>
      <c r="F37"/>
      <c r="G37"/>
      <c r="H37"/>
      <c r="I37"/>
      <c r="J37"/>
      <c r="K37"/>
      <c r="L37"/>
      <c r="M37"/>
      <c r="N37"/>
      <c r="O37"/>
      <c r="P37"/>
      <c r="Q37"/>
      <c r="R37"/>
      <c r="S37"/>
    </row>
    <row r="38" spans="2:19" x14ac:dyDescent="0.25">
      <c r="B38"/>
      <c r="C38"/>
      <c r="D38"/>
      <c r="E38"/>
      <c r="F38"/>
      <c r="G38"/>
      <c r="H38"/>
      <c r="I38"/>
      <c r="J38"/>
      <c r="K38"/>
      <c r="L38"/>
      <c r="M38"/>
      <c r="N38"/>
      <c r="O38"/>
      <c r="P38"/>
      <c r="Q38"/>
      <c r="R38"/>
      <c r="S38"/>
    </row>
    <row r="39" spans="2:19" x14ac:dyDescent="0.25">
      <c r="B39"/>
      <c r="C39"/>
      <c r="D39"/>
      <c r="E39"/>
      <c r="F39"/>
      <c r="G39"/>
      <c r="H39"/>
      <c r="I39"/>
      <c r="J39"/>
      <c r="K39"/>
      <c r="L39"/>
      <c r="M39"/>
      <c r="N39"/>
      <c r="O39"/>
      <c r="P39"/>
      <c r="Q39"/>
      <c r="R39"/>
      <c r="S39"/>
    </row>
    <row r="40" spans="2:19" x14ac:dyDescent="0.25">
      <c r="B40"/>
      <c r="C40"/>
      <c r="D40"/>
      <c r="E40"/>
      <c r="F40"/>
      <c r="G40"/>
      <c r="H40"/>
      <c r="I40"/>
      <c r="J40"/>
      <c r="K40"/>
      <c r="L40"/>
      <c r="M40"/>
      <c r="N40"/>
      <c r="O40"/>
      <c r="P40"/>
      <c r="Q40"/>
      <c r="R40"/>
      <c r="S40"/>
    </row>
    <row r="41" spans="2:19" x14ac:dyDescent="0.25">
      <c r="B41"/>
      <c r="C41"/>
      <c r="D41"/>
      <c r="E41"/>
      <c r="F41"/>
      <c r="G41"/>
      <c r="H41"/>
      <c r="I41"/>
      <c r="J41"/>
      <c r="K41"/>
      <c r="L41"/>
      <c r="M41"/>
      <c r="N41"/>
      <c r="O41"/>
      <c r="P41"/>
      <c r="Q41"/>
      <c r="R41"/>
      <c r="S41"/>
    </row>
    <row r="42" spans="2:19" x14ac:dyDescent="0.25">
      <c r="B42"/>
      <c r="C42"/>
      <c r="D42"/>
      <c r="E42"/>
      <c r="F42"/>
      <c r="G42"/>
      <c r="H42"/>
      <c r="I42"/>
      <c r="J42"/>
      <c r="K42"/>
      <c r="L42"/>
      <c r="M42"/>
      <c r="N42"/>
      <c r="O42"/>
      <c r="P42"/>
      <c r="Q42"/>
      <c r="R42"/>
      <c r="S42"/>
    </row>
    <row r="43" spans="2:19" x14ac:dyDescent="0.25">
      <c r="B43"/>
      <c r="C43"/>
      <c r="D43"/>
      <c r="E43"/>
      <c r="F43"/>
      <c r="G43"/>
      <c r="H43"/>
      <c r="I43"/>
      <c r="J43"/>
      <c r="K43"/>
      <c r="L43"/>
      <c r="M43"/>
      <c r="N43"/>
      <c r="O43"/>
      <c r="P43"/>
      <c r="Q43"/>
      <c r="R43"/>
      <c r="S43"/>
    </row>
    <row r="44" spans="2:19" x14ac:dyDescent="0.25">
      <c r="B44"/>
      <c r="C44"/>
      <c r="D44"/>
      <c r="E44"/>
      <c r="F44"/>
      <c r="G44"/>
      <c r="H44"/>
      <c r="I44"/>
      <c r="J44"/>
      <c r="K44"/>
      <c r="L44"/>
      <c r="M44"/>
      <c r="N44"/>
      <c r="O44"/>
      <c r="P44"/>
      <c r="Q44"/>
      <c r="R44"/>
      <c r="S44"/>
    </row>
    <row r="45" spans="2:19" x14ac:dyDescent="0.25">
      <c r="B45"/>
      <c r="C45"/>
      <c r="D45"/>
      <c r="E45"/>
      <c r="F45"/>
      <c r="G45"/>
      <c r="H45"/>
      <c r="I45"/>
      <c r="J45"/>
      <c r="K45"/>
      <c r="L45"/>
      <c r="M45"/>
      <c r="N45"/>
      <c r="O45"/>
      <c r="P45"/>
      <c r="Q45"/>
      <c r="R45"/>
      <c r="S45"/>
    </row>
    <row r="46" spans="2:19" x14ac:dyDescent="0.25">
      <c r="B46"/>
      <c r="C46"/>
      <c r="D46"/>
      <c r="E46"/>
      <c r="F46"/>
      <c r="G46"/>
      <c r="H46"/>
      <c r="I46"/>
      <c r="J46"/>
      <c r="K46"/>
      <c r="L46"/>
      <c r="M46"/>
      <c r="N46"/>
      <c r="O46"/>
      <c r="P46"/>
      <c r="Q46"/>
      <c r="R46"/>
      <c r="S46"/>
    </row>
    <row r="47" spans="2:19" x14ac:dyDescent="0.25">
      <c r="B47"/>
      <c r="C47"/>
      <c r="D47"/>
      <c r="E47"/>
      <c r="F47"/>
      <c r="G47"/>
      <c r="H47"/>
      <c r="I47"/>
      <c r="J47"/>
      <c r="K47"/>
      <c r="L47"/>
      <c r="M47"/>
      <c r="N47"/>
      <c r="O47"/>
      <c r="P47"/>
      <c r="Q47"/>
      <c r="R47"/>
      <c r="S47"/>
    </row>
    <row r="48" spans="2:19" x14ac:dyDescent="0.25">
      <c r="B48"/>
      <c r="C48"/>
      <c r="D48"/>
      <c r="E48"/>
      <c r="F48"/>
      <c r="G48"/>
      <c r="H48"/>
      <c r="I48"/>
      <c r="J48"/>
      <c r="K48"/>
      <c r="L48"/>
      <c r="M48"/>
      <c r="N48"/>
      <c r="O48"/>
      <c r="P48"/>
      <c r="Q48"/>
      <c r="R48"/>
      <c r="S48"/>
    </row>
    <row r="49" spans="2:19" x14ac:dyDescent="0.25">
      <c r="B49"/>
      <c r="C49"/>
      <c r="D49"/>
      <c r="E49"/>
      <c r="F49"/>
      <c r="G49"/>
      <c r="H49"/>
      <c r="I49"/>
      <c r="J49"/>
      <c r="K49"/>
      <c r="L49"/>
      <c r="M49"/>
      <c r="N49"/>
      <c r="O49"/>
      <c r="P49"/>
      <c r="Q49"/>
      <c r="R49"/>
      <c r="S49"/>
    </row>
    <row r="50" spans="2:19" x14ac:dyDescent="0.25">
      <c r="B50"/>
      <c r="C50"/>
      <c r="D50"/>
      <c r="E50"/>
      <c r="F50"/>
      <c r="G50"/>
      <c r="H50"/>
      <c r="I50"/>
      <c r="J50"/>
      <c r="K50"/>
      <c r="L50"/>
      <c r="M50"/>
      <c r="N50"/>
      <c r="O50"/>
      <c r="P50"/>
      <c r="Q50"/>
      <c r="R50"/>
      <c r="S50"/>
    </row>
    <row r="51" spans="2:19" x14ac:dyDescent="0.25">
      <c r="B51"/>
      <c r="C51"/>
      <c r="D51"/>
      <c r="E51"/>
      <c r="F51"/>
      <c r="G51"/>
      <c r="H51"/>
      <c r="I51"/>
      <c r="J51"/>
      <c r="K51"/>
      <c r="L51"/>
      <c r="M51"/>
      <c r="N51"/>
      <c r="O51"/>
      <c r="P51"/>
      <c r="Q51"/>
      <c r="R51"/>
      <c r="S51"/>
    </row>
    <row r="52" spans="2:19" x14ac:dyDescent="0.25">
      <c r="B52"/>
      <c r="C52"/>
      <c r="D52"/>
      <c r="E52"/>
      <c r="F52"/>
      <c r="G52"/>
      <c r="H52"/>
      <c r="I52"/>
      <c r="J52"/>
      <c r="K52"/>
      <c r="L52"/>
      <c r="M52"/>
      <c r="N52"/>
      <c r="O52"/>
      <c r="P52"/>
      <c r="Q52"/>
      <c r="R52"/>
      <c r="S52"/>
    </row>
    <row r="53" spans="2:19" x14ac:dyDescent="0.25">
      <c r="B53"/>
      <c r="C53"/>
      <c r="D53"/>
      <c r="E53"/>
      <c r="F53"/>
      <c r="G53"/>
      <c r="H53"/>
      <c r="I53"/>
      <c r="J53"/>
      <c r="K53"/>
      <c r="L53"/>
      <c r="M53"/>
      <c r="N53"/>
      <c r="O53"/>
      <c r="P53"/>
      <c r="Q53"/>
      <c r="R53"/>
      <c r="S53"/>
    </row>
    <row r="54" spans="2:19" x14ac:dyDescent="0.25">
      <c r="B54"/>
      <c r="C54"/>
      <c r="D54"/>
      <c r="E54"/>
      <c r="F54"/>
      <c r="G54"/>
      <c r="H54"/>
      <c r="I54"/>
      <c r="J54"/>
      <c r="K54"/>
      <c r="L54"/>
      <c r="M54"/>
      <c r="N54"/>
      <c r="O54"/>
      <c r="P54"/>
      <c r="Q54"/>
      <c r="R54"/>
      <c r="S54"/>
    </row>
    <row r="55" spans="2:19" x14ac:dyDescent="0.25">
      <c r="B55"/>
      <c r="C55"/>
      <c r="D55"/>
      <c r="E55"/>
      <c r="F55"/>
      <c r="G55"/>
      <c r="H55"/>
      <c r="I55"/>
      <c r="J55"/>
      <c r="K55"/>
      <c r="L55"/>
      <c r="M55"/>
      <c r="N55"/>
      <c r="O55"/>
      <c r="P55"/>
      <c r="Q55"/>
      <c r="R55"/>
      <c r="S55"/>
    </row>
    <row r="56" spans="2:19" x14ac:dyDescent="0.25">
      <c r="B56"/>
      <c r="C56"/>
      <c r="D56"/>
      <c r="E56"/>
      <c r="F56"/>
      <c r="G56"/>
      <c r="H56"/>
      <c r="I56"/>
      <c r="J56"/>
      <c r="K56"/>
      <c r="L56"/>
      <c r="M56"/>
      <c r="N56"/>
      <c r="O56"/>
      <c r="P56"/>
      <c r="Q56"/>
      <c r="R56"/>
      <c r="S56"/>
    </row>
    <row r="57" spans="2:19" x14ac:dyDescent="0.25">
      <c r="B57"/>
      <c r="C57"/>
      <c r="D57"/>
      <c r="E57"/>
      <c r="F57"/>
      <c r="G57"/>
      <c r="H57"/>
      <c r="I57"/>
      <c r="J57"/>
      <c r="K57"/>
      <c r="L57"/>
      <c r="M57"/>
      <c r="N57"/>
      <c r="O57"/>
      <c r="P57"/>
      <c r="Q57"/>
      <c r="R57"/>
      <c r="S57"/>
    </row>
    <row r="58" spans="2:19" x14ac:dyDescent="0.25">
      <c r="B58"/>
      <c r="C58"/>
      <c r="D58"/>
      <c r="E58"/>
      <c r="F58"/>
      <c r="G58"/>
      <c r="H58"/>
      <c r="I58"/>
      <c r="J58"/>
      <c r="K58"/>
      <c r="L58"/>
      <c r="M58"/>
      <c r="N58"/>
      <c r="O58"/>
      <c r="P58"/>
      <c r="Q58"/>
      <c r="R58"/>
      <c r="S58"/>
    </row>
    <row r="59" spans="2:19" x14ac:dyDescent="0.25">
      <c r="B59"/>
      <c r="C59"/>
      <c r="D59"/>
      <c r="E59"/>
      <c r="F59"/>
      <c r="G59"/>
      <c r="H59"/>
      <c r="I59"/>
      <c r="J59"/>
      <c r="K59"/>
      <c r="L59"/>
      <c r="M59"/>
      <c r="N59"/>
      <c r="O59"/>
      <c r="P59"/>
      <c r="Q59"/>
      <c r="R59"/>
      <c r="S59"/>
    </row>
    <row r="60" spans="2:19" x14ac:dyDescent="0.25">
      <c r="B60"/>
      <c r="C60"/>
      <c r="D60"/>
      <c r="E60"/>
      <c r="F60"/>
      <c r="G60"/>
      <c r="H60"/>
      <c r="I60"/>
      <c r="J60"/>
      <c r="K60"/>
      <c r="L60"/>
      <c r="M60"/>
      <c r="N60"/>
      <c r="O60"/>
      <c r="P60"/>
      <c r="Q60"/>
      <c r="R60"/>
      <c r="S60"/>
    </row>
    <row r="61" spans="2:19" x14ac:dyDescent="0.25">
      <c r="B61"/>
      <c r="C61"/>
      <c r="D61"/>
      <c r="E61"/>
      <c r="F61"/>
      <c r="G61"/>
      <c r="H61"/>
      <c r="I61"/>
      <c r="J61"/>
      <c r="K61"/>
      <c r="L61"/>
      <c r="M61"/>
      <c r="N61"/>
      <c r="O61"/>
      <c r="P61"/>
      <c r="Q61"/>
      <c r="R61"/>
      <c r="S61"/>
    </row>
    <row r="62" spans="2:19" x14ac:dyDescent="0.25">
      <c r="B62"/>
      <c r="C62"/>
      <c r="D62"/>
      <c r="E62"/>
      <c r="F62"/>
      <c r="G62"/>
      <c r="H62"/>
      <c r="I62"/>
      <c r="J62"/>
      <c r="K62"/>
      <c r="L62"/>
      <c r="M62"/>
      <c r="N62"/>
      <c r="O62"/>
      <c r="P62"/>
      <c r="Q62"/>
      <c r="R62"/>
      <c r="S62"/>
    </row>
    <row r="63" spans="2:19" x14ac:dyDescent="0.25">
      <c r="B63"/>
      <c r="C63"/>
      <c r="D63"/>
      <c r="E63"/>
      <c r="F63"/>
      <c r="G63"/>
      <c r="H63"/>
      <c r="I63"/>
      <c r="J63"/>
      <c r="K63"/>
      <c r="L63"/>
      <c r="M63"/>
      <c r="N63"/>
      <c r="O63"/>
      <c r="P63"/>
      <c r="Q63"/>
      <c r="R63"/>
      <c r="S63"/>
    </row>
    <row r="64" spans="2:19" x14ac:dyDescent="0.25">
      <c r="B64"/>
      <c r="C64"/>
      <c r="D64"/>
      <c r="E64"/>
      <c r="F64"/>
      <c r="G64"/>
      <c r="H64"/>
      <c r="I64"/>
      <c r="J64"/>
      <c r="K64"/>
      <c r="L64"/>
      <c r="M64"/>
      <c r="N64"/>
      <c r="O64"/>
      <c r="P64"/>
      <c r="Q64"/>
      <c r="R64"/>
      <c r="S64"/>
    </row>
    <row r="65" spans="2:19" x14ac:dyDescent="0.25">
      <c r="B65"/>
      <c r="C65"/>
      <c r="D65"/>
      <c r="E65"/>
      <c r="F65"/>
      <c r="G65"/>
      <c r="H65"/>
      <c r="I65"/>
      <c r="J65"/>
      <c r="K65"/>
      <c r="L65"/>
      <c r="M65"/>
      <c r="N65"/>
      <c r="O65"/>
      <c r="P65"/>
      <c r="Q65"/>
      <c r="R65"/>
      <c r="S65"/>
    </row>
    <row r="66" spans="2:19" x14ac:dyDescent="0.25">
      <c r="B66"/>
      <c r="C66"/>
      <c r="D66"/>
      <c r="E66"/>
      <c r="F66"/>
      <c r="G66"/>
      <c r="H66"/>
      <c r="I66"/>
      <c r="J66"/>
      <c r="K66"/>
      <c r="L66"/>
      <c r="M66"/>
      <c r="N66"/>
      <c r="O66"/>
      <c r="P66"/>
      <c r="Q66"/>
      <c r="R66"/>
      <c r="S66"/>
    </row>
    <row r="67" spans="2:19" x14ac:dyDescent="0.25">
      <c r="B67"/>
      <c r="C67"/>
      <c r="D67"/>
      <c r="E67"/>
      <c r="F67"/>
      <c r="G67"/>
      <c r="H67"/>
      <c r="I67"/>
      <c r="J67"/>
      <c r="K67"/>
      <c r="L67"/>
      <c r="M67"/>
      <c r="N67"/>
      <c r="O67"/>
      <c r="P67"/>
      <c r="Q67"/>
      <c r="R67"/>
      <c r="S67"/>
    </row>
    <row r="68" spans="2:19" x14ac:dyDescent="0.25">
      <c r="B68"/>
      <c r="C68"/>
      <c r="D68"/>
      <c r="E68"/>
      <c r="F68"/>
      <c r="G68"/>
      <c r="H68"/>
      <c r="I68"/>
      <c r="J68"/>
      <c r="K68"/>
      <c r="L68"/>
      <c r="M68"/>
      <c r="N68"/>
      <c r="O68"/>
      <c r="P68"/>
      <c r="Q68"/>
      <c r="R68"/>
      <c r="S68"/>
    </row>
    <row r="69" spans="2:19" x14ac:dyDescent="0.25">
      <c r="B69"/>
      <c r="C69"/>
      <c r="D69"/>
      <c r="E69"/>
      <c r="F69"/>
      <c r="G69"/>
      <c r="H69"/>
      <c r="I69"/>
      <c r="J69"/>
      <c r="K69"/>
      <c r="L69"/>
      <c r="M69"/>
      <c r="N69"/>
      <c r="O69"/>
      <c r="P69"/>
      <c r="Q69"/>
      <c r="R69"/>
      <c r="S69"/>
    </row>
    <row r="70" spans="2:19" x14ac:dyDescent="0.25">
      <c r="B70"/>
      <c r="C70"/>
      <c r="D70"/>
      <c r="E70"/>
      <c r="F70"/>
      <c r="G70"/>
      <c r="H70"/>
      <c r="I70"/>
      <c r="J70"/>
      <c r="K70"/>
      <c r="L70"/>
      <c r="M70"/>
      <c r="N70"/>
      <c r="O70"/>
      <c r="P70"/>
      <c r="Q70"/>
      <c r="R70"/>
      <c r="S70"/>
    </row>
    <row r="71" spans="2:19" x14ac:dyDescent="0.25">
      <c r="B71"/>
      <c r="C71"/>
      <c r="D71"/>
      <c r="E71"/>
      <c r="F71"/>
      <c r="G71"/>
      <c r="H71"/>
      <c r="I71"/>
      <c r="J71"/>
      <c r="K71"/>
      <c r="L71"/>
      <c r="M71"/>
      <c r="N71"/>
      <c r="O71"/>
      <c r="P71"/>
      <c r="Q71"/>
      <c r="R71"/>
      <c r="S71"/>
    </row>
    <row r="72" spans="2:19" x14ac:dyDescent="0.25">
      <c r="B72"/>
      <c r="C72"/>
      <c r="D72"/>
      <c r="E72"/>
      <c r="F72"/>
      <c r="G72"/>
      <c r="H72"/>
      <c r="I72"/>
      <c r="J72"/>
      <c r="K72"/>
      <c r="L72"/>
      <c r="M72"/>
      <c r="N72"/>
      <c r="O72"/>
      <c r="P72"/>
      <c r="Q72"/>
      <c r="R72"/>
      <c r="S72"/>
    </row>
    <row r="73" spans="2:19" x14ac:dyDescent="0.25">
      <c r="B73"/>
      <c r="C73"/>
      <c r="D73"/>
      <c r="E73"/>
      <c r="F73"/>
      <c r="G73"/>
      <c r="H73"/>
      <c r="I73"/>
      <c r="J73"/>
      <c r="K73"/>
      <c r="L73"/>
      <c r="M73"/>
      <c r="N73"/>
      <c r="O73"/>
      <c r="P73"/>
      <c r="Q73"/>
      <c r="R73"/>
      <c r="S73"/>
    </row>
    <row r="74" spans="2:19" x14ac:dyDescent="0.25">
      <c r="B74"/>
      <c r="C74"/>
      <c r="D74"/>
      <c r="E74"/>
      <c r="F74"/>
      <c r="G74"/>
      <c r="H74"/>
      <c r="I74"/>
      <c r="J74"/>
      <c r="K74"/>
      <c r="L74"/>
      <c r="M74"/>
      <c r="N74"/>
      <c r="O74"/>
      <c r="P74"/>
      <c r="Q74"/>
      <c r="R74"/>
      <c r="S74"/>
    </row>
    <row r="75" spans="2:19" x14ac:dyDescent="0.25">
      <c r="B75"/>
      <c r="C75"/>
      <c r="D75"/>
      <c r="E75"/>
      <c r="F75"/>
      <c r="G75"/>
      <c r="H75"/>
      <c r="I75"/>
      <c r="J75"/>
      <c r="K75"/>
      <c r="L75"/>
      <c r="M75"/>
      <c r="N75"/>
      <c r="O75"/>
      <c r="P75"/>
      <c r="Q75"/>
      <c r="R75"/>
      <c r="S75"/>
    </row>
    <row r="76" spans="2:19" x14ac:dyDescent="0.25">
      <c r="B76"/>
      <c r="C76"/>
      <c r="D76"/>
      <c r="E76"/>
      <c r="F76"/>
      <c r="G76"/>
      <c r="H76"/>
      <c r="I76"/>
      <c r="J76"/>
      <c r="K76"/>
      <c r="L76"/>
      <c r="M76"/>
      <c r="N76"/>
      <c r="O76"/>
      <c r="P76"/>
      <c r="Q76"/>
      <c r="R76"/>
      <c r="S76"/>
    </row>
    <row r="77" spans="2:19" x14ac:dyDescent="0.25">
      <c r="B77"/>
      <c r="C77"/>
      <c r="D77"/>
      <c r="E77"/>
      <c r="F77"/>
      <c r="G77"/>
      <c r="H77"/>
      <c r="I77"/>
      <c r="J77"/>
      <c r="K77"/>
      <c r="L77"/>
      <c r="M77"/>
      <c r="N77"/>
      <c r="O77"/>
      <c r="P77"/>
      <c r="Q77"/>
      <c r="R77"/>
      <c r="S77"/>
    </row>
    <row r="78" spans="2:19" x14ac:dyDescent="0.25">
      <c r="B78"/>
      <c r="C78"/>
      <c r="D78"/>
      <c r="E78"/>
      <c r="F78"/>
      <c r="G78"/>
      <c r="H78"/>
      <c r="I78"/>
      <c r="J78"/>
      <c r="K78"/>
      <c r="L78"/>
      <c r="M78"/>
      <c r="N78"/>
      <c r="O78"/>
      <c r="P78"/>
      <c r="Q78"/>
      <c r="R78"/>
      <c r="S78"/>
    </row>
    <row r="79" spans="2:19" x14ac:dyDescent="0.25">
      <c r="B79"/>
      <c r="C79"/>
      <c r="D79"/>
      <c r="E79"/>
      <c r="F79"/>
      <c r="G79"/>
      <c r="H79"/>
      <c r="I79"/>
      <c r="J79"/>
      <c r="K79"/>
      <c r="L79"/>
      <c r="M79"/>
      <c r="N79"/>
      <c r="O79"/>
      <c r="P79"/>
      <c r="Q79"/>
      <c r="R79"/>
      <c r="S79"/>
    </row>
    <row r="80" spans="2:19" x14ac:dyDescent="0.25">
      <c r="B80"/>
      <c r="C80"/>
      <c r="D80"/>
      <c r="E80"/>
      <c r="F80"/>
      <c r="G80"/>
      <c r="H80"/>
      <c r="I80"/>
      <c r="J80"/>
      <c r="K80"/>
      <c r="L80"/>
      <c r="M80"/>
      <c r="N80"/>
      <c r="O80"/>
      <c r="P80"/>
      <c r="Q80"/>
      <c r="R80"/>
      <c r="S80"/>
    </row>
    <row r="81" spans="2:19" x14ac:dyDescent="0.25">
      <c r="B81"/>
      <c r="C81"/>
      <c r="D81"/>
      <c r="E81"/>
      <c r="F81"/>
      <c r="G81"/>
      <c r="H81"/>
      <c r="I81"/>
      <c r="J81"/>
      <c r="K81"/>
      <c r="L81"/>
      <c r="M81"/>
      <c r="N81"/>
      <c r="O81"/>
      <c r="P81"/>
      <c r="Q81"/>
      <c r="R81"/>
      <c r="S81"/>
    </row>
    <row r="82" spans="2:19" x14ac:dyDescent="0.25">
      <c r="B82"/>
      <c r="C82"/>
      <c r="D82"/>
      <c r="E82"/>
      <c r="F82"/>
      <c r="G82"/>
      <c r="H82"/>
      <c r="I82"/>
      <c r="J82"/>
      <c r="K82"/>
      <c r="L82"/>
      <c r="M82"/>
      <c r="N82"/>
      <c r="O82"/>
      <c r="P82"/>
      <c r="Q82"/>
      <c r="R82"/>
      <c r="S82"/>
    </row>
    <row r="83" spans="2:19" x14ac:dyDescent="0.25">
      <c r="B83"/>
      <c r="C83"/>
      <c r="D83"/>
      <c r="E83"/>
      <c r="F83"/>
      <c r="G83"/>
      <c r="H83"/>
      <c r="I83"/>
      <c r="J83"/>
      <c r="K83"/>
      <c r="L83"/>
      <c r="M83"/>
      <c r="N83"/>
      <c r="O83"/>
      <c r="P83"/>
      <c r="Q83"/>
      <c r="R83"/>
      <c r="S83"/>
    </row>
    <row r="84" spans="2:19" x14ac:dyDescent="0.25">
      <c r="B84"/>
      <c r="C84"/>
      <c r="D84"/>
      <c r="E84"/>
      <c r="F84"/>
      <c r="G84"/>
      <c r="H84"/>
      <c r="I84"/>
      <c r="J84"/>
      <c r="K84"/>
      <c r="L84"/>
      <c r="M84"/>
      <c r="N84"/>
      <c r="O84"/>
      <c r="P84"/>
      <c r="Q84"/>
      <c r="R84"/>
      <c r="S84"/>
    </row>
    <row r="85" spans="2:19" x14ac:dyDescent="0.25">
      <c r="B85"/>
      <c r="C85"/>
      <c r="D85"/>
      <c r="E85"/>
      <c r="F85"/>
      <c r="G85"/>
      <c r="H85"/>
      <c r="I85"/>
      <c r="J85"/>
      <c r="K85"/>
      <c r="L85"/>
      <c r="M85"/>
      <c r="N85"/>
      <c r="O85"/>
      <c r="P85"/>
      <c r="Q85"/>
      <c r="R85"/>
      <c r="S85"/>
    </row>
    <row r="86" spans="2:19" x14ac:dyDescent="0.25">
      <c r="B86"/>
      <c r="C86"/>
      <c r="D86"/>
      <c r="E86"/>
      <c r="F86"/>
      <c r="G86"/>
      <c r="H86"/>
      <c r="I86"/>
      <c r="J86"/>
      <c r="K86"/>
      <c r="L86"/>
      <c r="M86"/>
      <c r="N86"/>
      <c r="O86"/>
      <c r="P86"/>
      <c r="Q86"/>
      <c r="R86"/>
      <c r="S86"/>
    </row>
    <row r="87" spans="2:19" x14ac:dyDescent="0.25">
      <c r="B87"/>
      <c r="C87"/>
      <c r="D87"/>
      <c r="E87"/>
      <c r="F87"/>
      <c r="G87"/>
      <c r="H87"/>
      <c r="I87"/>
      <c r="J87"/>
      <c r="K87"/>
      <c r="L87"/>
      <c r="M87"/>
      <c r="N87"/>
      <c r="O87"/>
      <c r="P87"/>
      <c r="Q87"/>
      <c r="R87"/>
      <c r="S87"/>
    </row>
    <row r="88" spans="2:19" x14ac:dyDescent="0.25">
      <c r="B88"/>
      <c r="C88"/>
      <c r="D88"/>
      <c r="E88"/>
      <c r="F88"/>
      <c r="G88"/>
      <c r="H88"/>
      <c r="I88"/>
      <c r="J88"/>
      <c r="K88"/>
      <c r="L88"/>
      <c r="M88"/>
      <c r="N88"/>
      <c r="O88"/>
      <c r="P88"/>
      <c r="Q88"/>
      <c r="R88"/>
      <c r="S88"/>
    </row>
    <row r="89" spans="2:19" x14ac:dyDescent="0.25">
      <c r="B89"/>
      <c r="C89"/>
      <c r="D89"/>
      <c r="E89"/>
      <c r="F89"/>
      <c r="G89"/>
      <c r="H89"/>
      <c r="I89"/>
      <c r="J89"/>
      <c r="K89"/>
      <c r="L89"/>
      <c r="M89"/>
      <c r="N89"/>
      <c r="O89"/>
      <c r="P89"/>
      <c r="Q89"/>
      <c r="R89"/>
      <c r="S89"/>
    </row>
    <row r="90" spans="2:19" x14ac:dyDescent="0.25">
      <c r="B90"/>
      <c r="C90"/>
      <c r="D90"/>
      <c r="E90"/>
      <c r="F90"/>
      <c r="G90"/>
      <c r="H90"/>
      <c r="I90"/>
      <c r="J90"/>
      <c r="K90"/>
      <c r="L90"/>
      <c r="M90"/>
      <c r="N90"/>
      <c r="O90"/>
      <c r="P90"/>
      <c r="Q90"/>
      <c r="R90"/>
      <c r="S90"/>
    </row>
    <row r="91" spans="2:19" x14ac:dyDescent="0.25">
      <c r="B91"/>
      <c r="C91"/>
      <c r="D91"/>
      <c r="E91"/>
      <c r="F91"/>
      <c r="G91"/>
      <c r="H91"/>
      <c r="I91"/>
      <c r="J91"/>
      <c r="K91"/>
      <c r="L91"/>
      <c r="M91"/>
      <c r="N91"/>
      <c r="O91"/>
      <c r="P91"/>
      <c r="Q91"/>
      <c r="R91"/>
      <c r="S91"/>
    </row>
    <row r="92" spans="2:19" x14ac:dyDescent="0.25">
      <c r="B92"/>
      <c r="C92"/>
      <c r="D92"/>
      <c r="E92"/>
      <c r="F92"/>
      <c r="G92"/>
      <c r="H92"/>
      <c r="I92"/>
      <c r="J92"/>
      <c r="K92"/>
      <c r="L92"/>
      <c r="M92"/>
      <c r="N92"/>
      <c r="O92"/>
      <c r="P92"/>
      <c r="Q92"/>
      <c r="R92"/>
      <c r="S92"/>
    </row>
    <row r="93" spans="2:19" x14ac:dyDescent="0.25">
      <c r="B93"/>
      <c r="C93"/>
      <c r="D93"/>
      <c r="E93"/>
      <c r="F93"/>
      <c r="G93"/>
      <c r="H93"/>
      <c r="I93"/>
      <c r="J93"/>
      <c r="K93"/>
      <c r="L93"/>
      <c r="M93"/>
      <c r="N93"/>
      <c r="O93"/>
      <c r="P93"/>
      <c r="Q93"/>
      <c r="R93"/>
      <c r="S93"/>
    </row>
    <row r="94" spans="2:19" x14ac:dyDescent="0.25">
      <c r="B94"/>
      <c r="C94"/>
      <c r="D94"/>
      <c r="E94"/>
      <c r="F94"/>
      <c r="G94"/>
      <c r="H94"/>
      <c r="I94"/>
      <c r="J94"/>
      <c r="K94"/>
      <c r="L94"/>
      <c r="M94"/>
      <c r="N94"/>
      <c r="O94"/>
      <c r="P94"/>
      <c r="Q94"/>
      <c r="R94"/>
      <c r="S94"/>
    </row>
    <row r="95" spans="2:19" x14ac:dyDescent="0.25">
      <c r="B95"/>
      <c r="C95"/>
      <c r="D95"/>
      <c r="E95"/>
      <c r="F95"/>
      <c r="G95"/>
      <c r="H95"/>
      <c r="I95"/>
      <c r="J95"/>
      <c r="K95"/>
      <c r="L95"/>
      <c r="M95"/>
      <c r="N95"/>
      <c r="O95"/>
      <c r="P95"/>
      <c r="Q95"/>
      <c r="R95"/>
      <c r="S95"/>
    </row>
    <row r="96" spans="2:19" x14ac:dyDescent="0.25">
      <c r="B96"/>
      <c r="C96"/>
      <c r="D96"/>
      <c r="E96"/>
      <c r="F96"/>
      <c r="G96"/>
      <c r="H96"/>
      <c r="I96"/>
      <c r="J96"/>
      <c r="K96"/>
      <c r="L96"/>
      <c r="M96"/>
      <c r="N96"/>
      <c r="O96"/>
      <c r="P96"/>
      <c r="Q96"/>
      <c r="R96"/>
      <c r="S96"/>
    </row>
    <row r="97" spans="2:19" x14ac:dyDescent="0.25">
      <c r="B97"/>
      <c r="C97"/>
      <c r="D97"/>
      <c r="E97"/>
      <c r="F97"/>
      <c r="G97"/>
      <c r="H97"/>
      <c r="I97"/>
      <c r="J97"/>
      <c r="K97"/>
      <c r="L97"/>
      <c r="M97"/>
      <c r="N97"/>
      <c r="O97"/>
      <c r="P97"/>
      <c r="Q97"/>
      <c r="R97"/>
      <c r="S97"/>
    </row>
    <row r="98" spans="2:19" x14ac:dyDescent="0.25">
      <c r="B98"/>
      <c r="C98"/>
      <c r="D98"/>
      <c r="E98"/>
      <c r="F98"/>
      <c r="G98"/>
      <c r="H98"/>
      <c r="I98"/>
      <c r="J98"/>
      <c r="K98"/>
      <c r="L98"/>
      <c r="M98"/>
      <c r="N98"/>
      <c r="O98"/>
      <c r="P98"/>
      <c r="Q98"/>
      <c r="R98"/>
      <c r="S98"/>
    </row>
    <row r="99" spans="2:19" x14ac:dyDescent="0.25">
      <c r="B99"/>
      <c r="C99"/>
      <c r="D99"/>
      <c r="E99"/>
      <c r="F99"/>
      <c r="G99"/>
      <c r="H99"/>
      <c r="I99"/>
      <c r="J99"/>
      <c r="K99"/>
      <c r="L99"/>
      <c r="M99"/>
      <c r="N99"/>
      <c r="O99"/>
      <c r="P99"/>
      <c r="Q99"/>
      <c r="R99"/>
      <c r="S99"/>
    </row>
    <row r="100" spans="2:19" x14ac:dyDescent="0.25">
      <c r="B100"/>
      <c r="C100"/>
      <c r="D100"/>
      <c r="E100"/>
      <c r="F100"/>
      <c r="G100"/>
      <c r="H100"/>
      <c r="I100"/>
      <c r="J100"/>
      <c r="K100"/>
      <c r="L100"/>
      <c r="M100"/>
      <c r="N100"/>
      <c r="O100"/>
      <c r="P100"/>
      <c r="Q100"/>
      <c r="R100"/>
      <c r="S100"/>
    </row>
    <row r="101" spans="2:19" x14ac:dyDescent="0.25">
      <c r="B101"/>
      <c r="C101"/>
      <c r="D101"/>
      <c r="E101"/>
      <c r="F101"/>
      <c r="G101"/>
      <c r="H101"/>
      <c r="I101"/>
      <c r="J101"/>
      <c r="K101"/>
      <c r="L101"/>
      <c r="M101"/>
      <c r="N101"/>
      <c r="O101"/>
      <c r="P101"/>
      <c r="Q101"/>
      <c r="R101"/>
      <c r="S101"/>
    </row>
    <row r="102" spans="2:19" x14ac:dyDescent="0.25">
      <c r="B102"/>
      <c r="C102"/>
      <c r="D102"/>
      <c r="E102"/>
      <c r="F102"/>
      <c r="G102"/>
      <c r="H102"/>
      <c r="I102"/>
      <c r="J102"/>
      <c r="K102"/>
      <c r="L102"/>
      <c r="M102"/>
      <c r="N102"/>
      <c r="O102"/>
      <c r="P102"/>
      <c r="Q102"/>
      <c r="R102"/>
      <c r="S102"/>
    </row>
    <row r="103" spans="2:19" x14ac:dyDescent="0.25">
      <c r="B103"/>
      <c r="C103"/>
      <c r="D103"/>
      <c r="E103"/>
      <c r="F103"/>
      <c r="G103"/>
      <c r="H103"/>
      <c r="I103"/>
      <c r="J103"/>
      <c r="K103"/>
      <c r="L103"/>
      <c r="M103"/>
      <c r="N103"/>
      <c r="O103"/>
      <c r="P103"/>
      <c r="Q103"/>
      <c r="R103"/>
      <c r="S103"/>
    </row>
    <row r="104" spans="2:19" x14ac:dyDescent="0.25">
      <c r="B104"/>
      <c r="C104"/>
      <c r="D104"/>
      <c r="E104"/>
      <c r="F104"/>
      <c r="G104"/>
      <c r="H104"/>
      <c r="I104"/>
      <c r="J104"/>
      <c r="K104"/>
      <c r="L104"/>
      <c r="M104"/>
      <c r="N104"/>
      <c r="O104"/>
      <c r="P104"/>
      <c r="Q104"/>
      <c r="R104"/>
      <c r="S104"/>
    </row>
    <row r="105" spans="2:19" x14ac:dyDescent="0.25">
      <c r="B105"/>
      <c r="C105"/>
      <c r="D105"/>
      <c r="E105"/>
      <c r="F105"/>
      <c r="G105"/>
      <c r="H105"/>
      <c r="I105"/>
      <c r="J105"/>
      <c r="K105"/>
      <c r="L105"/>
      <c r="M105"/>
      <c r="N105"/>
      <c r="O105"/>
      <c r="P105"/>
      <c r="Q105"/>
      <c r="R105"/>
      <c r="S105"/>
    </row>
    <row r="106" spans="2:19" x14ac:dyDescent="0.25">
      <c r="B106"/>
      <c r="C106"/>
      <c r="D106"/>
      <c r="E106"/>
      <c r="F106"/>
      <c r="G106"/>
      <c r="H106"/>
      <c r="I106"/>
      <c r="J106"/>
      <c r="K106"/>
      <c r="L106"/>
      <c r="M106"/>
      <c r="N106"/>
      <c r="O106"/>
      <c r="P106"/>
      <c r="Q106"/>
      <c r="R106"/>
      <c r="S106"/>
    </row>
    <row r="107" spans="2:19" x14ac:dyDescent="0.25">
      <c r="B107"/>
      <c r="C107"/>
      <c r="D107"/>
      <c r="E107"/>
      <c r="F107"/>
      <c r="G107"/>
      <c r="H107"/>
      <c r="I107"/>
      <c r="J107"/>
      <c r="K107"/>
      <c r="L107"/>
      <c r="M107"/>
      <c r="N107"/>
      <c r="O107"/>
      <c r="P107"/>
      <c r="Q107"/>
      <c r="R107"/>
      <c r="S107"/>
    </row>
    <row r="108" spans="2:19" x14ac:dyDescent="0.25">
      <c r="B108"/>
      <c r="C108"/>
      <c r="D108"/>
      <c r="E108"/>
      <c r="F108"/>
      <c r="G108"/>
      <c r="H108"/>
      <c r="I108"/>
      <c r="J108"/>
      <c r="K108"/>
      <c r="L108"/>
      <c r="M108"/>
      <c r="N108"/>
      <c r="O108"/>
      <c r="P108"/>
      <c r="Q108"/>
      <c r="R108"/>
      <c r="S108"/>
    </row>
    <row r="109" spans="2:19" x14ac:dyDescent="0.25">
      <c r="B109"/>
      <c r="C109"/>
      <c r="D109"/>
      <c r="E109"/>
      <c r="F109"/>
      <c r="G109"/>
      <c r="H109"/>
      <c r="I109"/>
      <c r="J109"/>
      <c r="K109"/>
      <c r="L109"/>
      <c r="M109"/>
      <c r="N109"/>
      <c r="O109"/>
      <c r="P109"/>
      <c r="Q109"/>
      <c r="R109"/>
      <c r="S109"/>
    </row>
    <row r="110" spans="2:19" x14ac:dyDescent="0.25">
      <c r="B110"/>
      <c r="C110"/>
      <c r="D110"/>
      <c r="E110"/>
      <c r="F110"/>
      <c r="G110"/>
      <c r="H110"/>
      <c r="I110"/>
      <c r="J110"/>
      <c r="K110"/>
      <c r="L110"/>
      <c r="M110"/>
      <c r="N110"/>
      <c r="O110"/>
      <c r="P110"/>
      <c r="Q110"/>
      <c r="R110"/>
      <c r="S110"/>
    </row>
    <row r="111" spans="2:19" x14ac:dyDescent="0.25">
      <c r="B111"/>
      <c r="C111"/>
      <c r="D111"/>
      <c r="E111"/>
      <c r="F111"/>
      <c r="G111"/>
      <c r="H111"/>
      <c r="I111"/>
      <c r="J111"/>
      <c r="K111"/>
      <c r="L111"/>
      <c r="M111"/>
      <c r="N111"/>
      <c r="O111"/>
      <c r="P111"/>
      <c r="Q111"/>
      <c r="R111"/>
      <c r="S111"/>
    </row>
    <row r="112" spans="2:19" x14ac:dyDescent="0.25">
      <c r="B112"/>
      <c r="C112"/>
      <c r="D112"/>
      <c r="E112"/>
      <c r="F112"/>
      <c r="G112"/>
      <c r="H112"/>
      <c r="I112"/>
      <c r="J112"/>
      <c r="K112"/>
      <c r="L112"/>
      <c r="M112"/>
      <c r="N112"/>
      <c r="O112"/>
      <c r="P112"/>
      <c r="Q112"/>
      <c r="R112"/>
      <c r="S112"/>
    </row>
    <row r="113" spans="2:19" x14ac:dyDescent="0.25">
      <c r="B113"/>
      <c r="C113"/>
      <c r="D113"/>
      <c r="E113"/>
      <c r="F113"/>
      <c r="G113"/>
      <c r="H113"/>
      <c r="I113"/>
      <c r="J113"/>
      <c r="K113"/>
      <c r="L113"/>
      <c r="M113"/>
      <c r="N113"/>
      <c r="O113"/>
      <c r="P113"/>
      <c r="Q113"/>
      <c r="R113"/>
      <c r="S113"/>
    </row>
    <row r="114" spans="2:19" x14ac:dyDescent="0.25">
      <c r="B114"/>
      <c r="C114"/>
      <c r="D114"/>
      <c r="E114"/>
      <c r="F114"/>
      <c r="G114"/>
      <c r="H114"/>
      <c r="I114"/>
      <c r="J114"/>
      <c r="K114"/>
      <c r="L114"/>
      <c r="M114"/>
      <c r="N114"/>
      <c r="O114"/>
      <c r="P114"/>
      <c r="Q114"/>
      <c r="R114"/>
      <c r="S114"/>
    </row>
    <row r="115" spans="2:19" x14ac:dyDescent="0.25">
      <c r="B115"/>
      <c r="C115"/>
      <c r="D115"/>
      <c r="E115"/>
      <c r="F115"/>
      <c r="G115"/>
      <c r="H115"/>
      <c r="I115"/>
      <c r="J115"/>
      <c r="K115"/>
      <c r="L115"/>
      <c r="M115"/>
      <c r="N115"/>
      <c r="O115"/>
      <c r="P115"/>
      <c r="Q115"/>
      <c r="R115"/>
      <c r="S115"/>
    </row>
    <row r="116" spans="2:19" x14ac:dyDescent="0.25">
      <c r="B116"/>
      <c r="C116"/>
      <c r="D116"/>
      <c r="E116"/>
      <c r="F116"/>
      <c r="G116"/>
      <c r="H116"/>
      <c r="I116"/>
      <c r="J116"/>
      <c r="K116"/>
      <c r="L116"/>
      <c r="M116"/>
      <c r="N116"/>
      <c r="O116"/>
      <c r="P116"/>
      <c r="Q116"/>
      <c r="R116"/>
      <c r="S116"/>
    </row>
    <row r="117" spans="2:19" x14ac:dyDescent="0.25">
      <c r="B117"/>
      <c r="C117"/>
      <c r="D117"/>
      <c r="E117"/>
      <c r="F117"/>
      <c r="G117"/>
      <c r="H117"/>
      <c r="I117"/>
      <c r="J117"/>
      <c r="K117"/>
      <c r="L117"/>
      <c r="M117"/>
      <c r="N117"/>
      <c r="O117"/>
      <c r="P117"/>
      <c r="Q117"/>
      <c r="R117"/>
      <c r="S117"/>
    </row>
    <row r="118" spans="2:19" x14ac:dyDescent="0.25">
      <c r="B118"/>
      <c r="C118"/>
      <c r="D118"/>
      <c r="E118"/>
      <c r="F118"/>
      <c r="G118"/>
      <c r="H118"/>
      <c r="I118"/>
      <c r="J118"/>
      <c r="K118"/>
      <c r="L118"/>
      <c r="M118"/>
      <c r="N118"/>
      <c r="O118"/>
      <c r="P118"/>
      <c r="Q118"/>
      <c r="R118"/>
      <c r="S118"/>
    </row>
    <row r="119" spans="2:19" x14ac:dyDescent="0.25">
      <c r="B119"/>
      <c r="C119"/>
      <c r="D119"/>
      <c r="E119"/>
      <c r="F119"/>
      <c r="G119"/>
      <c r="H119"/>
      <c r="I119"/>
      <c r="J119"/>
      <c r="K119"/>
      <c r="L119"/>
      <c r="M119"/>
      <c r="N119"/>
      <c r="O119"/>
      <c r="P119"/>
      <c r="Q119"/>
      <c r="R119"/>
      <c r="S119"/>
    </row>
    <row r="120" spans="2:19" x14ac:dyDescent="0.25">
      <c r="B120"/>
      <c r="C120"/>
      <c r="D120"/>
      <c r="E120"/>
      <c r="F120"/>
      <c r="G120"/>
      <c r="H120"/>
      <c r="I120"/>
      <c r="J120"/>
      <c r="K120"/>
      <c r="L120"/>
      <c r="M120"/>
      <c r="N120"/>
      <c r="O120"/>
      <c r="P120"/>
      <c r="Q120"/>
      <c r="R120"/>
      <c r="S120"/>
    </row>
    <row r="121" spans="2:19" x14ac:dyDescent="0.25">
      <c r="B121"/>
      <c r="C121"/>
      <c r="D121"/>
      <c r="E121"/>
      <c r="F121"/>
      <c r="G121"/>
      <c r="H121"/>
      <c r="I121"/>
      <c r="J121"/>
      <c r="K121"/>
      <c r="L121"/>
      <c r="M121"/>
      <c r="N121"/>
      <c r="O121"/>
      <c r="P121"/>
      <c r="Q121"/>
      <c r="R121"/>
      <c r="S121"/>
    </row>
    <row r="122" spans="2:19" x14ac:dyDescent="0.25">
      <c r="B122"/>
      <c r="C122"/>
      <c r="D122"/>
      <c r="E122"/>
      <c r="F122"/>
      <c r="G122"/>
      <c r="H122"/>
      <c r="I122"/>
      <c r="J122"/>
      <c r="K122"/>
      <c r="L122"/>
      <c r="M122"/>
      <c r="N122"/>
      <c r="O122"/>
      <c r="P122"/>
      <c r="Q122"/>
      <c r="R122"/>
      <c r="S122"/>
    </row>
    <row r="123" spans="2:19" x14ac:dyDescent="0.25">
      <c r="B123"/>
      <c r="C123"/>
      <c r="D123"/>
      <c r="E123"/>
      <c r="F123"/>
      <c r="G123"/>
      <c r="H123"/>
      <c r="I123"/>
      <c r="J123"/>
      <c r="K123"/>
      <c r="L123"/>
      <c r="M123"/>
      <c r="N123"/>
      <c r="O123"/>
      <c r="P123"/>
      <c r="Q123"/>
      <c r="R123"/>
      <c r="S123"/>
    </row>
    <row r="124" spans="2:19" x14ac:dyDescent="0.25">
      <c r="B124"/>
      <c r="C124"/>
      <c r="D124"/>
      <c r="E124"/>
      <c r="F124"/>
      <c r="G124"/>
      <c r="H124"/>
      <c r="I124"/>
      <c r="J124"/>
      <c r="K124"/>
      <c r="L124"/>
      <c r="M124"/>
      <c r="N124"/>
      <c r="O124"/>
      <c r="P124"/>
      <c r="Q124"/>
      <c r="R124"/>
      <c r="S124"/>
    </row>
    <row r="125" spans="2:19" x14ac:dyDescent="0.25">
      <c r="B125"/>
      <c r="C125"/>
      <c r="D125"/>
      <c r="E125"/>
      <c r="F125"/>
      <c r="G125"/>
      <c r="H125"/>
      <c r="I125"/>
      <c r="J125"/>
      <c r="K125"/>
      <c r="L125"/>
      <c r="M125"/>
      <c r="N125"/>
      <c r="O125"/>
      <c r="P125"/>
      <c r="Q125"/>
      <c r="R125"/>
      <c r="S125"/>
    </row>
    <row r="126" spans="2:19" x14ac:dyDescent="0.25">
      <c r="B126"/>
      <c r="C126"/>
      <c r="D126"/>
      <c r="E126"/>
      <c r="F126"/>
      <c r="G126"/>
      <c r="H126"/>
      <c r="I126"/>
      <c r="J126"/>
      <c r="K126"/>
      <c r="L126"/>
      <c r="M126"/>
      <c r="N126"/>
      <c r="O126"/>
      <c r="P126"/>
      <c r="Q126"/>
      <c r="R126"/>
      <c r="S126"/>
    </row>
    <row r="127" spans="2:19" x14ac:dyDescent="0.25">
      <c r="B127"/>
      <c r="C127"/>
      <c r="D127"/>
      <c r="E127"/>
      <c r="F127"/>
      <c r="G127"/>
      <c r="H127"/>
      <c r="I127"/>
      <c r="J127"/>
      <c r="K127"/>
      <c r="L127"/>
      <c r="M127"/>
      <c r="N127"/>
      <c r="O127"/>
      <c r="P127"/>
      <c r="Q127"/>
      <c r="R127"/>
      <c r="S127"/>
    </row>
    <row r="128" spans="2:19" x14ac:dyDescent="0.25">
      <c r="B128"/>
      <c r="C128"/>
      <c r="D128"/>
      <c r="E128"/>
      <c r="F128"/>
      <c r="G128"/>
      <c r="H128"/>
      <c r="I128"/>
      <c r="J128"/>
      <c r="K128"/>
      <c r="L128"/>
      <c r="M128"/>
      <c r="N128"/>
      <c r="O128"/>
      <c r="P128"/>
      <c r="Q128"/>
      <c r="R128"/>
      <c r="S128"/>
    </row>
    <row r="129" spans="2:19" x14ac:dyDescent="0.25">
      <c r="B129"/>
      <c r="C129"/>
      <c r="D129"/>
      <c r="E129"/>
      <c r="F129"/>
      <c r="G129"/>
      <c r="H129"/>
      <c r="I129"/>
      <c r="J129"/>
      <c r="K129"/>
      <c r="L129"/>
      <c r="M129"/>
      <c r="N129"/>
      <c r="O129"/>
      <c r="P129"/>
      <c r="Q129"/>
      <c r="R129"/>
      <c r="S129"/>
    </row>
    <row r="130" spans="2:19" x14ac:dyDescent="0.25">
      <c r="B130"/>
      <c r="C130"/>
      <c r="D130"/>
      <c r="E130"/>
      <c r="F130"/>
      <c r="G130"/>
      <c r="H130"/>
      <c r="I130"/>
      <c r="J130"/>
      <c r="K130"/>
      <c r="L130"/>
      <c r="M130"/>
      <c r="N130"/>
      <c r="O130"/>
      <c r="P130"/>
      <c r="Q130"/>
      <c r="R130"/>
      <c r="S130"/>
    </row>
    <row r="131" spans="2:19" x14ac:dyDescent="0.25">
      <c r="B131"/>
      <c r="C131"/>
      <c r="D131"/>
      <c r="E131"/>
      <c r="F131"/>
      <c r="G131"/>
      <c r="H131"/>
      <c r="I131"/>
      <c r="J131"/>
      <c r="K131"/>
      <c r="L131"/>
      <c r="M131"/>
      <c r="N131"/>
      <c r="O131"/>
      <c r="P131"/>
      <c r="Q131"/>
      <c r="R131"/>
      <c r="S131"/>
    </row>
    <row r="132" spans="2:19" x14ac:dyDescent="0.25">
      <c r="B132"/>
      <c r="C132"/>
      <c r="D132"/>
      <c r="E132"/>
      <c r="F132"/>
      <c r="G132"/>
      <c r="H132"/>
      <c r="I132"/>
      <c r="J132"/>
      <c r="K132"/>
      <c r="L132"/>
      <c r="M132"/>
      <c r="N132"/>
      <c r="O132"/>
      <c r="P132"/>
      <c r="Q132"/>
      <c r="R132"/>
      <c r="S132"/>
    </row>
    <row r="133" spans="2:19" x14ac:dyDescent="0.25">
      <c r="B133"/>
      <c r="C133"/>
      <c r="D133"/>
      <c r="E133"/>
      <c r="F133"/>
      <c r="G133"/>
      <c r="H133"/>
      <c r="I133"/>
      <c r="J133"/>
      <c r="K133"/>
      <c r="L133"/>
      <c r="M133"/>
      <c r="N133"/>
      <c r="O133"/>
      <c r="P133"/>
      <c r="Q133"/>
      <c r="R133"/>
      <c r="S133"/>
    </row>
    <row r="134" spans="2:19" x14ac:dyDescent="0.25">
      <c r="B134"/>
      <c r="C134"/>
      <c r="D134"/>
      <c r="E134"/>
      <c r="F134"/>
      <c r="G134"/>
      <c r="H134"/>
      <c r="I134"/>
      <c r="J134"/>
      <c r="K134"/>
      <c r="L134"/>
      <c r="M134"/>
      <c r="N134"/>
      <c r="O134"/>
      <c r="P134"/>
      <c r="Q134"/>
      <c r="R134"/>
      <c r="S134"/>
    </row>
    <row r="135" spans="2:19" x14ac:dyDescent="0.25">
      <c r="B135"/>
      <c r="C135"/>
      <c r="D135"/>
      <c r="E135"/>
      <c r="F135"/>
      <c r="G135"/>
      <c r="H135"/>
      <c r="I135"/>
      <c r="J135"/>
      <c r="K135"/>
      <c r="L135"/>
      <c r="M135"/>
      <c r="N135"/>
      <c r="O135"/>
      <c r="P135"/>
      <c r="Q135"/>
      <c r="R135"/>
      <c r="S135"/>
    </row>
    <row r="136" spans="2:19" x14ac:dyDescent="0.25">
      <c r="B136"/>
      <c r="C136"/>
      <c r="D136"/>
      <c r="E136"/>
      <c r="F136"/>
      <c r="G136"/>
      <c r="H136"/>
      <c r="I136"/>
      <c r="J136"/>
      <c r="K136"/>
      <c r="L136"/>
      <c r="M136"/>
      <c r="N136"/>
      <c r="O136"/>
      <c r="P136"/>
      <c r="Q136"/>
      <c r="R136"/>
      <c r="S136"/>
    </row>
    <row r="137" spans="2:19" x14ac:dyDescent="0.25">
      <c r="B137"/>
      <c r="C137"/>
      <c r="D137"/>
      <c r="E137"/>
      <c r="F137"/>
      <c r="G137"/>
      <c r="H137"/>
      <c r="I137"/>
      <c r="J137"/>
      <c r="K137"/>
      <c r="L137"/>
      <c r="M137"/>
      <c r="N137"/>
      <c r="O137"/>
      <c r="P137"/>
      <c r="Q137"/>
      <c r="R137"/>
      <c r="S137"/>
    </row>
    <row r="138" spans="2:19" x14ac:dyDescent="0.25">
      <c r="B138"/>
      <c r="C138"/>
      <c r="D138"/>
      <c r="E138"/>
      <c r="F138"/>
      <c r="G138"/>
      <c r="H138"/>
      <c r="I138"/>
      <c r="J138"/>
      <c r="K138"/>
      <c r="L138"/>
      <c r="M138"/>
      <c r="N138"/>
      <c r="O138"/>
      <c r="P138"/>
      <c r="Q138"/>
      <c r="R138"/>
      <c r="S138"/>
    </row>
    <row r="139" spans="2:19" x14ac:dyDescent="0.25">
      <c r="B139"/>
      <c r="C139"/>
      <c r="D139"/>
      <c r="E139"/>
      <c r="F139"/>
      <c r="G139"/>
      <c r="H139"/>
      <c r="I139"/>
      <c r="J139"/>
      <c r="K139"/>
      <c r="L139"/>
      <c r="M139"/>
      <c r="N139"/>
      <c r="O139"/>
      <c r="P139"/>
      <c r="Q139"/>
      <c r="R139"/>
      <c r="S139"/>
    </row>
    <row r="140" spans="2:19" x14ac:dyDescent="0.25">
      <c r="B140"/>
      <c r="C140"/>
      <c r="D140"/>
      <c r="E140"/>
      <c r="F140"/>
      <c r="G140"/>
      <c r="H140"/>
      <c r="I140"/>
      <c r="J140"/>
      <c r="K140"/>
      <c r="L140"/>
      <c r="M140"/>
      <c r="N140"/>
      <c r="O140"/>
      <c r="P140"/>
      <c r="Q140"/>
      <c r="R140"/>
      <c r="S140"/>
    </row>
    <row r="141" spans="2:19" x14ac:dyDescent="0.25">
      <c r="B141"/>
      <c r="C141"/>
      <c r="D141"/>
      <c r="E141"/>
      <c r="F141"/>
      <c r="G141"/>
      <c r="H141"/>
      <c r="I141"/>
      <c r="J141"/>
      <c r="K141"/>
      <c r="L141"/>
      <c r="M141"/>
      <c r="N141"/>
      <c r="O141"/>
      <c r="P141"/>
      <c r="Q141"/>
      <c r="R141"/>
      <c r="S141"/>
    </row>
    <row r="142" spans="2:19" x14ac:dyDescent="0.25">
      <c r="B142"/>
      <c r="C142"/>
      <c r="D142"/>
      <c r="E142"/>
      <c r="F142"/>
      <c r="G142"/>
      <c r="H142"/>
      <c r="I142"/>
      <c r="J142"/>
      <c r="K142"/>
      <c r="L142"/>
      <c r="M142"/>
      <c r="N142"/>
      <c r="O142"/>
      <c r="P142"/>
      <c r="Q142"/>
      <c r="R142"/>
      <c r="S142"/>
    </row>
    <row r="143" spans="2:19" x14ac:dyDescent="0.25">
      <c r="B143"/>
      <c r="C143"/>
      <c r="D143"/>
      <c r="E143"/>
      <c r="F143"/>
      <c r="G143"/>
      <c r="H143"/>
      <c r="I143"/>
      <c r="J143"/>
      <c r="K143"/>
      <c r="L143"/>
      <c r="M143"/>
      <c r="N143"/>
      <c r="O143"/>
      <c r="P143"/>
      <c r="Q143"/>
      <c r="R143"/>
      <c r="S143"/>
    </row>
    <row r="144" spans="2:19" x14ac:dyDescent="0.25">
      <c r="B144"/>
      <c r="C144"/>
      <c r="D144"/>
      <c r="E144"/>
      <c r="F144"/>
      <c r="G144"/>
      <c r="H144"/>
      <c r="I144"/>
      <c r="J144"/>
      <c r="K144"/>
      <c r="L144"/>
      <c r="M144"/>
      <c r="N144"/>
      <c r="O144"/>
      <c r="P144"/>
      <c r="Q144"/>
      <c r="R144"/>
      <c r="S144"/>
    </row>
    <row r="145" spans="2:19" x14ac:dyDescent="0.25">
      <c r="B145"/>
      <c r="C145"/>
      <c r="D145"/>
      <c r="E145"/>
      <c r="F145"/>
      <c r="G145"/>
      <c r="H145"/>
      <c r="I145"/>
      <c r="J145"/>
      <c r="K145"/>
      <c r="L145"/>
      <c r="M145"/>
      <c r="N145"/>
      <c r="O145"/>
      <c r="P145"/>
      <c r="Q145"/>
      <c r="R145"/>
      <c r="S145"/>
    </row>
    <row r="146" spans="2:19" x14ac:dyDescent="0.25">
      <c r="B146"/>
      <c r="C146"/>
      <c r="D146"/>
      <c r="E146"/>
      <c r="F146"/>
      <c r="G146"/>
      <c r="H146"/>
      <c r="I146"/>
      <c r="J146"/>
      <c r="K146"/>
      <c r="L146"/>
      <c r="M146"/>
      <c r="N146"/>
      <c r="O146"/>
      <c r="P146"/>
      <c r="Q146"/>
      <c r="R146"/>
      <c r="S146"/>
    </row>
    <row r="147" spans="2:19" x14ac:dyDescent="0.25">
      <c r="B147"/>
      <c r="C147"/>
      <c r="D147"/>
      <c r="E147"/>
      <c r="F147"/>
      <c r="G147"/>
      <c r="H147"/>
      <c r="I147"/>
      <c r="J147"/>
      <c r="K147"/>
      <c r="L147"/>
      <c r="M147"/>
      <c r="N147"/>
      <c r="O147"/>
      <c r="P147"/>
      <c r="Q147"/>
      <c r="R147"/>
      <c r="S147"/>
    </row>
    <row r="148" spans="2:19" x14ac:dyDescent="0.25">
      <c r="B148"/>
      <c r="C148"/>
      <c r="D148"/>
      <c r="E148"/>
      <c r="F148"/>
      <c r="G148"/>
      <c r="H148"/>
      <c r="I148"/>
      <c r="J148"/>
      <c r="K148"/>
      <c r="L148"/>
      <c r="M148"/>
      <c r="N148"/>
      <c r="O148"/>
      <c r="P148"/>
      <c r="Q148"/>
      <c r="R148"/>
      <c r="S148"/>
    </row>
    <row r="149" spans="2:19" x14ac:dyDescent="0.25">
      <c r="B149"/>
      <c r="C149"/>
      <c r="D149"/>
      <c r="E149"/>
      <c r="F149"/>
      <c r="G149"/>
      <c r="H149"/>
      <c r="I149"/>
      <c r="J149"/>
      <c r="K149"/>
      <c r="L149"/>
      <c r="M149"/>
      <c r="N149"/>
      <c r="O149"/>
      <c r="P149"/>
      <c r="Q149"/>
      <c r="R149"/>
      <c r="S149"/>
    </row>
    <row r="150" spans="2:19" x14ac:dyDescent="0.25">
      <c r="B150"/>
      <c r="C150"/>
      <c r="D150"/>
      <c r="E150"/>
      <c r="F150"/>
      <c r="G150"/>
      <c r="H150"/>
      <c r="I150"/>
      <c r="J150"/>
      <c r="K150"/>
      <c r="L150"/>
      <c r="M150"/>
      <c r="N150"/>
      <c r="O150"/>
      <c r="P150"/>
      <c r="Q150"/>
      <c r="R150"/>
      <c r="S150"/>
    </row>
    <row r="151" spans="2:19" x14ac:dyDescent="0.25">
      <c r="B151"/>
      <c r="C151"/>
      <c r="D151"/>
      <c r="E151"/>
      <c r="F151"/>
      <c r="G151"/>
      <c r="H151"/>
      <c r="I151"/>
      <c r="J151"/>
      <c r="K151"/>
      <c r="L151"/>
      <c r="M151"/>
      <c r="N151"/>
      <c r="O151"/>
      <c r="P151"/>
      <c r="Q151"/>
      <c r="R151"/>
      <c r="S151"/>
    </row>
    <row r="152" spans="2:19" x14ac:dyDescent="0.25">
      <c r="B152"/>
      <c r="C152"/>
      <c r="D152"/>
      <c r="E152"/>
      <c r="F152"/>
      <c r="G152"/>
      <c r="H152"/>
      <c r="I152"/>
      <c r="J152"/>
      <c r="K152"/>
      <c r="L152"/>
      <c r="M152"/>
      <c r="N152"/>
      <c r="O152"/>
      <c r="P152"/>
      <c r="Q152"/>
      <c r="R152"/>
      <c r="S152"/>
    </row>
    <row r="153" spans="2:19" x14ac:dyDescent="0.25">
      <c r="B153"/>
      <c r="C153"/>
      <c r="D153"/>
      <c r="E153"/>
      <c r="F153"/>
      <c r="G153"/>
      <c r="H153"/>
      <c r="I153"/>
      <c r="J153"/>
      <c r="K153"/>
      <c r="L153"/>
      <c r="M153"/>
      <c r="N153"/>
      <c r="O153"/>
      <c r="P153"/>
      <c r="Q153"/>
      <c r="R153"/>
      <c r="S153"/>
    </row>
    <row r="154" spans="2:19" x14ac:dyDescent="0.25">
      <c r="B154"/>
      <c r="C154"/>
      <c r="D154"/>
      <c r="E154"/>
      <c r="F154"/>
      <c r="G154"/>
      <c r="H154"/>
      <c r="I154"/>
      <c r="J154"/>
      <c r="K154"/>
      <c r="L154"/>
      <c r="M154"/>
      <c r="N154"/>
      <c r="O154"/>
      <c r="P154"/>
      <c r="Q154"/>
      <c r="R154"/>
      <c r="S154"/>
    </row>
    <row r="155" spans="2:19" x14ac:dyDescent="0.25">
      <c r="B155"/>
      <c r="C155"/>
      <c r="D155"/>
      <c r="E155"/>
      <c r="F155"/>
      <c r="G155"/>
      <c r="H155"/>
      <c r="I155"/>
      <c r="J155"/>
      <c r="K155"/>
      <c r="L155"/>
      <c r="M155"/>
      <c r="N155"/>
      <c r="O155"/>
      <c r="P155"/>
      <c r="Q155"/>
      <c r="R155"/>
      <c r="S155"/>
    </row>
    <row r="156" spans="2:19" x14ac:dyDescent="0.25">
      <c r="B156"/>
      <c r="C156"/>
      <c r="D156"/>
      <c r="E156"/>
      <c r="F156"/>
      <c r="G156"/>
      <c r="H156"/>
      <c r="I156"/>
      <c r="J156"/>
      <c r="K156"/>
      <c r="L156"/>
      <c r="M156"/>
      <c r="N156"/>
      <c r="O156"/>
      <c r="P156"/>
      <c r="Q156"/>
      <c r="R156"/>
      <c r="S156"/>
    </row>
    <row r="157" spans="2:19" x14ac:dyDescent="0.25">
      <c r="B157"/>
      <c r="C157"/>
      <c r="D157"/>
      <c r="E157"/>
      <c r="F157"/>
      <c r="G157"/>
      <c r="H157"/>
      <c r="I157"/>
      <c r="J157"/>
      <c r="K157"/>
      <c r="L157"/>
      <c r="M157"/>
      <c r="N157"/>
      <c r="O157"/>
      <c r="P157"/>
      <c r="Q157"/>
      <c r="R157"/>
      <c r="S157"/>
    </row>
    <row r="158" spans="2:19" x14ac:dyDescent="0.25">
      <c r="B158"/>
      <c r="C158"/>
      <c r="D158"/>
      <c r="E158"/>
      <c r="F158"/>
      <c r="G158"/>
      <c r="H158"/>
      <c r="I158"/>
      <c r="J158"/>
      <c r="K158"/>
      <c r="L158"/>
      <c r="M158"/>
      <c r="N158"/>
      <c r="O158"/>
      <c r="P158"/>
      <c r="Q158"/>
      <c r="R158"/>
      <c r="S158"/>
    </row>
    <row r="159" spans="2:19" x14ac:dyDescent="0.25">
      <c r="B159"/>
      <c r="C159"/>
      <c r="D159"/>
      <c r="E159"/>
      <c r="F159"/>
      <c r="G159"/>
      <c r="H159"/>
      <c r="I159"/>
      <c r="J159"/>
      <c r="K159"/>
      <c r="L159"/>
      <c r="M159"/>
      <c r="N159"/>
      <c r="O159"/>
      <c r="P159"/>
      <c r="Q159"/>
      <c r="R159"/>
      <c r="S159"/>
    </row>
    <row r="160" spans="2:19" x14ac:dyDescent="0.25">
      <c r="B160"/>
      <c r="C160"/>
      <c r="D160"/>
      <c r="E160"/>
      <c r="F160"/>
      <c r="G160"/>
      <c r="H160"/>
      <c r="I160"/>
      <c r="J160"/>
      <c r="K160"/>
      <c r="L160"/>
      <c r="M160"/>
      <c r="N160"/>
      <c r="O160"/>
      <c r="P160"/>
      <c r="Q160"/>
      <c r="R160"/>
      <c r="S160"/>
    </row>
    <row r="161" spans="2:19" x14ac:dyDescent="0.25">
      <c r="B161"/>
      <c r="C161"/>
      <c r="D161"/>
      <c r="E161"/>
      <c r="F161"/>
      <c r="G161"/>
      <c r="H161"/>
      <c r="I161"/>
      <c r="J161"/>
      <c r="K161"/>
      <c r="L161"/>
      <c r="M161"/>
      <c r="N161"/>
      <c r="O161"/>
      <c r="P161"/>
      <c r="Q161"/>
      <c r="R161"/>
      <c r="S161"/>
    </row>
    <row r="162" spans="2:19" x14ac:dyDescent="0.25">
      <c r="B162"/>
      <c r="C162"/>
      <c r="D162"/>
      <c r="E162"/>
      <c r="F162"/>
      <c r="G162"/>
      <c r="H162"/>
      <c r="I162"/>
      <c r="J162"/>
      <c r="K162"/>
      <c r="L162"/>
      <c r="M162"/>
      <c r="N162"/>
      <c r="O162"/>
      <c r="P162"/>
      <c r="Q162"/>
      <c r="R162"/>
      <c r="S162"/>
    </row>
    <row r="163" spans="2:19" x14ac:dyDescent="0.25">
      <c r="B163"/>
      <c r="C163"/>
      <c r="D163"/>
      <c r="E163"/>
      <c r="F163"/>
      <c r="G163"/>
      <c r="H163"/>
      <c r="I163"/>
      <c r="J163"/>
      <c r="K163"/>
      <c r="L163"/>
      <c r="M163"/>
      <c r="N163"/>
      <c r="O163"/>
      <c r="P163"/>
      <c r="Q163"/>
      <c r="R163"/>
      <c r="S163"/>
    </row>
    <row r="164" spans="2:19" x14ac:dyDescent="0.25">
      <c r="B164"/>
      <c r="C164"/>
      <c r="D164"/>
      <c r="E164"/>
      <c r="F164"/>
      <c r="G164"/>
      <c r="H164"/>
      <c r="I164"/>
      <c r="J164"/>
      <c r="K164"/>
      <c r="L164"/>
      <c r="M164"/>
      <c r="N164"/>
      <c r="O164"/>
      <c r="P164"/>
      <c r="Q164"/>
      <c r="R164"/>
      <c r="S164"/>
    </row>
    <row r="165" spans="2:19" x14ac:dyDescent="0.25">
      <c r="B165"/>
      <c r="C165"/>
      <c r="D165"/>
      <c r="E165"/>
      <c r="F165"/>
      <c r="G165"/>
      <c r="H165"/>
      <c r="I165"/>
      <c r="J165"/>
      <c r="K165"/>
      <c r="L165"/>
      <c r="M165"/>
      <c r="N165"/>
      <c r="O165"/>
      <c r="P165"/>
      <c r="Q165"/>
      <c r="R165"/>
      <c r="S165"/>
    </row>
    <row r="166" spans="2:19" x14ac:dyDescent="0.25">
      <c r="B166"/>
      <c r="C166"/>
      <c r="D166"/>
      <c r="E166"/>
      <c r="F166"/>
      <c r="G166"/>
      <c r="H166"/>
      <c r="I166"/>
      <c r="J166"/>
      <c r="K166"/>
      <c r="L166"/>
      <c r="M166"/>
      <c r="N166"/>
      <c r="O166"/>
      <c r="P166"/>
      <c r="Q166"/>
      <c r="R166"/>
      <c r="S166"/>
    </row>
    <row r="167" spans="2:19" x14ac:dyDescent="0.25">
      <c r="B167"/>
      <c r="C167"/>
      <c r="D167"/>
      <c r="E167"/>
      <c r="F167"/>
      <c r="G167"/>
      <c r="H167"/>
      <c r="I167"/>
      <c r="J167"/>
      <c r="K167"/>
      <c r="L167"/>
      <c r="M167"/>
      <c r="N167"/>
      <c r="O167"/>
      <c r="P167"/>
      <c r="Q167"/>
      <c r="R167"/>
      <c r="S167"/>
    </row>
    <row r="168" spans="2:19" x14ac:dyDescent="0.25">
      <c r="B168"/>
      <c r="C168"/>
      <c r="D168"/>
      <c r="E168"/>
      <c r="F168"/>
      <c r="G168"/>
      <c r="H168"/>
      <c r="I168"/>
      <c r="J168"/>
      <c r="K168"/>
      <c r="L168"/>
      <c r="M168"/>
      <c r="N168"/>
      <c r="O168"/>
      <c r="P168"/>
      <c r="Q168"/>
      <c r="R168"/>
      <c r="S168"/>
    </row>
    <row r="169" spans="2:19" x14ac:dyDescent="0.25">
      <c r="B169"/>
      <c r="C169"/>
      <c r="D169"/>
      <c r="E169"/>
      <c r="F169"/>
      <c r="G169"/>
      <c r="H169"/>
      <c r="I169"/>
      <c r="J169"/>
      <c r="K169"/>
      <c r="L169"/>
      <c r="M169"/>
      <c r="N169"/>
      <c r="O169"/>
      <c r="P169"/>
      <c r="Q169"/>
      <c r="R169"/>
      <c r="S169"/>
    </row>
    <row r="170" spans="2:19" x14ac:dyDescent="0.25">
      <c r="B170"/>
      <c r="C170"/>
      <c r="D170"/>
      <c r="E170"/>
      <c r="F170"/>
      <c r="G170"/>
      <c r="H170"/>
      <c r="I170"/>
      <c r="J170"/>
      <c r="K170"/>
      <c r="L170"/>
      <c r="M170"/>
      <c r="N170"/>
      <c r="O170"/>
      <c r="P170"/>
      <c r="Q170"/>
      <c r="R170"/>
      <c r="S170"/>
    </row>
    <row r="171" spans="2:19" x14ac:dyDescent="0.25">
      <c r="B171"/>
      <c r="C171"/>
      <c r="D171"/>
      <c r="E171"/>
      <c r="F171"/>
      <c r="G171"/>
      <c r="H171"/>
      <c r="I171"/>
      <c r="J171"/>
      <c r="K171"/>
      <c r="L171"/>
      <c r="M171"/>
      <c r="N171"/>
      <c r="O171"/>
      <c r="P171"/>
      <c r="Q171"/>
      <c r="R171"/>
      <c r="S171"/>
    </row>
    <row r="172" spans="2:19" x14ac:dyDescent="0.25">
      <c r="B172"/>
      <c r="C172"/>
      <c r="D172"/>
      <c r="E172"/>
      <c r="F172"/>
      <c r="G172"/>
      <c r="H172"/>
      <c r="I172"/>
      <c r="J172"/>
      <c r="K172"/>
      <c r="L172"/>
      <c r="M172"/>
      <c r="N172"/>
      <c r="O172"/>
      <c r="P172"/>
      <c r="Q172"/>
      <c r="R172"/>
      <c r="S172"/>
    </row>
    <row r="173" spans="2:19" x14ac:dyDescent="0.25">
      <c r="B173"/>
      <c r="C173"/>
      <c r="D173"/>
      <c r="E173"/>
      <c r="F173"/>
      <c r="G173"/>
      <c r="H173"/>
      <c r="I173"/>
      <c r="J173"/>
      <c r="K173"/>
      <c r="L173"/>
      <c r="M173"/>
      <c r="N173"/>
      <c r="O173"/>
      <c r="P173"/>
      <c r="Q173"/>
      <c r="R173"/>
      <c r="S173"/>
    </row>
    <row r="174" spans="2:19" x14ac:dyDescent="0.25">
      <c r="B174"/>
      <c r="C174"/>
      <c r="D174"/>
      <c r="E174"/>
      <c r="F174"/>
      <c r="G174"/>
      <c r="H174"/>
      <c r="I174"/>
      <c r="J174"/>
      <c r="K174"/>
      <c r="L174"/>
      <c r="M174"/>
      <c r="N174"/>
      <c r="O174"/>
      <c r="P174"/>
      <c r="Q174"/>
      <c r="R174"/>
      <c r="S174"/>
    </row>
    <row r="175" spans="2:19" x14ac:dyDescent="0.25">
      <c r="B175"/>
      <c r="C175"/>
      <c r="D175"/>
      <c r="E175"/>
      <c r="F175"/>
      <c r="G175"/>
      <c r="H175"/>
      <c r="I175"/>
      <c r="J175"/>
      <c r="K175"/>
      <c r="L175"/>
      <c r="M175"/>
      <c r="N175"/>
      <c r="O175"/>
      <c r="P175"/>
      <c r="Q175"/>
      <c r="R175"/>
      <c r="S175"/>
    </row>
    <row r="176" spans="2:19" x14ac:dyDescent="0.25">
      <c r="B176"/>
      <c r="C176"/>
      <c r="D176"/>
      <c r="E176"/>
      <c r="F176"/>
      <c r="G176"/>
      <c r="H176"/>
      <c r="I176"/>
      <c r="J176"/>
      <c r="K176"/>
      <c r="L176"/>
      <c r="M176"/>
      <c r="N176"/>
      <c r="O176"/>
      <c r="P176"/>
      <c r="Q176"/>
      <c r="R176"/>
      <c r="S176"/>
    </row>
    <row r="177" spans="2:19" x14ac:dyDescent="0.25">
      <c r="B177"/>
      <c r="C177"/>
      <c r="D177"/>
      <c r="E177"/>
      <c r="F177"/>
      <c r="G177"/>
      <c r="H177"/>
      <c r="I177"/>
      <c r="J177"/>
      <c r="K177"/>
      <c r="L177"/>
      <c r="M177"/>
      <c r="N177"/>
      <c r="O177"/>
      <c r="P177"/>
      <c r="Q177"/>
      <c r="R177"/>
      <c r="S177"/>
    </row>
    <row r="178" spans="2:19" x14ac:dyDescent="0.25">
      <c r="B178"/>
      <c r="C178"/>
      <c r="D178"/>
      <c r="E178"/>
      <c r="F178"/>
      <c r="G178"/>
      <c r="H178"/>
      <c r="I178"/>
      <c r="J178"/>
      <c r="K178"/>
      <c r="L178"/>
      <c r="M178"/>
      <c r="N178"/>
      <c r="O178"/>
      <c r="P178"/>
      <c r="Q178"/>
      <c r="R178"/>
      <c r="S178"/>
    </row>
    <row r="179" spans="2:19" x14ac:dyDescent="0.25">
      <c r="B179"/>
      <c r="C179"/>
      <c r="D179"/>
      <c r="E179"/>
      <c r="F179"/>
      <c r="G179"/>
      <c r="H179"/>
      <c r="I179"/>
      <c r="J179"/>
      <c r="K179"/>
      <c r="L179"/>
      <c r="M179"/>
      <c r="N179"/>
      <c r="O179"/>
      <c r="P179"/>
      <c r="Q179"/>
      <c r="R179"/>
      <c r="S179"/>
    </row>
    <row r="180" spans="2:19" x14ac:dyDescent="0.25">
      <c r="B180"/>
      <c r="C180"/>
      <c r="D180"/>
      <c r="E180"/>
      <c r="F180"/>
      <c r="G180"/>
      <c r="H180"/>
      <c r="I180"/>
      <c r="J180"/>
      <c r="K180"/>
      <c r="L180"/>
      <c r="M180"/>
      <c r="N180"/>
      <c r="O180"/>
      <c r="P180"/>
      <c r="Q180"/>
      <c r="R180"/>
      <c r="S180"/>
    </row>
    <row r="181" spans="2:19" x14ac:dyDescent="0.25">
      <c r="B181"/>
      <c r="C181"/>
      <c r="D181"/>
      <c r="E181"/>
      <c r="F181"/>
      <c r="G181"/>
      <c r="H181"/>
      <c r="I181"/>
      <c r="J181"/>
      <c r="K181"/>
      <c r="L181"/>
      <c r="M181"/>
      <c r="N181"/>
      <c r="O181"/>
      <c r="P181"/>
      <c r="Q181"/>
      <c r="R181"/>
      <c r="S181"/>
    </row>
    <row r="182" spans="2:19" x14ac:dyDescent="0.25">
      <c r="B182"/>
      <c r="C182"/>
      <c r="D182"/>
      <c r="E182"/>
      <c r="F182"/>
      <c r="G182"/>
      <c r="H182"/>
      <c r="I182"/>
      <c r="J182"/>
      <c r="K182"/>
      <c r="L182"/>
      <c r="M182"/>
      <c r="N182"/>
      <c r="O182"/>
      <c r="P182"/>
      <c r="Q182"/>
      <c r="R182"/>
      <c r="S182"/>
    </row>
    <row r="183" spans="2:19" x14ac:dyDescent="0.25">
      <c r="B183"/>
      <c r="C183"/>
      <c r="D183"/>
      <c r="E183"/>
      <c r="F183"/>
      <c r="G183"/>
      <c r="H183"/>
      <c r="I183"/>
      <c r="J183"/>
      <c r="K183"/>
      <c r="L183"/>
      <c r="M183"/>
      <c r="N183"/>
      <c r="O183"/>
      <c r="P183"/>
      <c r="Q183"/>
      <c r="R183"/>
      <c r="S183"/>
    </row>
    <row r="184" spans="2:19" x14ac:dyDescent="0.25">
      <c r="B184"/>
      <c r="C184"/>
      <c r="D184"/>
      <c r="E184"/>
      <c r="F184"/>
      <c r="G184"/>
      <c r="H184"/>
      <c r="I184"/>
      <c r="J184"/>
      <c r="K184"/>
      <c r="L184"/>
      <c r="M184"/>
      <c r="N184"/>
      <c r="O184"/>
      <c r="P184"/>
      <c r="Q184"/>
      <c r="R184"/>
      <c r="S184"/>
    </row>
    <row r="185" spans="2:19" x14ac:dyDescent="0.25">
      <c r="B185"/>
      <c r="C185"/>
      <c r="D185"/>
      <c r="E185"/>
      <c r="F185"/>
      <c r="G185"/>
      <c r="H185"/>
      <c r="I185"/>
      <c r="J185"/>
      <c r="K185"/>
      <c r="L185"/>
      <c r="M185"/>
      <c r="N185"/>
      <c r="O185"/>
      <c r="P185"/>
      <c r="Q185"/>
      <c r="R185"/>
      <c r="S185"/>
    </row>
    <row r="186" spans="2:19" x14ac:dyDescent="0.25">
      <c r="B186"/>
      <c r="C186"/>
      <c r="D186"/>
      <c r="E186"/>
      <c r="F186"/>
      <c r="G186"/>
      <c r="H186"/>
      <c r="I186"/>
      <c r="J186"/>
      <c r="K186"/>
      <c r="L186"/>
      <c r="M186"/>
      <c r="N186"/>
      <c r="O186"/>
      <c r="P186"/>
      <c r="Q186"/>
      <c r="R186"/>
      <c r="S186"/>
    </row>
    <row r="187" spans="2:19" x14ac:dyDescent="0.25">
      <c r="B187"/>
      <c r="C187"/>
      <c r="D187"/>
      <c r="E187"/>
      <c r="F187"/>
      <c r="G187"/>
      <c r="H187"/>
      <c r="I187"/>
      <c r="J187"/>
      <c r="K187"/>
      <c r="L187"/>
      <c r="M187"/>
      <c r="N187"/>
      <c r="O187"/>
      <c r="P187"/>
      <c r="Q187"/>
      <c r="R187"/>
      <c r="S187"/>
    </row>
    <row r="188" spans="2:19" x14ac:dyDescent="0.25">
      <c r="B188"/>
      <c r="C188"/>
      <c r="D188"/>
      <c r="E188"/>
      <c r="F188"/>
      <c r="G188"/>
      <c r="H188"/>
      <c r="I188"/>
      <c r="J188"/>
      <c r="K188"/>
      <c r="L188"/>
      <c r="M188"/>
      <c r="N188"/>
      <c r="O188"/>
      <c r="P188"/>
      <c r="Q188"/>
      <c r="R188"/>
      <c r="S188"/>
    </row>
    <row r="189" spans="2:19" x14ac:dyDescent="0.25">
      <c r="B189"/>
      <c r="C189"/>
      <c r="D189"/>
      <c r="E189"/>
      <c r="F189"/>
      <c r="G189"/>
      <c r="H189"/>
      <c r="I189"/>
      <c r="J189"/>
      <c r="K189"/>
      <c r="L189"/>
      <c r="M189"/>
      <c r="N189"/>
      <c r="O189"/>
      <c r="P189"/>
      <c r="Q189"/>
      <c r="R189"/>
      <c r="S189"/>
    </row>
    <row r="190" spans="2:19" x14ac:dyDescent="0.25">
      <c r="B190"/>
      <c r="C190"/>
      <c r="D190"/>
      <c r="E190"/>
      <c r="F190"/>
      <c r="G190"/>
      <c r="H190"/>
      <c r="I190"/>
      <c r="J190"/>
      <c r="K190"/>
      <c r="L190"/>
      <c r="M190"/>
      <c r="N190"/>
      <c r="O190"/>
      <c r="P190"/>
      <c r="Q190"/>
      <c r="R190"/>
      <c r="S190"/>
    </row>
    <row r="191" spans="2:19" x14ac:dyDescent="0.25">
      <c r="B191"/>
      <c r="C191"/>
      <c r="D191"/>
      <c r="E191"/>
      <c r="F191"/>
      <c r="G191"/>
      <c r="H191"/>
      <c r="I191"/>
      <c r="J191"/>
      <c r="K191"/>
      <c r="L191"/>
      <c r="M191"/>
      <c r="N191"/>
      <c r="O191"/>
      <c r="P191"/>
      <c r="Q191"/>
      <c r="R191"/>
      <c r="S191"/>
    </row>
    <row r="192" spans="2:19" x14ac:dyDescent="0.25">
      <c r="B192"/>
      <c r="C192"/>
      <c r="D192"/>
      <c r="E192"/>
      <c r="F192"/>
      <c r="G192"/>
      <c r="H192"/>
      <c r="I192"/>
      <c r="J192"/>
      <c r="K192"/>
      <c r="L192"/>
      <c r="M192"/>
      <c r="N192"/>
      <c r="O192"/>
      <c r="P192"/>
      <c r="Q192"/>
      <c r="R192"/>
      <c r="S192"/>
    </row>
    <row r="193" spans="2:19" x14ac:dyDescent="0.25">
      <c r="B193"/>
      <c r="C193"/>
      <c r="D193"/>
      <c r="E193"/>
      <c r="F193"/>
      <c r="G193"/>
      <c r="H193"/>
      <c r="I193"/>
      <c r="J193"/>
      <c r="K193"/>
      <c r="L193"/>
      <c r="M193"/>
      <c r="N193"/>
      <c r="O193"/>
      <c r="P193"/>
      <c r="Q193"/>
      <c r="R193"/>
      <c r="S193"/>
    </row>
    <row r="194" spans="2:19" x14ac:dyDescent="0.25">
      <c r="B194"/>
      <c r="C194"/>
      <c r="D194"/>
      <c r="E194"/>
      <c r="F194"/>
      <c r="G194"/>
      <c r="H194"/>
      <c r="I194"/>
      <c r="J194"/>
      <c r="K194"/>
      <c r="L194"/>
      <c r="M194"/>
      <c r="N194"/>
      <c r="O194"/>
      <c r="P194"/>
      <c r="Q194"/>
      <c r="R194"/>
      <c r="S194"/>
    </row>
    <row r="195" spans="2:19" x14ac:dyDescent="0.25">
      <c r="B195"/>
      <c r="C195"/>
      <c r="D195"/>
      <c r="E195"/>
      <c r="F195"/>
      <c r="G195"/>
      <c r="H195"/>
      <c r="I195"/>
      <c r="J195"/>
      <c r="K195"/>
      <c r="L195"/>
      <c r="M195"/>
      <c r="N195"/>
      <c r="O195"/>
      <c r="P195"/>
      <c r="Q195"/>
      <c r="R195"/>
      <c r="S195"/>
    </row>
    <row r="196" spans="2:19" x14ac:dyDescent="0.25">
      <c r="B196"/>
      <c r="C196"/>
      <c r="D196"/>
      <c r="E196"/>
      <c r="F196"/>
      <c r="G196"/>
      <c r="H196"/>
      <c r="I196"/>
      <c r="J196"/>
      <c r="K196"/>
      <c r="L196"/>
      <c r="M196"/>
      <c r="N196"/>
      <c r="O196"/>
      <c r="P196"/>
      <c r="Q196"/>
      <c r="R196"/>
      <c r="S196"/>
    </row>
    <row r="197" spans="2:19" x14ac:dyDescent="0.25">
      <c r="B197"/>
      <c r="C197"/>
      <c r="D197"/>
      <c r="E197"/>
      <c r="F197"/>
      <c r="G197"/>
      <c r="H197"/>
      <c r="I197"/>
      <c r="J197"/>
      <c r="K197"/>
      <c r="L197"/>
      <c r="M197"/>
      <c r="N197"/>
      <c r="O197"/>
      <c r="P197"/>
      <c r="Q197"/>
      <c r="R197"/>
      <c r="S197"/>
    </row>
    <row r="198" spans="2:19" x14ac:dyDescent="0.25">
      <c r="B198"/>
      <c r="C198"/>
      <c r="D198"/>
      <c r="E198"/>
      <c r="F198"/>
      <c r="G198"/>
      <c r="H198"/>
      <c r="I198"/>
      <c r="J198"/>
      <c r="K198"/>
      <c r="L198"/>
      <c r="M198"/>
      <c r="N198"/>
      <c r="O198"/>
      <c r="P198"/>
      <c r="Q198"/>
      <c r="R198"/>
      <c r="S198"/>
    </row>
    <row r="199" spans="2:19" x14ac:dyDescent="0.25">
      <c r="B199"/>
      <c r="C199"/>
      <c r="D199"/>
      <c r="E199"/>
      <c r="F199"/>
      <c r="G199"/>
      <c r="H199"/>
      <c r="I199"/>
      <c r="J199"/>
      <c r="K199"/>
      <c r="L199"/>
      <c r="M199"/>
      <c r="N199"/>
      <c r="O199"/>
      <c r="P199"/>
      <c r="Q199"/>
      <c r="R199"/>
      <c r="S199"/>
    </row>
    <row r="200" spans="2:19" x14ac:dyDescent="0.25">
      <c r="B200"/>
      <c r="C200"/>
      <c r="D200"/>
      <c r="E200"/>
      <c r="F200"/>
      <c r="G200"/>
      <c r="H200"/>
      <c r="I200"/>
      <c r="J200"/>
      <c r="K200"/>
      <c r="L200"/>
      <c r="M200"/>
      <c r="N200"/>
      <c r="O200"/>
      <c r="P200"/>
      <c r="Q200"/>
      <c r="R200"/>
      <c r="S200"/>
    </row>
    <row r="201" spans="2:19" x14ac:dyDescent="0.25">
      <c r="B201"/>
      <c r="C201"/>
      <c r="D201"/>
      <c r="E201"/>
      <c r="F201"/>
      <c r="G201"/>
      <c r="H201"/>
      <c r="I201"/>
      <c r="J201"/>
      <c r="K201"/>
      <c r="L201"/>
      <c r="M201"/>
      <c r="N201"/>
      <c r="O201"/>
      <c r="P201"/>
      <c r="Q201"/>
      <c r="R201"/>
      <c r="S201"/>
    </row>
    <row r="202" spans="2:19" x14ac:dyDescent="0.25">
      <c r="B202"/>
      <c r="C202"/>
      <c r="D202"/>
      <c r="E202"/>
      <c r="F202"/>
      <c r="G202"/>
      <c r="H202"/>
      <c r="I202"/>
      <c r="J202"/>
      <c r="K202"/>
      <c r="L202"/>
      <c r="M202"/>
      <c r="N202"/>
      <c r="O202"/>
      <c r="P202"/>
      <c r="Q202"/>
      <c r="R202"/>
      <c r="S202"/>
    </row>
    <row r="203" spans="2:19" x14ac:dyDescent="0.25">
      <c r="B203"/>
      <c r="C203"/>
      <c r="D203"/>
      <c r="E203"/>
      <c r="F203"/>
      <c r="G203"/>
      <c r="H203"/>
      <c r="I203"/>
      <c r="J203"/>
      <c r="K203"/>
      <c r="L203"/>
      <c r="M203"/>
      <c r="N203"/>
      <c r="O203"/>
      <c r="P203"/>
      <c r="Q203"/>
      <c r="R203"/>
      <c r="S203"/>
    </row>
    <row r="204" spans="2:19" x14ac:dyDescent="0.25">
      <c r="B204"/>
      <c r="C204"/>
      <c r="D204"/>
      <c r="E204"/>
      <c r="F204"/>
      <c r="G204"/>
      <c r="H204"/>
      <c r="I204"/>
      <c r="J204"/>
      <c r="K204"/>
      <c r="L204"/>
      <c r="M204"/>
      <c r="N204"/>
      <c r="O204"/>
      <c r="P204"/>
      <c r="Q204"/>
      <c r="R204"/>
      <c r="S204"/>
    </row>
    <row r="205" spans="2:19" x14ac:dyDescent="0.25">
      <c r="B205"/>
      <c r="C205"/>
      <c r="D205"/>
      <c r="E205"/>
      <c r="F205"/>
      <c r="G205"/>
      <c r="H205"/>
      <c r="I205"/>
      <c r="J205"/>
      <c r="K205"/>
      <c r="L205"/>
      <c r="M205"/>
      <c r="N205"/>
      <c r="O205"/>
      <c r="P205"/>
      <c r="Q205"/>
      <c r="R205"/>
      <c r="S205"/>
    </row>
    <row r="206" spans="2:19" x14ac:dyDescent="0.25">
      <c r="Q206" s="13"/>
      <c r="S206"/>
    </row>
    <row r="207" spans="2:19" x14ac:dyDescent="0.25">
      <c r="Q207" s="13"/>
      <c r="S207"/>
    </row>
    <row r="208" spans="2:19" x14ac:dyDescent="0.25">
      <c r="Q208" s="21"/>
      <c r="S208"/>
    </row>
    <row r="209" spans="17:19" x14ac:dyDescent="0.25">
      <c r="Q209" s="13"/>
      <c r="S209"/>
    </row>
    <row r="210" spans="17:19" x14ac:dyDescent="0.25">
      <c r="Q210" s="13"/>
      <c r="S210"/>
    </row>
    <row r="211" spans="17:19" x14ac:dyDescent="0.25">
      <c r="Q211" s="13"/>
      <c r="S211"/>
    </row>
    <row r="212" spans="17:19" x14ac:dyDescent="0.25">
      <c r="Q212" s="21"/>
      <c r="S212"/>
    </row>
    <row r="213" spans="17:19" x14ac:dyDescent="0.25">
      <c r="Q213" s="13"/>
      <c r="S213"/>
    </row>
    <row r="214" spans="17:19" x14ac:dyDescent="0.25">
      <c r="Q214" s="13"/>
      <c r="S214"/>
    </row>
    <row r="215" spans="17:19" x14ac:dyDescent="0.25">
      <c r="Q215" s="13"/>
      <c r="S215"/>
    </row>
    <row r="216" spans="17:19" x14ac:dyDescent="0.25">
      <c r="Q216" s="21"/>
      <c r="S216"/>
    </row>
    <row r="217" spans="17:19" x14ac:dyDescent="0.25">
      <c r="Q217" s="13"/>
      <c r="S217"/>
    </row>
    <row r="218" spans="17:19" x14ac:dyDescent="0.25">
      <c r="Q218" s="13"/>
      <c r="S218"/>
    </row>
    <row r="219" spans="17:19" x14ac:dyDescent="0.25">
      <c r="Q219" s="13"/>
      <c r="S219"/>
    </row>
    <row r="220" spans="17:19" x14ac:dyDescent="0.25">
      <c r="Q220" s="21"/>
      <c r="S220"/>
    </row>
    <row r="221" spans="17:19" x14ac:dyDescent="0.25">
      <c r="Q221" s="13"/>
      <c r="S221"/>
    </row>
    <row r="222" spans="17:19" x14ac:dyDescent="0.25">
      <c r="Q222" s="13"/>
      <c r="S222"/>
    </row>
    <row r="223" spans="17:19" x14ac:dyDescent="0.25">
      <c r="Q223" s="13"/>
      <c r="S223"/>
    </row>
    <row r="224" spans="17:19" x14ac:dyDescent="0.25">
      <c r="Q224" s="21"/>
      <c r="S224"/>
    </row>
    <row r="225" spans="17:19" x14ac:dyDescent="0.25">
      <c r="Q225" s="13"/>
      <c r="S225"/>
    </row>
    <row r="226" spans="17:19" x14ac:dyDescent="0.25">
      <c r="Q226" s="13"/>
      <c r="S226"/>
    </row>
    <row r="227" spans="17:19" x14ac:dyDescent="0.25">
      <c r="Q227" s="13"/>
      <c r="S227"/>
    </row>
    <row r="228" spans="17:19" x14ac:dyDescent="0.25">
      <c r="Q228" s="21"/>
      <c r="S228"/>
    </row>
    <row r="229" spans="17:19" x14ac:dyDescent="0.25">
      <c r="Q229" s="13"/>
      <c r="S229"/>
    </row>
    <row r="230" spans="17:19" x14ac:dyDescent="0.25">
      <c r="Q230" s="13"/>
      <c r="S230"/>
    </row>
    <row r="231" spans="17:19" x14ac:dyDescent="0.25">
      <c r="Q231" s="13"/>
      <c r="S231"/>
    </row>
    <row r="232" spans="17:19" x14ac:dyDescent="0.25">
      <c r="Q232" s="21"/>
      <c r="S232"/>
    </row>
    <row r="233" spans="17:19" x14ac:dyDescent="0.25">
      <c r="Q233" s="13"/>
      <c r="S233"/>
    </row>
    <row r="234" spans="17:19" x14ac:dyDescent="0.25">
      <c r="Q234" s="13"/>
      <c r="S234"/>
    </row>
    <row r="235" spans="17:19" x14ac:dyDescent="0.25">
      <c r="Q235" s="13"/>
      <c r="S235"/>
    </row>
    <row r="236" spans="17:19" x14ac:dyDescent="0.25">
      <c r="Q236" s="21"/>
      <c r="S236"/>
    </row>
    <row r="237" spans="17:19" x14ac:dyDescent="0.25">
      <c r="Q237" s="13"/>
      <c r="S237"/>
    </row>
    <row r="238" spans="17:19" x14ac:dyDescent="0.25">
      <c r="Q238" s="13"/>
      <c r="S238"/>
    </row>
    <row r="239" spans="17:19" x14ac:dyDescent="0.25">
      <c r="Q239" s="13"/>
      <c r="S239"/>
    </row>
    <row r="240" spans="17:19" x14ac:dyDescent="0.25">
      <c r="Q240" s="21"/>
      <c r="S240"/>
    </row>
    <row r="241" spans="17:19" x14ac:dyDescent="0.25">
      <c r="Q241" s="13"/>
      <c r="S241"/>
    </row>
    <row r="242" spans="17:19" x14ac:dyDescent="0.25">
      <c r="Q242" s="13"/>
      <c r="S242"/>
    </row>
    <row r="243" spans="17:19" x14ac:dyDescent="0.25">
      <c r="Q243" s="13"/>
      <c r="S243"/>
    </row>
    <row r="244" spans="17:19" x14ac:dyDescent="0.25">
      <c r="Q244" s="21"/>
      <c r="S244"/>
    </row>
    <row r="245" spans="17:19" x14ac:dyDescent="0.25">
      <c r="Q245" s="13"/>
      <c r="S245"/>
    </row>
    <row r="246" spans="17:19" x14ac:dyDescent="0.25">
      <c r="Q246" s="13"/>
      <c r="S246"/>
    </row>
    <row r="247" spans="17:19" x14ac:dyDescent="0.25">
      <c r="Q247" s="13"/>
      <c r="S247"/>
    </row>
    <row r="248" spans="17:19" x14ac:dyDescent="0.25">
      <c r="Q248" s="21"/>
      <c r="S248"/>
    </row>
    <row r="249" spans="17:19" x14ac:dyDescent="0.25">
      <c r="Q249" s="13"/>
      <c r="S249"/>
    </row>
    <row r="250" spans="17:19" x14ac:dyDescent="0.25">
      <c r="Q250" s="13"/>
      <c r="S250"/>
    </row>
    <row r="251" spans="17:19" x14ac:dyDescent="0.25">
      <c r="Q251" s="13"/>
      <c r="S251"/>
    </row>
    <row r="252" spans="17:19" x14ac:dyDescent="0.25">
      <c r="Q252" s="21"/>
      <c r="S252"/>
    </row>
    <row r="253" spans="17:19" x14ac:dyDescent="0.25">
      <c r="Q253" s="13"/>
      <c r="S253"/>
    </row>
    <row r="254" spans="17:19" x14ac:dyDescent="0.25">
      <c r="Q254" s="13"/>
      <c r="S254"/>
    </row>
    <row r="255" spans="17:19" x14ac:dyDescent="0.25">
      <c r="Q255" s="13"/>
      <c r="S255"/>
    </row>
    <row r="256" spans="17:19" x14ac:dyDescent="0.25">
      <c r="Q256" s="21"/>
      <c r="S256"/>
    </row>
    <row r="257" spans="17:19" x14ac:dyDescent="0.25">
      <c r="Q257" s="13"/>
      <c r="S257"/>
    </row>
    <row r="258" spans="17:19" x14ac:dyDescent="0.25">
      <c r="Q258" s="13"/>
      <c r="S258"/>
    </row>
    <row r="259" spans="17:19" x14ac:dyDescent="0.25">
      <c r="Q259" s="13"/>
      <c r="S259"/>
    </row>
    <row r="260" spans="17:19" x14ac:dyDescent="0.25">
      <c r="Q260" s="21"/>
      <c r="S260"/>
    </row>
    <row r="261" spans="17:19" x14ac:dyDescent="0.25">
      <c r="Q261" s="13"/>
      <c r="S261"/>
    </row>
    <row r="262" spans="17:19" x14ac:dyDescent="0.25">
      <c r="Q262" s="13"/>
      <c r="S262"/>
    </row>
    <row r="263" spans="17:19" x14ac:dyDescent="0.25">
      <c r="Q263" s="13"/>
      <c r="S263"/>
    </row>
    <row r="264" spans="17:19" x14ac:dyDescent="0.25">
      <c r="Q264" s="21"/>
      <c r="S264"/>
    </row>
    <row r="265" spans="17:19" x14ac:dyDescent="0.25">
      <c r="Q265" s="13"/>
      <c r="S265"/>
    </row>
    <row r="266" spans="17:19" x14ac:dyDescent="0.25">
      <c r="Q266" s="13"/>
      <c r="S266"/>
    </row>
    <row r="267" spans="17:19" x14ac:dyDescent="0.25">
      <c r="Q267" s="13"/>
      <c r="S267"/>
    </row>
    <row r="268" spans="17:19" x14ac:dyDescent="0.25">
      <c r="Q268" s="21"/>
      <c r="S268"/>
    </row>
    <row r="269" spans="17:19" x14ac:dyDescent="0.25">
      <c r="Q269" s="13"/>
      <c r="S269"/>
    </row>
    <row r="270" spans="17:19" x14ac:dyDescent="0.25">
      <c r="Q270" s="13"/>
      <c r="S270"/>
    </row>
    <row r="271" spans="17:19" x14ac:dyDescent="0.25">
      <c r="Q271" s="13"/>
      <c r="S271"/>
    </row>
    <row r="272" spans="17:19" x14ac:dyDescent="0.25">
      <c r="Q272" s="21"/>
      <c r="S272"/>
    </row>
    <row r="273" spans="17:19" x14ac:dyDescent="0.25">
      <c r="Q273" s="13"/>
      <c r="S273"/>
    </row>
    <row r="274" spans="17:19" x14ac:dyDescent="0.25">
      <c r="Q274" s="13"/>
      <c r="S274"/>
    </row>
    <row r="275" spans="17:19" x14ac:dyDescent="0.25">
      <c r="Q275" s="13"/>
      <c r="S275"/>
    </row>
    <row r="276" spans="17:19" x14ac:dyDescent="0.25">
      <c r="Q276" s="21"/>
      <c r="S276"/>
    </row>
    <row r="277" spans="17:19" x14ac:dyDescent="0.25">
      <c r="Q277" s="13"/>
      <c r="S277"/>
    </row>
    <row r="278" spans="17:19" x14ac:dyDescent="0.25">
      <c r="Q278" s="13"/>
      <c r="S278"/>
    </row>
    <row r="279" spans="17:19" x14ac:dyDescent="0.25">
      <c r="Q279" s="13"/>
      <c r="S279"/>
    </row>
    <row r="280" spans="17:19" x14ac:dyDescent="0.25">
      <c r="Q280" s="21"/>
      <c r="S280"/>
    </row>
    <row r="281" spans="17:19" x14ac:dyDescent="0.25">
      <c r="Q281" s="13"/>
      <c r="S281"/>
    </row>
    <row r="282" spans="17:19" x14ac:dyDescent="0.25">
      <c r="Q282" s="13"/>
      <c r="S282"/>
    </row>
    <row r="283" spans="17:19" x14ac:dyDescent="0.25">
      <c r="Q283" s="13"/>
      <c r="S283"/>
    </row>
    <row r="284" spans="17:19" x14ac:dyDescent="0.25">
      <c r="Q284" s="21"/>
      <c r="S284"/>
    </row>
    <row r="285" spans="17:19" x14ac:dyDescent="0.25">
      <c r="Q285" s="13"/>
      <c r="S285"/>
    </row>
    <row r="286" spans="17:19" x14ac:dyDescent="0.25">
      <c r="Q286" s="13"/>
      <c r="S286"/>
    </row>
    <row r="287" spans="17:19" x14ac:dyDescent="0.25">
      <c r="Q287" s="13"/>
      <c r="S287"/>
    </row>
    <row r="288" spans="17:19" x14ac:dyDescent="0.25">
      <c r="Q288" s="21"/>
      <c r="S288"/>
    </row>
    <row r="289" spans="17:19" x14ac:dyDescent="0.25">
      <c r="Q289" s="13"/>
      <c r="S289"/>
    </row>
    <row r="290" spans="17:19" x14ac:dyDescent="0.25">
      <c r="Q290" s="13"/>
      <c r="S290"/>
    </row>
    <row r="291" spans="17:19" x14ac:dyDescent="0.25">
      <c r="Q291" s="13"/>
      <c r="S291"/>
    </row>
    <row r="292" spans="17:19" x14ac:dyDescent="0.25">
      <c r="Q292" s="21"/>
      <c r="S292"/>
    </row>
    <row r="293" spans="17:19" x14ac:dyDescent="0.25">
      <c r="Q293" s="13"/>
      <c r="S293"/>
    </row>
    <row r="294" spans="17:19" x14ac:dyDescent="0.25">
      <c r="Q294" s="13"/>
      <c r="S294"/>
    </row>
    <row r="295" spans="17:19" x14ac:dyDescent="0.25">
      <c r="Q295" s="13"/>
      <c r="S295"/>
    </row>
    <row r="296" spans="17:19" x14ac:dyDescent="0.25">
      <c r="Q296" s="21"/>
      <c r="S296"/>
    </row>
    <row r="297" spans="17:19" x14ac:dyDescent="0.25">
      <c r="Q297" s="13"/>
      <c r="S297"/>
    </row>
    <row r="298" spans="17:19" x14ac:dyDescent="0.25">
      <c r="Q298" s="13"/>
      <c r="S298"/>
    </row>
    <row r="299" spans="17:19" x14ac:dyDescent="0.25">
      <c r="Q299" s="13"/>
      <c r="S299"/>
    </row>
    <row r="300" spans="17:19" x14ac:dyDescent="0.25">
      <c r="Q300" s="21"/>
      <c r="S300"/>
    </row>
    <row r="301" spans="17:19" x14ac:dyDescent="0.25">
      <c r="Q301" s="13"/>
      <c r="S301"/>
    </row>
    <row r="302" spans="17:19" x14ac:dyDescent="0.25">
      <c r="Q302" s="13"/>
      <c r="S302"/>
    </row>
    <row r="303" spans="17:19" x14ac:dyDescent="0.25">
      <c r="Q303" s="13"/>
      <c r="S303"/>
    </row>
    <row r="304" spans="17:19" x14ac:dyDescent="0.25">
      <c r="Q304" s="21"/>
      <c r="S304"/>
    </row>
    <row r="305" spans="17:19" x14ac:dyDescent="0.25">
      <c r="Q305" s="13"/>
      <c r="S305"/>
    </row>
    <row r="306" spans="17:19" x14ac:dyDescent="0.25">
      <c r="Q306" s="13"/>
      <c r="S306"/>
    </row>
    <row r="307" spans="17:19" x14ac:dyDescent="0.25">
      <c r="Q307" s="13"/>
      <c r="S307"/>
    </row>
    <row r="308" spans="17:19" x14ac:dyDescent="0.25">
      <c r="Q308" s="21"/>
      <c r="S308"/>
    </row>
    <row r="309" spans="17:19" x14ac:dyDescent="0.25">
      <c r="Q309" s="13"/>
      <c r="S309"/>
    </row>
    <row r="310" spans="17:19" x14ac:dyDescent="0.25">
      <c r="Q310" s="13"/>
      <c r="S310"/>
    </row>
    <row r="311" spans="17:19" x14ac:dyDescent="0.25">
      <c r="Q311" s="13"/>
      <c r="S311"/>
    </row>
    <row r="312" spans="17:19" x14ac:dyDescent="0.25">
      <c r="Q312" s="21"/>
      <c r="S312"/>
    </row>
    <row r="313" spans="17:19" x14ac:dyDescent="0.25">
      <c r="Q313" s="13"/>
      <c r="S313"/>
    </row>
    <row r="314" spans="17:19" x14ac:dyDescent="0.25">
      <c r="Q314" s="13"/>
      <c r="S314"/>
    </row>
    <row r="315" spans="17:19" x14ac:dyDescent="0.25">
      <c r="Q315" s="13"/>
      <c r="S315"/>
    </row>
    <row r="316" spans="17:19" x14ac:dyDescent="0.25">
      <c r="Q316" s="21"/>
      <c r="S316"/>
    </row>
    <row r="317" spans="17:19" x14ac:dyDescent="0.25">
      <c r="Q317" s="13"/>
      <c r="S317"/>
    </row>
    <row r="318" spans="17:19" x14ac:dyDescent="0.25">
      <c r="Q318" s="13"/>
      <c r="S318"/>
    </row>
    <row r="319" spans="17:19" x14ac:dyDescent="0.25">
      <c r="Q319" s="13"/>
      <c r="S319"/>
    </row>
    <row r="320" spans="17:19" x14ac:dyDescent="0.25">
      <c r="Q320" s="21"/>
      <c r="S320"/>
    </row>
    <row r="321" spans="17:19" x14ac:dyDescent="0.25">
      <c r="Q321" s="13"/>
      <c r="S321"/>
    </row>
    <row r="322" spans="17:19" x14ac:dyDescent="0.25">
      <c r="Q322" s="13"/>
      <c r="S322"/>
    </row>
    <row r="323" spans="17:19" x14ac:dyDescent="0.25">
      <c r="Q323" s="13"/>
      <c r="S323"/>
    </row>
    <row r="324" spans="17:19" x14ac:dyDescent="0.25">
      <c r="Q324" s="21"/>
      <c r="S324"/>
    </row>
    <row r="325" spans="17:19" x14ac:dyDescent="0.25">
      <c r="Q325" s="13"/>
      <c r="S325"/>
    </row>
    <row r="326" spans="17:19" x14ac:dyDescent="0.25">
      <c r="Q326" s="13"/>
      <c r="S326"/>
    </row>
    <row r="327" spans="17:19" x14ac:dyDescent="0.25">
      <c r="Q327" s="13"/>
      <c r="S327"/>
    </row>
    <row r="328" spans="17:19" x14ac:dyDescent="0.25">
      <c r="Q328" s="21"/>
      <c r="S328"/>
    </row>
    <row r="329" spans="17:19" x14ac:dyDescent="0.25">
      <c r="Q329" s="13"/>
      <c r="S329"/>
    </row>
    <row r="330" spans="17:19" x14ac:dyDescent="0.25">
      <c r="Q330" s="13"/>
      <c r="S330"/>
    </row>
    <row r="331" spans="17:19" x14ac:dyDescent="0.25">
      <c r="Q331" s="13"/>
      <c r="S331"/>
    </row>
    <row r="332" spans="17:19" x14ac:dyDescent="0.25">
      <c r="Q332" s="21"/>
      <c r="S332"/>
    </row>
    <row r="333" spans="17:19" x14ac:dyDescent="0.25">
      <c r="Q333" s="13"/>
      <c r="S333"/>
    </row>
    <row r="334" spans="17:19" x14ac:dyDescent="0.25">
      <c r="Q334" s="13"/>
      <c r="S334"/>
    </row>
    <row r="335" spans="17:19" x14ac:dyDescent="0.25">
      <c r="Q335" s="13"/>
      <c r="S335"/>
    </row>
    <row r="336" spans="17:19" x14ac:dyDescent="0.25">
      <c r="Q336" s="21"/>
      <c r="S336"/>
    </row>
    <row r="337" spans="17:19" x14ac:dyDescent="0.25">
      <c r="Q337" s="13"/>
      <c r="S337"/>
    </row>
    <row r="338" spans="17:19" x14ac:dyDescent="0.25">
      <c r="Q338" s="13"/>
      <c r="S338"/>
    </row>
    <row r="339" spans="17:19" x14ac:dyDescent="0.25">
      <c r="Q339" s="13"/>
      <c r="S339"/>
    </row>
    <row r="340" spans="17:19" x14ac:dyDescent="0.25">
      <c r="Q340" s="21"/>
      <c r="S340"/>
    </row>
    <row r="341" spans="17:19" x14ac:dyDescent="0.25">
      <c r="Q341" s="13"/>
      <c r="S341"/>
    </row>
    <row r="342" spans="17:19" x14ac:dyDescent="0.25">
      <c r="Q342" s="13"/>
      <c r="S342"/>
    </row>
    <row r="343" spans="17:19" x14ac:dyDescent="0.25">
      <c r="Q343" s="13"/>
      <c r="S343"/>
    </row>
    <row r="344" spans="17:19" x14ac:dyDescent="0.25">
      <c r="Q344" s="21"/>
      <c r="S344"/>
    </row>
    <row r="345" spans="17:19" x14ac:dyDescent="0.25">
      <c r="Q345" s="13"/>
      <c r="S345"/>
    </row>
    <row r="346" spans="17:19" x14ac:dyDescent="0.25">
      <c r="Q346" s="13"/>
      <c r="S346"/>
    </row>
    <row r="347" spans="17:19" x14ac:dyDescent="0.25">
      <c r="Q347" s="13"/>
      <c r="S347"/>
    </row>
    <row r="348" spans="17:19" x14ac:dyDescent="0.25">
      <c r="Q348" s="21"/>
      <c r="S348"/>
    </row>
    <row r="349" spans="17:19" x14ac:dyDescent="0.25">
      <c r="Q349" s="13"/>
      <c r="S349"/>
    </row>
    <row r="350" spans="17:19" x14ac:dyDescent="0.25">
      <c r="Q350" s="13"/>
      <c r="S350"/>
    </row>
    <row r="351" spans="17:19" x14ac:dyDescent="0.25">
      <c r="Q351" s="13"/>
      <c r="S351"/>
    </row>
    <row r="352" spans="17:19" x14ac:dyDescent="0.25">
      <c r="Q352" s="21"/>
      <c r="S352"/>
    </row>
    <row r="353" spans="17:19" x14ac:dyDescent="0.25">
      <c r="Q353" s="13"/>
      <c r="S353"/>
    </row>
    <row r="354" spans="17:19" x14ac:dyDescent="0.25">
      <c r="Q354" s="13"/>
      <c r="S354"/>
    </row>
    <row r="355" spans="17:19" x14ac:dyDescent="0.25">
      <c r="Q355" s="13"/>
      <c r="S355"/>
    </row>
    <row r="356" spans="17:19" x14ac:dyDescent="0.25">
      <c r="Q356" s="21"/>
      <c r="S356"/>
    </row>
    <row r="357" spans="17:19" x14ac:dyDescent="0.25">
      <c r="Q357" s="13"/>
      <c r="S357"/>
    </row>
    <row r="358" spans="17:19" x14ac:dyDescent="0.25">
      <c r="Q358" s="13"/>
      <c r="S358"/>
    </row>
    <row r="359" spans="17:19" x14ac:dyDescent="0.25">
      <c r="Q359" s="13"/>
      <c r="S359"/>
    </row>
    <row r="360" spans="17:19" x14ac:dyDescent="0.25">
      <c r="Q360" s="21"/>
      <c r="S360"/>
    </row>
    <row r="361" spans="17:19" x14ac:dyDescent="0.25">
      <c r="Q361" s="13"/>
      <c r="S361"/>
    </row>
    <row r="362" spans="17:19" x14ac:dyDescent="0.25">
      <c r="Q362" s="13"/>
      <c r="S362"/>
    </row>
    <row r="363" spans="17:19" x14ac:dyDescent="0.25">
      <c r="Q363" s="13"/>
      <c r="S363"/>
    </row>
    <row r="364" spans="17:19" x14ac:dyDescent="0.25">
      <c r="Q364" s="21"/>
      <c r="S364"/>
    </row>
    <row r="365" spans="17:19" x14ac:dyDescent="0.25">
      <c r="Q365" s="13"/>
      <c r="S365"/>
    </row>
    <row r="366" spans="17:19" x14ac:dyDescent="0.25">
      <c r="Q366" s="13"/>
      <c r="S366"/>
    </row>
    <row r="367" spans="17:19" x14ac:dyDescent="0.25">
      <c r="Q367" s="13"/>
      <c r="S367"/>
    </row>
    <row r="368" spans="17:19" x14ac:dyDescent="0.25">
      <c r="Q368" s="21"/>
      <c r="S368"/>
    </row>
    <row r="369" spans="17:19" x14ac:dyDescent="0.25">
      <c r="Q369" s="13"/>
      <c r="S369"/>
    </row>
    <row r="370" spans="17:19" x14ac:dyDescent="0.25">
      <c r="Q370" s="13"/>
      <c r="S370"/>
    </row>
    <row r="371" spans="17:19" x14ac:dyDescent="0.25">
      <c r="Q371" s="13"/>
      <c r="S371"/>
    </row>
    <row r="372" spans="17:19" x14ac:dyDescent="0.25">
      <c r="Q372" s="21"/>
      <c r="S372"/>
    </row>
    <row r="373" spans="17:19" x14ac:dyDescent="0.25">
      <c r="Q373" s="13"/>
      <c r="S373"/>
    </row>
    <row r="374" spans="17:19" x14ac:dyDescent="0.25">
      <c r="Q374" s="13"/>
      <c r="S374"/>
    </row>
    <row r="375" spans="17:19" x14ac:dyDescent="0.25">
      <c r="Q375" s="13"/>
      <c r="S375"/>
    </row>
    <row r="376" spans="17:19" x14ac:dyDescent="0.25">
      <c r="Q376" s="21"/>
      <c r="S376"/>
    </row>
    <row r="377" spans="17:19" x14ac:dyDescent="0.25">
      <c r="Q377" s="13"/>
      <c r="S377"/>
    </row>
    <row r="378" spans="17:19" x14ac:dyDescent="0.25">
      <c r="Q378" s="13"/>
      <c r="S378"/>
    </row>
    <row r="379" spans="17:19" x14ac:dyDescent="0.25">
      <c r="Q379" s="13"/>
      <c r="S379"/>
    </row>
    <row r="380" spans="17:19" x14ac:dyDescent="0.25">
      <c r="Q380" s="21"/>
      <c r="S380"/>
    </row>
    <row r="381" spans="17:19" x14ac:dyDescent="0.25">
      <c r="Q381" s="13"/>
      <c r="S381"/>
    </row>
    <row r="382" spans="17:19" x14ac:dyDescent="0.25">
      <c r="Q382" s="13"/>
      <c r="S382"/>
    </row>
    <row r="383" spans="17:19" x14ac:dyDescent="0.25">
      <c r="Q383" s="13"/>
      <c r="S383"/>
    </row>
    <row r="384" spans="17:19" x14ac:dyDescent="0.25">
      <c r="Q384" s="21"/>
      <c r="S384"/>
    </row>
    <row r="385" spans="17:19" x14ac:dyDescent="0.25">
      <c r="Q385" s="13"/>
      <c r="S385"/>
    </row>
    <row r="386" spans="17:19" x14ac:dyDescent="0.25">
      <c r="Q386" s="13"/>
      <c r="S386"/>
    </row>
    <row r="387" spans="17:19" x14ac:dyDescent="0.25">
      <c r="Q387" s="13"/>
      <c r="S387"/>
    </row>
    <row r="388" spans="17:19" x14ac:dyDescent="0.25">
      <c r="Q388" s="21"/>
      <c r="S388"/>
    </row>
    <row r="389" spans="17:19" x14ac:dyDescent="0.25">
      <c r="Q389" s="13"/>
      <c r="S389"/>
    </row>
    <row r="390" spans="17:19" x14ac:dyDescent="0.25">
      <c r="Q390" s="13"/>
      <c r="S390"/>
    </row>
    <row r="391" spans="17:19" x14ac:dyDescent="0.25">
      <c r="Q391" s="13"/>
      <c r="S391"/>
    </row>
    <row r="392" spans="17:19" x14ac:dyDescent="0.25">
      <c r="Q392" s="21"/>
      <c r="S392"/>
    </row>
    <row r="393" spans="17:19" x14ac:dyDescent="0.25">
      <c r="Q393" s="13"/>
      <c r="S393"/>
    </row>
    <row r="394" spans="17:19" x14ac:dyDescent="0.25">
      <c r="Q394" s="13"/>
      <c r="S394"/>
    </row>
    <row r="395" spans="17:19" x14ac:dyDescent="0.25">
      <c r="Q395" s="13"/>
      <c r="S395"/>
    </row>
    <row r="396" spans="17:19" x14ac:dyDescent="0.25">
      <c r="Q396" s="21"/>
      <c r="S396"/>
    </row>
    <row r="397" spans="17:19" x14ac:dyDescent="0.25">
      <c r="Q397" s="13"/>
      <c r="S397"/>
    </row>
    <row r="398" spans="17:19" x14ac:dyDescent="0.25">
      <c r="Q398" s="13"/>
      <c r="S398"/>
    </row>
    <row r="399" spans="17:19" x14ac:dyDescent="0.25">
      <c r="Q399" s="13"/>
      <c r="S399"/>
    </row>
    <row r="400" spans="17:19" x14ac:dyDescent="0.25">
      <c r="Q400" s="21"/>
      <c r="S400"/>
    </row>
    <row r="401" spans="17:19" x14ac:dyDescent="0.25">
      <c r="Q401" s="13"/>
      <c r="S401"/>
    </row>
    <row r="402" spans="17:19" x14ac:dyDescent="0.25">
      <c r="Q402" s="13"/>
      <c r="S402"/>
    </row>
    <row r="403" spans="17:19" x14ac:dyDescent="0.25">
      <c r="Q403" s="13"/>
      <c r="S403"/>
    </row>
    <row r="404" spans="17:19" x14ac:dyDescent="0.25">
      <c r="Q404" s="21"/>
      <c r="S404"/>
    </row>
    <row r="405" spans="17:19" x14ac:dyDescent="0.25">
      <c r="Q405" s="13"/>
      <c r="S405"/>
    </row>
    <row r="406" spans="17:19" x14ac:dyDescent="0.25">
      <c r="Q406" s="13"/>
      <c r="S406"/>
    </row>
    <row r="407" spans="17:19" x14ac:dyDescent="0.25">
      <c r="Q407" s="13"/>
      <c r="S407"/>
    </row>
    <row r="408" spans="17:19" x14ac:dyDescent="0.25">
      <c r="Q408" s="21"/>
      <c r="S408"/>
    </row>
    <row r="409" spans="17:19" x14ac:dyDescent="0.25">
      <c r="Q409" s="13"/>
      <c r="S409"/>
    </row>
    <row r="410" spans="17:19" x14ac:dyDescent="0.25">
      <c r="Q410" s="13"/>
      <c r="S410"/>
    </row>
    <row r="411" spans="17:19" x14ac:dyDescent="0.25">
      <c r="Q411" s="13"/>
      <c r="S411"/>
    </row>
    <row r="412" spans="17:19" x14ac:dyDescent="0.25">
      <c r="Q412" s="21"/>
      <c r="S412"/>
    </row>
    <row r="413" spans="17:19" x14ac:dyDescent="0.25">
      <c r="Q413" s="13"/>
      <c r="S413"/>
    </row>
    <row r="414" spans="17:19" x14ac:dyDescent="0.25">
      <c r="Q414" s="13"/>
      <c r="S414"/>
    </row>
    <row r="415" spans="17:19" x14ac:dyDescent="0.25">
      <c r="Q415" s="13"/>
      <c r="S415"/>
    </row>
    <row r="416" spans="17:19" x14ac:dyDescent="0.25">
      <c r="Q416" s="21"/>
      <c r="S416"/>
    </row>
    <row r="417" spans="17:19" x14ac:dyDescent="0.25">
      <c r="Q417" s="13"/>
      <c r="S417"/>
    </row>
    <row r="418" spans="17:19" x14ac:dyDescent="0.25">
      <c r="Q418" s="13"/>
      <c r="S418"/>
    </row>
    <row r="419" spans="17:19" x14ac:dyDescent="0.25">
      <c r="Q419" s="13"/>
      <c r="S419"/>
    </row>
    <row r="420" spans="17:19" x14ac:dyDescent="0.25">
      <c r="Q420" s="21"/>
      <c r="S420"/>
    </row>
    <row r="421" spans="17:19" x14ac:dyDescent="0.25">
      <c r="Q421" s="13"/>
      <c r="S421"/>
    </row>
    <row r="422" spans="17:19" x14ac:dyDescent="0.25">
      <c r="Q422" s="13"/>
      <c r="S422"/>
    </row>
    <row r="423" spans="17:19" x14ac:dyDescent="0.25">
      <c r="Q423" s="13"/>
      <c r="S423"/>
    </row>
    <row r="424" spans="17:19" x14ac:dyDescent="0.25">
      <c r="Q424" s="21"/>
      <c r="S424"/>
    </row>
    <row r="425" spans="17:19" x14ac:dyDescent="0.25">
      <c r="Q425" s="13"/>
      <c r="S425"/>
    </row>
    <row r="426" spans="17:19" x14ac:dyDescent="0.25">
      <c r="Q426" s="13"/>
      <c r="S426"/>
    </row>
    <row r="427" spans="17:19" x14ac:dyDescent="0.25">
      <c r="Q427" s="13"/>
      <c r="S427"/>
    </row>
    <row r="428" spans="17:19" x14ac:dyDescent="0.25">
      <c r="Q428" s="21"/>
      <c r="S428"/>
    </row>
    <row r="429" spans="17:19" x14ac:dyDescent="0.25">
      <c r="Q429" s="13"/>
      <c r="S429"/>
    </row>
    <row r="430" spans="17:19" x14ac:dyDescent="0.25">
      <c r="Q430" s="13"/>
      <c r="S430"/>
    </row>
    <row r="431" spans="17:19" x14ac:dyDescent="0.25">
      <c r="Q431" s="13"/>
      <c r="S431"/>
    </row>
    <row r="432" spans="17:19" x14ac:dyDescent="0.25">
      <c r="Q432" s="21"/>
      <c r="S432"/>
    </row>
    <row r="433" spans="17:19" x14ac:dyDescent="0.25">
      <c r="Q433" s="13"/>
      <c r="S433"/>
    </row>
    <row r="434" spans="17:19" x14ac:dyDescent="0.25">
      <c r="Q434" s="13"/>
      <c r="S434"/>
    </row>
    <row r="435" spans="17:19" x14ac:dyDescent="0.25">
      <c r="Q435" s="13"/>
      <c r="S435"/>
    </row>
    <row r="436" spans="17:19" x14ac:dyDescent="0.25">
      <c r="Q436" s="21"/>
      <c r="S436"/>
    </row>
    <row r="437" spans="17:19" x14ac:dyDescent="0.25">
      <c r="Q437" s="13"/>
      <c r="S437"/>
    </row>
    <row r="438" spans="17:19" x14ac:dyDescent="0.25">
      <c r="Q438" s="13"/>
      <c r="S438"/>
    </row>
    <row r="439" spans="17:19" x14ac:dyDescent="0.25">
      <c r="Q439" s="13"/>
      <c r="S439"/>
    </row>
    <row r="440" spans="17:19" x14ac:dyDescent="0.25">
      <c r="Q440" s="21"/>
      <c r="S440"/>
    </row>
    <row r="441" spans="17:19" x14ac:dyDescent="0.25">
      <c r="Q441" s="13"/>
      <c r="S441"/>
    </row>
    <row r="442" spans="17:19" x14ac:dyDescent="0.25">
      <c r="Q442" s="13"/>
      <c r="S442"/>
    </row>
    <row r="443" spans="17:19" x14ac:dyDescent="0.25">
      <c r="Q443" s="13"/>
      <c r="S443"/>
    </row>
    <row r="444" spans="17:19" x14ac:dyDescent="0.25">
      <c r="Q444" s="21"/>
      <c r="S444"/>
    </row>
    <row r="445" spans="17:19" x14ac:dyDescent="0.25">
      <c r="Q445" s="13"/>
      <c r="S445"/>
    </row>
    <row r="446" spans="17:19" x14ac:dyDescent="0.25">
      <c r="Q446" s="13"/>
      <c r="S446"/>
    </row>
    <row r="447" spans="17:19" x14ac:dyDescent="0.25">
      <c r="Q447" s="13"/>
      <c r="S447"/>
    </row>
    <row r="448" spans="17:19" x14ac:dyDescent="0.25">
      <c r="Q448" s="21"/>
      <c r="S448"/>
    </row>
    <row r="449" spans="17:19" x14ac:dyDescent="0.25">
      <c r="Q449" s="13"/>
      <c r="S449"/>
    </row>
    <row r="450" spans="17:19" x14ac:dyDescent="0.25">
      <c r="Q450" s="13"/>
      <c r="S450"/>
    </row>
    <row r="451" spans="17:19" x14ac:dyDescent="0.25">
      <c r="Q451" s="13"/>
      <c r="S451"/>
    </row>
    <row r="452" spans="17:19" x14ac:dyDescent="0.25">
      <c r="Q452" s="21"/>
      <c r="S452"/>
    </row>
    <row r="453" spans="17:19" x14ac:dyDescent="0.25">
      <c r="Q453" s="13"/>
      <c r="S453"/>
    </row>
    <row r="454" spans="17:19" x14ac:dyDescent="0.25">
      <c r="Q454" s="13"/>
      <c r="S454"/>
    </row>
    <row r="455" spans="17:19" x14ac:dyDescent="0.25">
      <c r="Q455" s="13"/>
      <c r="S455"/>
    </row>
    <row r="456" spans="17:19" x14ac:dyDescent="0.25">
      <c r="Q456" s="21"/>
      <c r="S456"/>
    </row>
    <row r="457" spans="17:19" x14ac:dyDescent="0.25">
      <c r="Q457" s="13"/>
      <c r="S457"/>
    </row>
    <row r="458" spans="17:19" x14ac:dyDescent="0.25">
      <c r="Q458" s="13"/>
      <c r="S458"/>
    </row>
    <row r="459" spans="17:19" x14ac:dyDescent="0.25">
      <c r="Q459" s="13"/>
      <c r="S459"/>
    </row>
    <row r="460" spans="17:19" x14ac:dyDescent="0.25">
      <c r="Q460" s="21"/>
      <c r="S460"/>
    </row>
    <row r="461" spans="17:19" x14ac:dyDescent="0.25">
      <c r="Q461" s="13"/>
      <c r="S461"/>
    </row>
    <row r="462" spans="17:19" x14ac:dyDescent="0.25">
      <c r="Q462" s="13"/>
      <c r="S462"/>
    </row>
    <row r="463" spans="17:19" x14ac:dyDescent="0.25">
      <c r="Q463" s="13"/>
      <c r="S463"/>
    </row>
    <row r="464" spans="17:19" x14ac:dyDescent="0.25">
      <c r="Q464" s="21"/>
      <c r="S464"/>
    </row>
    <row r="465" spans="17:19" x14ac:dyDescent="0.25">
      <c r="Q465" s="13"/>
      <c r="S465"/>
    </row>
    <row r="466" spans="17:19" x14ac:dyDescent="0.25">
      <c r="Q466" s="13"/>
      <c r="S466"/>
    </row>
    <row r="467" spans="17:19" x14ac:dyDescent="0.25">
      <c r="Q467" s="13"/>
      <c r="S467"/>
    </row>
    <row r="468" spans="17:19" x14ac:dyDescent="0.25">
      <c r="Q468" s="21"/>
      <c r="S468"/>
    </row>
    <row r="469" spans="17:19" x14ac:dyDescent="0.25">
      <c r="Q469" s="13"/>
      <c r="S469"/>
    </row>
    <row r="470" spans="17:19" x14ac:dyDescent="0.25">
      <c r="Q470" s="13"/>
      <c r="S470"/>
    </row>
    <row r="471" spans="17:19" x14ac:dyDescent="0.25">
      <c r="Q471" s="13"/>
      <c r="S471"/>
    </row>
    <row r="472" spans="17:19" x14ac:dyDescent="0.25">
      <c r="Q472" s="21"/>
      <c r="S472"/>
    </row>
    <row r="473" spans="17:19" x14ac:dyDescent="0.25">
      <c r="Q473" s="13"/>
      <c r="S473"/>
    </row>
    <row r="474" spans="17:19" x14ac:dyDescent="0.25">
      <c r="Q474" s="13"/>
      <c r="S474"/>
    </row>
    <row r="475" spans="17:19" x14ac:dyDescent="0.25">
      <c r="Q475" s="13"/>
      <c r="S475"/>
    </row>
    <row r="476" spans="17:19" x14ac:dyDescent="0.25">
      <c r="Q476" s="21"/>
      <c r="S476"/>
    </row>
    <row r="477" spans="17:19" x14ac:dyDescent="0.25">
      <c r="Q477" s="13"/>
      <c r="S477"/>
    </row>
    <row r="478" spans="17:19" x14ac:dyDescent="0.25">
      <c r="Q478" s="13"/>
      <c r="S478"/>
    </row>
    <row r="479" spans="17:19" x14ac:dyDescent="0.25">
      <c r="Q479" s="13"/>
      <c r="S479"/>
    </row>
    <row r="480" spans="17:19" x14ac:dyDescent="0.25">
      <c r="Q480" s="21"/>
      <c r="S480"/>
    </row>
    <row r="481" spans="17:19" x14ac:dyDescent="0.25">
      <c r="Q481" s="13"/>
      <c r="S481"/>
    </row>
    <row r="482" spans="17:19" x14ac:dyDescent="0.25">
      <c r="Q482" s="13"/>
      <c r="S482"/>
    </row>
    <row r="483" spans="17:19" x14ac:dyDescent="0.25">
      <c r="Q483" s="13"/>
      <c r="S483"/>
    </row>
    <row r="484" spans="17:19" x14ac:dyDescent="0.25">
      <c r="Q484" s="21"/>
      <c r="S484"/>
    </row>
    <row r="485" spans="17:19" x14ac:dyDescent="0.25">
      <c r="Q485" s="13"/>
      <c r="S485"/>
    </row>
    <row r="486" spans="17:19" x14ac:dyDescent="0.25">
      <c r="Q486" s="13"/>
      <c r="S486"/>
    </row>
    <row r="487" spans="17:19" x14ac:dyDescent="0.25">
      <c r="Q487" s="13"/>
      <c r="S487"/>
    </row>
    <row r="488" spans="17:19" x14ac:dyDescent="0.25">
      <c r="Q488" s="21"/>
      <c r="S488"/>
    </row>
    <row r="489" spans="17:19" x14ac:dyDescent="0.25">
      <c r="Q489" s="13"/>
      <c r="S489"/>
    </row>
    <row r="490" spans="17:19" x14ac:dyDescent="0.25">
      <c r="Q490" s="13"/>
    </row>
    <row r="491" spans="17:19" x14ac:dyDescent="0.25">
      <c r="Q491" s="13"/>
    </row>
    <row r="492" spans="17:19" x14ac:dyDescent="0.25">
      <c r="Q492" s="21"/>
    </row>
    <row r="493" spans="17:19" x14ac:dyDescent="0.25">
      <c r="Q493" s="13"/>
    </row>
    <row r="494" spans="17:19" x14ac:dyDescent="0.25">
      <c r="Q494" s="13"/>
    </row>
    <row r="495" spans="17:19" x14ac:dyDescent="0.25">
      <c r="Q495" s="13"/>
    </row>
    <row r="496" spans="17:19" x14ac:dyDescent="0.25">
      <c r="Q496" s="21"/>
    </row>
    <row r="497" spans="17:17" x14ac:dyDescent="0.25">
      <c r="Q497" s="13"/>
    </row>
    <row r="498" spans="17:17" x14ac:dyDescent="0.25">
      <c r="Q498" s="13"/>
    </row>
    <row r="499" spans="17:17" x14ac:dyDescent="0.25">
      <c r="Q499" s="13"/>
    </row>
    <row r="500" spans="17:17" x14ac:dyDescent="0.25">
      <c r="Q500" s="21"/>
    </row>
    <row r="501" spans="17:17" x14ac:dyDescent="0.25">
      <c r="Q501" s="13"/>
    </row>
    <row r="502" spans="17:17" x14ac:dyDescent="0.25">
      <c r="Q502" s="13"/>
    </row>
    <row r="503" spans="17:17" x14ac:dyDescent="0.25">
      <c r="Q503" s="13"/>
    </row>
    <row r="504" spans="17:17" x14ac:dyDescent="0.25">
      <c r="Q504" s="21"/>
    </row>
    <row r="505" spans="17:17" x14ac:dyDescent="0.25">
      <c r="Q505" s="13"/>
    </row>
    <row r="506" spans="17:17" x14ac:dyDescent="0.25">
      <c r="Q506" s="13"/>
    </row>
    <row r="507" spans="17:17" x14ac:dyDescent="0.25">
      <c r="Q507" s="13"/>
    </row>
    <row r="508" spans="17:17" x14ac:dyDescent="0.25">
      <c r="Q508" s="21"/>
    </row>
    <row r="509" spans="17:17" x14ac:dyDescent="0.25">
      <c r="Q509" s="13"/>
    </row>
    <row r="510" spans="17:17" x14ac:dyDescent="0.25">
      <c r="Q510" s="13"/>
    </row>
    <row r="511" spans="17:17" x14ac:dyDescent="0.25">
      <c r="Q511" s="13"/>
    </row>
    <row r="512" spans="17:17" x14ac:dyDescent="0.25">
      <c r="Q512" s="21"/>
    </row>
    <row r="513" spans="17:17" x14ac:dyDescent="0.25">
      <c r="Q513" s="13"/>
    </row>
    <row r="514" spans="17:17" x14ac:dyDescent="0.25">
      <c r="Q514" s="13"/>
    </row>
    <row r="515" spans="17:17" x14ac:dyDescent="0.25">
      <c r="Q515" s="13"/>
    </row>
    <row r="516" spans="17:17" x14ac:dyDescent="0.25">
      <c r="Q516" s="21"/>
    </row>
    <row r="517" spans="17:17" x14ac:dyDescent="0.25">
      <c r="Q517" s="13"/>
    </row>
    <row r="518" spans="17:17" x14ac:dyDescent="0.25">
      <c r="Q518" s="13"/>
    </row>
    <row r="519" spans="17:17" x14ac:dyDescent="0.25">
      <c r="Q519" s="13"/>
    </row>
    <row r="520" spans="17:17" x14ac:dyDescent="0.25">
      <c r="Q520" s="21"/>
    </row>
    <row r="521" spans="17:17" x14ac:dyDescent="0.25">
      <c r="Q521" s="13"/>
    </row>
    <row r="522" spans="17:17" x14ac:dyDescent="0.25">
      <c r="Q522" s="13"/>
    </row>
    <row r="523" spans="17:17" x14ac:dyDescent="0.25">
      <c r="Q523" s="13"/>
    </row>
    <row r="524" spans="17:17" x14ac:dyDescent="0.25">
      <c r="Q524" s="21"/>
    </row>
    <row r="525" spans="17:17" x14ac:dyDescent="0.25">
      <c r="Q525" s="13"/>
    </row>
    <row r="526" spans="17:17" x14ac:dyDescent="0.25">
      <c r="Q526" s="13"/>
    </row>
    <row r="527" spans="17:17" x14ac:dyDescent="0.25">
      <c r="Q527" s="13"/>
    </row>
    <row r="528" spans="17:17" x14ac:dyDescent="0.25">
      <c r="Q528" s="21"/>
    </row>
    <row r="529" spans="17:17" x14ac:dyDescent="0.25">
      <c r="Q529" s="13"/>
    </row>
    <row r="530" spans="17:17" x14ac:dyDescent="0.25">
      <c r="Q530" s="13"/>
    </row>
    <row r="531" spans="17:17" x14ac:dyDescent="0.25">
      <c r="Q531" s="13"/>
    </row>
    <row r="532" spans="17:17" x14ac:dyDescent="0.25">
      <c r="Q532" s="21"/>
    </row>
    <row r="533" spans="17:17" x14ac:dyDescent="0.25">
      <c r="Q533" s="13"/>
    </row>
    <row r="534" spans="17:17" x14ac:dyDescent="0.25">
      <c r="Q534" s="13"/>
    </row>
    <row r="535" spans="17:17" x14ac:dyDescent="0.25">
      <c r="Q535" s="13"/>
    </row>
    <row r="536" spans="17:17" x14ac:dyDescent="0.25">
      <c r="Q536" s="21"/>
    </row>
    <row r="537" spans="17:17" x14ac:dyDescent="0.25">
      <c r="Q537" s="13"/>
    </row>
    <row r="538" spans="17:17" x14ac:dyDescent="0.25">
      <c r="Q538" s="13"/>
    </row>
    <row r="539" spans="17:17" x14ac:dyDescent="0.25">
      <c r="Q539" s="13"/>
    </row>
    <row r="540" spans="17:17" x14ac:dyDescent="0.25">
      <c r="Q540" s="21"/>
    </row>
    <row r="541" spans="17:17" x14ac:dyDescent="0.25">
      <c r="Q541" s="13"/>
    </row>
    <row r="542" spans="17:17" x14ac:dyDescent="0.25">
      <c r="Q542" s="13"/>
    </row>
    <row r="543" spans="17:17" x14ac:dyDescent="0.25">
      <c r="Q543" s="13"/>
    </row>
    <row r="544" spans="17:17" x14ac:dyDescent="0.25">
      <c r="Q544" s="21"/>
    </row>
    <row r="545" spans="17:17" x14ac:dyDescent="0.25">
      <c r="Q545" s="13"/>
    </row>
    <row r="546" spans="17:17" x14ac:dyDescent="0.25">
      <c r="Q546" s="13"/>
    </row>
    <row r="547" spans="17:17" x14ac:dyDescent="0.25">
      <c r="Q547" s="13"/>
    </row>
    <row r="548" spans="17:17" x14ac:dyDescent="0.25">
      <c r="Q548" s="21"/>
    </row>
    <row r="549" spans="17:17" x14ac:dyDescent="0.25">
      <c r="Q549" s="13"/>
    </row>
    <row r="550" spans="17:17" x14ac:dyDescent="0.25">
      <c r="Q550" s="13"/>
    </row>
    <row r="551" spans="17:17" x14ac:dyDescent="0.25">
      <c r="Q551" s="13"/>
    </row>
    <row r="552" spans="17:17" x14ac:dyDescent="0.25">
      <c r="Q552" s="21"/>
    </row>
    <row r="553" spans="17:17" x14ac:dyDescent="0.25">
      <c r="Q553" s="13"/>
    </row>
    <row r="554" spans="17:17" x14ac:dyDescent="0.25">
      <c r="Q554" s="13"/>
    </row>
    <row r="555" spans="17:17" x14ac:dyDescent="0.25">
      <c r="Q555" s="13"/>
    </row>
    <row r="556" spans="17:17" x14ac:dyDescent="0.25">
      <c r="Q556" s="21"/>
    </row>
    <row r="557" spans="17:17" x14ac:dyDescent="0.25">
      <c r="Q557" s="13"/>
    </row>
    <row r="558" spans="17:17" x14ac:dyDescent="0.25">
      <c r="Q558" s="13"/>
    </row>
    <row r="559" spans="17:17" x14ac:dyDescent="0.25">
      <c r="Q559" s="13"/>
    </row>
    <row r="560" spans="17:17" x14ac:dyDescent="0.25">
      <c r="Q560" s="21"/>
    </row>
    <row r="561" spans="17:17" x14ac:dyDescent="0.25">
      <c r="Q561" s="13"/>
    </row>
    <row r="562" spans="17:17" x14ac:dyDescent="0.25">
      <c r="Q562" s="13"/>
    </row>
    <row r="563" spans="17:17" x14ac:dyDescent="0.25">
      <c r="Q563" s="13"/>
    </row>
    <row r="564" spans="17:17" x14ac:dyDescent="0.25">
      <c r="Q564" s="21"/>
    </row>
    <row r="565" spans="17:17" x14ac:dyDescent="0.25">
      <c r="Q565" s="13"/>
    </row>
    <row r="566" spans="17:17" x14ac:dyDescent="0.25">
      <c r="Q566" s="13"/>
    </row>
    <row r="567" spans="17:17" x14ac:dyDescent="0.25">
      <c r="Q567" s="13"/>
    </row>
    <row r="568" spans="17:17" x14ac:dyDescent="0.25">
      <c r="Q568" s="21"/>
    </row>
    <row r="569" spans="17:17" x14ac:dyDescent="0.25">
      <c r="Q569" s="13"/>
    </row>
    <row r="570" spans="17:17" x14ac:dyDescent="0.25">
      <c r="Q570" s="13"/>
    </row>
    <row r="571" spans="17:17" x14ac:dyDescent="0.25">
      <c r="Q571" s="13"/>
    </row>
    <row r="572" spans="17:17" x14ac:dyDescent="0.25">
      <c r="Q572" s="21"/>
    </row>
    <row r="573" spans="17:17" x14ac:dyDescent="0.25">
      <c r="Q573" s="13"/>
    </row>
    <row r="574" spans="17:17" x14ac:dyDescent="0.25">
      <c r="Q574" s="13"/>
    </row>
    <row r="575" spans="17:17" x14ac:dyDescent="0.25">
      <c r="Q575" s="13"/>
    </row>
    <row r="576" spans="17:17" x14ac:dyDescent="0.25">
      <c r="Q576" s="21"/>
    </row>
    <row r="577" spans="17:17" x14ac:dyDescent="0.25">
      <c r="Q577" s="13"/>
    </row>
    <row r="578" spans="17:17" x14ac:dyDescent="0.25">
      <c r="Q578" s="13"/>
    </row>
    <row r="579" spans="17:17" x14ac:dyDescent="0.25">
      <c r="Q579" s="13"/>
    </row>
    <row r="580" spans="17:17" x14ac:dyDescent="0.25">
      <c r="Q580" s="21"/>
    </row>
    <row r="581" spans="17:17" x14ac:dyDescent="0.25">
      <c r="Q581" s="13"/>
    </row>
    <row r="582" spans="17:17" x14ac:dyDescent="0.25">
      <c r="Q582" s="13"/>
    </row>
    <row r="583" spans="17:17" x14ac:dyDescent="0.25">
      <c r="Q583" s="13"/>
    </row>
    <row r="584" spans="17:17" x14ac:dyDescent="0.25">
      <c r="Q584" s="21"/>
    </row>
    <row r="585" spans="17:17" x14ac:dyDescent="0.25">
      <c r="Q585" s="13"/>
    </row>
    <row r="586" spans="17:17" x14ac:dyDescent="0.25">
      <c r="Q586" s="13"/>
    </row>
    <row r="587" spans="17:17" x14ac:dyDescent="0.25">
      <c r="Q587" s="13"/>
    </row>
    <row r="588" spans="17:17" x14ac:dyDescent="0.25">
      <c r="Q588" s="21"/>
    </row>
    <row r="589" spans="17:17" x14ac:dyDescent="0.25">
      <c r="Q589" s="13"/>
    </row>
    <row r="590" spans="17:17" x14ac:dyDescent="0.25">
      <c r="Q590" s="13"/>
    </row>
    <row r="591" spans="17:17" x14ac:dyDescent="0.25">
      <c r="Q591" s="13"/>
    </row>
    <row r="592" spans="17:17" x14ac:dyDescent="0.25">
      <c r="Q592" s="21"/>
    </row>
    <row r="593" spans="17:17" x14ac:dyDescent="0.25">
      <c r="Q593" s="13"/>
    </row>
    <row r="594" spans="17:17" x14ac:dyDescent="0.25">
      <c r="Q594" s="13"/>
    </row>
    <row r="595" spans="17:17" x14ac:dyDescent="0.25">
      <c r="Q595" s="13"/>
    </row>
    <row r="596" spans="17:17" x14ac:dyDescent="0.25">
      <c r="Q596" s="21"/>
    </row>
    <row r="597" spans="17:17" x14ac:dyDescent="0.25">
      <c r="Q597" s="13"/>
    </row>
    <row r="598" spans="17:17" x14ac:dyDescent="0.25">
      <c r="Q598" s="13"/>
    </row>
    <row r="599" spans="17:17" x14ac:dyDescent="0.25">
      <c r="Q599" s="13"/>
    </row>
    <row r="600" spans="17:17" x14ac:dyDescent="0.25">
      <c r="Q600" s="21"/>
    </row>
    <row r="601" spans="17:17" x14ac:dyDescent="0.25">
      <c r="Q601" s="13"/>
    </row>
    <row r="602" spans="17:17" x14ac:dyDescent="0.25">
      <c r="Q602" s="13"/>
    </row>
    <row r="603" spans="17:17" x14ac:dyDescent="0.25">
      <c r="Q603" s="13"/>
    </row>
    <row r="604" spans="17:17" x14ac:dyDescent="0.25">
      <c r="Q604" s="21"/>
    </row>
    <row r="605" spans="17:17" x14ac:dyDescent="0.25">
      <c r="Q605" s="13"/>
    </row>
    <row r="606" spans="17:17" x14ac:dyDescent="0.25">
      <c r="Q606" s="13"/>
    </row>
    <row r="607" spans="17:17" x14ac:dyDescent="0.25">
      <c r="Q607" s="13"/>
    </row>
    <row r="608" spans="17:17" x14ac:dyDescent="0.25">
      <c r="Q608" s="21"/>
    </row>
    <row r="609" spans="17:17" x14ac:dyDescent="0.25">
      <c r="Q609" s="13"/>
    </row>
    <row r="610" spans="17:17" x14ac:dyDescent="0.25">
      <c r="Q610" s="13"/>
    </row>
    <row r="611" spans="17:17" x14ac:dyDescent="0.25">
      <c r="Q611" s="13"/>
    </row>
    <row r="612" spans="17:17" x14ac:dyDescent="0.25">
      <c r="Q612" s="21"/>
    </row>
    <row r="613" spans="17:17" x14ac:dyDescent="0.25">
      <c r="Q613" s="13"/>
    </row>
    <row r="614" spans="17:17" x14ac:dyDescent="0.25">
      <c r="Q614" s="13"/>
    </row>
    <row r="615" spans="17:17" x14ac:dyDescent="0.25">
      <c r="Q615" s="13"/>
    </row>
    <row r="616" spans="17:17" x14ac:dyDescent="0.25">
      <c r="Q616" s="21"/>
    </row>
    <row r="617" spans="17:17" x14ac:dyDescent="0.25">
      <c r="Q617" s="13"/>
    </row>
    <row r="618" spans="17:17" x14ac:dyDescent="0.25">
      <c r="Q618" s="13"/>
    </row>
    <row r="619" spans="17:17" x14ac:dyDescent="0.25">
      <c r="Q619" s="13"/>
    </row>
    <row r="620" spans="17:17" x14ac:dyDescent="0.25">
      <c r="Q620" s="21"/>
    </row>
    <row r="621" spans="17:17" x14ac:dyDescent="0.25">
      <c r="Q621" s="13"/>
    </row>
    <row r="622" spans="17:17" x14ac:dyDescent="0.25">
      <c r="Q622" s="13"/>
    </row>
    <row r="623" spans="17:17" x14ac:dyDescent="0.25">
      <c r="Q623" s="13"/>
    </row>
    <row r="624" spans="17:17" x14ac:dyDescent="0.25">
      <c r="Q624" s="21"/>
    </row>
    <row r="625" spans="17:17" x14ac:dyDescent="0.25">
      <c r="Q625" s="13"/>
    </row>
    <row r="626" spans="17:17" x14ac:dyDescent="0.25">
      <c r="Q626" s="13"/>
    </row>
    <row r="627" spans="17:17" x14ac:dyDescent="0.25">
      <c r="Q627" s="13"/>
    </row>
    <row r="628" spans="17:17" x14ac:dyDescent="0.25">
      <c r="Q628" s="21"/>
    </row>
    <row r="629" spans="17:17" x14ac:dyDescent="0.25">
      <c r="Q629" s="13"/>
    </row>
    <row r="630" spans="17:17" x14ac:dyDescent="0.25">
      <c r="Q630" s="13"/>
    </row>
    <row r="631" spans="17:17" x14ac:dyDescent="0.25">
      <c r="Q631" s="13"/>
    </row>
    <row r="632" spans="17:17" x14ac:dyDescent="0.25">
      <c r="Q632" s="21"/>
    </row>
    <row r="633" spans="17:17" x14ac:dyDescent="0.25">
      <c r="Q633" s="13"/>
    </row>
    <row r="634" spans="17:17" x14ac:dyDescent="0.25">
      <c r="Q634" s="13"/>
    </row>
    <row r="635" spans="17:17" x14ac:dyDescent="0.25">
      <c r="Q635" s="13"/>
    </row>
    <row r="636" spans="17:17" x14ac:dyDescent="0.25">
      <c r="Q636" s="21"/>
    </row>
    <row r="637" spans="17:17" x14ac:dyDescent="0.25">
      <c r="Q637" s="13"/>
    </row>
    <row r="638" spans="17:17" x14ac:dyDescent="0.25">
      <c r="Q638" s="13"/>
    </row>
    <row r="639" spans="17:17" x14ac:dyDescent="0.25">
      <c r="Q639" s="13"/>
    </row>
    <row r="640" spans="17:17" x14ac:dyDescent="0.25">
      <c r="Q640" s="21"/>
    </row>
    <row r="641" spans="17:17" x14ac:dyDescent="0.25">
      <c r="Q641" s="13"/>
    </row>
    <row r="642" spans="17:17" x14ac:dyDescent="0.25">
      <c r="Q642" s="13"/>
    </row>
    <row r="643" spans="17:17" x14ac:dyDescent="0.25">
      <c r="Q643" s="13"/>
    </row>
    <row r="644" spans="17:17" x14ac:dyDescent="0.25">
      <c r="Q644" s="21"/>
    </row>
    <row r="645" spans="17:17" x14ac:dyDescent="0.25">
      <c r="Q645" s="13"/>
    </row>
    <row r="646" spans="17:17" x14ac:dyDescent="0.25">
      <c r="Q646" s="13"/>
    </row>
    <row r="647" spans="17:17" x14ac:dyDescent="0.25">
      <c r="Q647" s="13"/>
    </row>
    <row r="648" spans="17:17" x14ac:dyDescent="0.25">
      <c r="Q648" s="21"/>
    </row>
    <row r="649" spans="17:17" x14ac:dyDescent="0.25">
      <c r="Q649" s="13"/>
    </row>
    <row r="650" spans="17:17" x14ac:dyDescent="0.25">
      <c r="Q650" s="13"/>
    </row>
    <row r="651" spans="17:17" x14ac:dyDescent="0.25">
      <c r="Q651" s="13"/>
    </row>
    <row r="652" spans="17:17" x14ac:dyDescent="0.25">
      <c r="Q652" s="21"/>
    </row>
    <row r="653" spans="17:17" x14ac:dyDescent="0.25">
      <c r="Q653" s="13"/>
    </row>
    <row r="654" spans="17:17" x14ac:dyDescent="0.25">
      <c r="Q654" s="13"/>
    </row>
    <row r="655" spans="17:17" x14ac:dyDescent="0.25">
      <c r="Q655" s="13"/>
    </row>
    <row r="656" spans="17:17" x14ac:dyDescent="0.25">
      <c r="Q656" s="21"/>
    </row>
    <row r="657" spans="17:17" x14ac:dyDescent="0.25">
      <c r="Q657" s="13"/>
    </row>
    <row r="658" spans="17:17" x14ac:dyDescent="0.25">
      <c r="Q658" s="13"/>
    </row>
    <row r="659" spans="17:17" x14ac:dyDescent="0.25">
      <c r="Q659" s="13"/>
    </row>
    <row r="660" spans="17:17" x14ac:dyDescent="0.25">
      <c r="Q660" s="21"/>
    </row>
    <row r="661" spans="17:17" x14ac:dyDescent="0.25">
      <c r="Q661" s="13"/>
    </row>
    <row r="662" spans="17:17" x14ac:dyDescent="0.25">
      <c r="Q662" s="13"/>
    </row>
    <row r="663" spans="17:17" x14ac:dyDescent="0.25">
      <c r="Q663" s="13"/>
    </row>
    <row r="664" spans="17:17" x14ac:dyDescent="0.25">
      <c r="Q664" s="21"/>
    </row>
    <row r="665" spans="17:17" x14ac:dyDescent="0.25">
      <c r="Q665" s="13"/>
    </row>
    <row r="666" spans="17:17" x14ac:dyDescent="0.25">
      <c r="Q666" s="13"/>
    </row>
    <row r="667" spans="17:17" x14ac:dyDescent="0.25">
      <c r="Q667" s="13"/>
    </row>
    <row r="668" spans="17:17" x14ac:dyDescent="0.25">
      <c r="Q668" s="21"/>
    </row>
    <row r="669" spans="17:17" x14ac:dyDescent="0.25">
      <c r="Q669" s="13"/>
    </row>
    <row r="670" spans="17:17" x14ac:dyDescent="0.25">
      <c r="Q670" s="13"/>
    </row>
    <row r="671" spans="17:17" x14ac:dyDescent="0.25">
      <c r="Q671" s="13"/>
    </row>
    <row r="672" spans="17:17" x14ac:dyDescent="0.25">
      <c r="Q672" s="21"/>
    </row>
    <row r="673" spans="17:17" x14ac:dyDescent="0.25">
      <c r="Q673" s="13"/>
    </row>
    <row r="674" spans="17:17" x14ac:dyDescent="0.25">
      <c r="Q674" s="13"/>
    </row>
    <row r="675" spans="17:17" x14ac:dyDescent="0.25">
      <c r="Q675" s="13"/>
    </row>
    <row r="676" spans="17:17" x14ac:dyDescent="0.25">
      <c r="Q676" s="21"/>
    </row>
    <row r="677" spans="17:17" x14ac:dyDescent="0.25">
      <c r="Q677" s="13"/>
    </row>
    <row r="678" spans="17:17" x14ac:dyDescent="0.25">
      <c r="Q678" s="13"/>
    </row>
    <row r="679" spans="17:17" x14ac:dyDescent="0.25">
      <c r="Q679" s="13"/>
    </row>
    <row r="680" spans="17:17" x14ac:dyDescent="0.25">
      <c r="Q680" s="21"/>
    </row>
    <row r="681" spans="17:17" x14ac:dyDescent="0.25">
      <c r="Q681" s="13"/>
    </row>
    <row r="682" spans="17:17" x14ac:dyDescent="0.25">
      <c r="Q682" s="13"/>
    </row>
    <row r="683" spans="17:17" x14ac:dyDescent="0.25">
      <c r="Q683" s="13"/>
    </row>
    <row r="684" spans="17:17" x14ac:dyDescent="0.25">
      <c r="Q684" s="21"/>
    </row>
    <row r="685" spans="17:17" x14ac:dyDescent="0.25">
      <c r="Q685" s="13"/>
    </row>
    <row r="686" spans="17:17" x14ac:dyDescent="0.25">
      <c r="Q686" s="13"/>
    </row>
    <row r="687" spans="17:17" x14ac:dyDescent="0.25">
      <c r="Q687" s="13"/>
    </row>
    <row r="688" spans="17:17" x14ac:dyDescent="0.25">
      <c r="Q688" s="21"/>
    </row>
    <row r="689" spans="17:17" x14ac:dyDescent="0.25">
      <c r="Q689" s="13"/>
    </row>
    <row r="690" spans="17:17" x14ac:dyDescent="0.25">
      <c r="Q690" s="13"/>
    </row>
    <row r="691" spans="17:17" x14ac:dyDescent="0.25">
      <c r="Q691" s="13"/>
    </row>
    <row r="692" spans="17:17" x14ac:dyDescent="0.25">
      <c r="Q692" s="21"/>
    </row>
    <row r="693" spans="17:17" x14ac:dyDescent="0.25">
      <c r="Q693" s="13"/>
    </row>
    <row r="694" spans="17:17" x14ac:dyDescent="0.25">
      <c r="Q694" s="13"/>
    </row>
    <row r="695" spans="17:17" x14ac:dyDescent="0.25">
      <c r="Q695" s="13"/>
    </row>
    <row r="696" spans="17:17" x14ac:dyDescent="0.25">
      <c r="Q696" s="21"/>
    </row>
    <row r="697" spans="17:17" x14ac:dyDescent="0.25">
      <c r="Q697" s="13"/>
    </row>
    <row r="698" spans="17:17" x14ac:dyDescent="0.25">
      <c r="Q698" s="13"/>
    </row>
    <row r="699" spans="17:17" x14ac:dyDescent="0.25">
      <c r="Q699" s="13"/>
    </row>
    <row r="700" spans="17:17" x14ac:dyDescent="0.25">
      <c r="Q700" s="21"/>
    </row>
    <row r="701" spans="17:17" x14ac:dyDescent="0.25">
      <c r="Q701" s="13"/>
    </row>
    <row r="702" spans="17:17" x14ac:dyDescent="0.25">
      <c r="Q702" s="13"/>
    </row>
    <row r="703" spans="17:17" x14ac:dyDescent="0.25">
      <c r="Q703" s="13"/>
    </row>
    <row r="704" spans="17:17" x14ac:dyDescent="0.25">
      <c r="Q704" s="21"/>
    </row>
    <row r="705" spans="17:17" x14ac:dyDescent="0.25">
      <c r="Q705" s="13"/>
    </row>
    <row r="706" spans="17:17" x14ac:dyDescent="0.25">
      <c r="Q706" s="13"/>
    </row>
    <row r="707" spans="17:17" x14ac:dyDescent="0.25">
      <c r="Q707" s="13"/>
    </row>
    <row r="708" spans="17:17" x14ac:dyDescent="0.25">
      <c r="Q708" s="21"/>
    </row>
    <row r="709" spans="17:17" x14ac:dyDescent="0.25">
      <c r="Q709" s="13"/>
    </row>
    <row r="710" spans="17:17" x14ac:dyDescent="0.25">
      <c r="Q710" s="13"/>
    </row>
    <row r="711" spans="17:17" x14ac:dyDescent="0.25">
      <c r="Q711" s="13"/>
    </row>
    <row r="712" spans="17:17" x14ac:dyDescent="0.25">
      <c r="Q712" s="21"/>
    </row>
    <row r="713" spans="17:17" x14ac:dyDescent="0.25">
      <c r="Q713" s="13"/>
    </row>
    <row r="714" spans="17:17" x14ac:dyDescent="0.25">
      <c r="Q714" s="13"/>
    </row>
    <row r="715" spans="17:17" x14ac:dyDescent="0.25">
      <c r="Q715" s="13"/>
    </row>
    <row r="716" spans="17:17" x14ac:dyDescent="0.25">
      <c r="Q716" s="21"/>
    </row>
    <row r="717" spans="17:17" x14ac:dyDescent="0.25">
      <c r="Q717" s="13"/>
    </row>
    <row r="718" spans="17:17" x14ac:dyDescent="0.25">
      <c r="Q718" s="13"/>
    </row>
    <row r="719" spans="17:17" x14ac:dyDescent="0.25">
      <c r="Q719" s="13"/>
    </row>
    <row r="720" spans="17:17" x14ac:dyDescent="0.25">
      <c r="Q720" s="21"/>
    </row>
    <row r="721" spans="17:17" x14ac:dyDescent="0.25">
      <c r="Q721" s="13"/>
    </row>
    <row r="722" spans="17:17" x14ac:dyDescent="0.25">
      <c r="Q722" s="13"/>
    </row>
    <row r="723" spans="17:17" x14ac:dyDescent="0.25">
      <c r="Q723" s="13"/>
    </row>
    <row r="724" spans="17:17" x14ac:dyDescent="0.25">
      <c r="Q724" s="21"/>
    </row>
    <row r="725" spans="17:17" x14ac:dyDescent="0.25">
      <c r="Q725" s="13"/>
    </row>
    <row r="726" spans="17:17" x14ac:dyDescent="0.25">
      <c r="Q726" s="13"/>
    </row>
    <row r="727" spans="17:17" x14ac:dyDescent="0.25">
      <c r="Q727" s="13"/>
    </row>
    <row r="728" spans="17:17" x14ac:dyDescent="0.25">
      <c r="Q728" s="21"/>
    </row>
    <row r="729" spans="17:17" x14ac:dyDescent="0.25">
      <c r="Q729" s="13"/>
    </row>
    <row r="730" spans="17:17" x14ac:dyDescent="0.25">
      <c r="Q730" s="13"/>
    </row>
    <row r="731" spans="17:17" x14ac:dyDescent="0.25">
      <c r="Q731" s="13"/>
    </row>
    <row r="732" spans="17:17" x14ac:dyDescent="0.25">
      <c r="Q732" s="21"/>
    </row>
    <row r="733" spans="17:17" x14ac:dyDescent="0.25">
      <c r="Q733" s="13"/>
    </row>
    <row r="734" spans="17:17" x14ac:dyDescent="0.25">
      <c r="Q734" s="13"/>
    </row>
    <row r="735" spans="17:17" x14ac:dyDescent="0.25">
      <c r="Q735" s="13"/>
    </row>
    <row r="736" spans="17:17" x14ac:dyDescent="0.25">
      <c r="Q736" s="21"/>
    </row>
    <row r="737" spans="17:17" x14ac:dyDescent="0.25">
      <c r="Q737" s="13"/>
    </row>
    <row r="738" spans="17:17" x14ac:dyDescent="0.25">
      <c r="Q738" s="13"/>
    </row>
    <row r="739" spans="17:17" x14ac:dyDescent="0.25">
      <c r="Q739" s="13"/>
    </row>
    <row r="740" spans="17:17" x14ac:dyDescent="0.25">
      <c r="Q740" s="21"/>
    </row>
    <row r="741" spans="17:17" x14ac:dyDescent="0.25">
      <c r="Q741" s="13"/>
    </row>
    <row r="742" spans="17:17" x14ac:dyDescent="0.25">
      <c r="Q742" s="13"/>
    </row>
    <row r="743" spans="17:17" x14ac:dyDescent="0.25">
      <c r="Q743" s="13"/>
    </row>
    <row r="744" spans="17:17" x14ac:dyDescent="0.25">
      <c r="Q744" s="21"/>
    </row>
    <row r="745" spans="17:17" x14ac:dyDescent="0.25">
      <c r="Q745" s="13"/>
    </row>
    <row r="746" spans="17:17" x14ac:dyDescent="0.25">
      <c r="Q746" s="13"/>
    </row>
    <row r="747" spans="17:17" x14ac:dyDescent="0.25">
      <c r="Q747" s="13"/>
    </row>
    <row r="748" spans="17:17" x14ac:dyDescent="0.25">
      <c r="Q748" s="21"/>
    </row>
    <row r="749" spans="17:17" x14ac:dyDescent="0.25">
      <c r="Q749" s="13"/>
    </row>
    <row r="750" spans="17:17" x14ac:dyDescent="0.25">
      <c r="Q750" s="13"/>
    </row>
    <row r="751" spans="17:17" x14ac:dyDescent="0.25">
      <c r="Q751" s="13"/>
    </row>
    <row r="752" spans="17:17" x14ac:dyDescent="0.25">
      <c r="Q752" s="21"/>
    </row>
    <row r="753" spans="17:17" x14ac:dyDescent="0.25">
      <c r="Q753" s="13"/>
    </row>
    <row r="754" spans="17:17" x14ac:dyDescent="0.25">
      <c r="Q754" s="13"/>
    </row>
    <row r="755" spans="17:17" x14ac:dyDescent="0.25">
      <c r="Q755" s="13"/>
    </row>
    <row r="756" spans="17:17" x14ac:dyDescent="0.25">
      <c r="Q756" s="21"/>
    </row>
    <row r="757" spans="17:17" x14ac:dyDescent="0.25">
      <c r="Q757" s="13"/>
    </row>
    <row r="758" spans="17:17" x14ac:dyDescent="0.25">
      <c r="Q758" s="13"/>
    </row>
    <row r="759" spans="17:17" x14ac:dyDescent="0.25">
      <c r="Q759" s="13"/>
    </row>
    <row r="760" spans="17:17" x14ac:dyDescent="0.25">
      <c r="Q760" s="21"/>
    </row>
    <row r="761" spans="17:17" x14ac:dyDescent="0.25">
      <c r="Q761" s="13"/>
    </row>
    <row r="762" spans="17:17" x14ac:dyDescent="0.25">
      <c r="Q762" s="13"/>
    </row>
    <row r="763" spans="17:17" x14ac:dyDescent="0.25">
      <c r="Q763" s="13"/>
    </row>
    <row r="764" spans="17:17" x14ac:dyDescent="0.25">
      <c r="Q764" s="21"/>
    </row>
    <row r="765" spans="17:17" x14ac:dyDescent="0.25">
      <c r="Q765" s="13"/>
    </row>
    <row r="766" spans="17:17" x14ac:dyDescent="0.25">
      <c r="Q766" s="13"/>
    </row>
    <row r="767" spans="17:17" x14ac:dyDescent="0.25">
      <c r="Q767" s="13"/>
    </row>
    <row r="768" spans="17:17" x14ac:dyDescent="0.25">
      <c r="Q768" s="21"/>
    </row>
    <row r="769" spans="17:17" x14ac:dyDescent="0.25">
      <c r="Q769" s="13"/>
    </row>
    <row r="770" spans="17:17" x14ac:dyDescent="0.25">
      <c r="Q770" s="13"/>
    </row>
    <row r="771" spans="17:17" x14ac:dyDescent="0.25">
      <c r="Q771" s="13"/>
    </row>
    <row r="772" spans="17:17" x14ac:dyDescent="0.25">
      <c r="Q772" s="21"/>
    </row>
    <row r="773" spans="17:17" x14ac:dyDescent="0.25">
      <c r="Q773" s="13"/>
    </row>
    <row r="774" spans="17:17" x14ac:dyDescent="0.25">
      <c r="Q774" s="13"/>
    </row>
  </sheetData>
  <pageMargins left="0.7" right="0.7" top="0.75" bottom="0.75" header="0.3" footer="0.3"/>
  <pageSetup orientation="portrait" r:id="rId2"/>
  <drawing r:id="rId3"/>
  <legacyDrawing r:id="rId4"/>
  <controls>
    <mc:AlternateContent xmlns:mc="http://schemas.openxmlformats.org/markup-compatibility/2006">
      <mc:Choice Requires="x14">
        <control shapeId="5122" r:id="rId5" name="Toggle_comment">
          <controlPr defaultSize="0" autoLine="0" r:id="rId6">
            <anchor moveWithCells="1">
              <from>
                <xdr:col>0</xdr:col>
                <xdr:colOff>523875</xdr:colOff>
                <xdr:row>2</xdr:row>
                <xdr:rowOff>38100</xdr:rowOff>
              </from>
              <to>
                <xdr:col>0</xdr:col>
                <xdr:colOff>1162050</xdr:colOff>
                <xdr:row>4</xdr:row>
                <xdr:rowOff>0</xdr:rowOff>
              </to>
            </anchor>
          </controlPr>
        </control>
      </mc:Choice>
      <mc:Fallback>
        <control shapeId="5122" r:id="rId5" name="Toggle_comment"/>
      </mc:Fallback>
    </mc:AlternateContent>
  </controls>
  <extLst>
    <ext xmlns:x14="http://schemas.microsoft.com/office/spreadsheetml/2009/9/main" uri="{A8765BA9-456A-4dab-B4F3-ACF838C121DE}">
      <x14:slicerList>
        <x14:slicer r:id="rId7"/>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E937A-68B0-4AE1-A939-6CC7CC1C079D}">
  <sheetPr codeName="Sheet8"/>
  <dimension ref="AD42:BF126"/>
  <sheetViews>
    <sheetView showGridLines="0" workbookViewId="0">
      <selection activeCell="N15" sqref="N14:N15"/>
    </sheetView>
  </sheetViews>
  <sheetFormatPr defaultRowHeight="15" x14ac:dyDescent="0.25"/>
  <cols>
    <col min="29" max="29" width="8.28515625" customWidth="1"/>
    <col min="30" max="47" width="9.140625" style="18"/>
    <col min="48" max="58" width="9.140625" style="15"/>
  </cols>
  <sheetData>
    <row r="42" spans="48:58" ht="12.75" customHeight="1" x14ac:dyDescent="0.25"/>
    <row r="43" spans="48:58" s="18" customFormat="1" x14ac:dyDescent="0.25">
      <c r="AV43" s="15"/>
      <c r="AW43" s="15"/>
      <c r="AX43" s="15"/>
      <c r="AY43" s="15"/>
      <c r="AZ43" s="15"/>
      <c r="BA43" s="15"/>
      <c r="BB43" s="15"/>
      <c r="BC43" s="15"/>
      <c r="BD43" s="15"/>
      <c r="BE43" s="15"/>
      <c r="BF43" s="15"/>
    </row>
    <row r="44" spans="48:58" s="18" customFormat="1" x14ac:dyDescent="0.25">
      <c r="AV44" s="15"/>
      <c r="AW44" s="15"/>
      <c r="AX44" s="15"/>
      <c r="AY44" s="15"/>
      <c r="AZ44" s="15"/>
      <c r="BA44" s="15"/>
      <c r="BB44" s="15"/>
      <c r="BC44" s="15"/>
      <c r="BD44" s="15"/>
      <c r="BE44" s="15"/>
      <c r="BF44" s="15"/>
    </row>
    <row r="45" spans="48:58" s="18" customFormat="1" x14ac:dyDescent="0.25">
      <c r="AV45" s="15"/>
      <c r="AW45" s="15"/>
      <c r="AX45" s="15"/>
      <c r="AY45" s="15"/>
      <c r="AZ45" s="15"/>
      <c r="BA45" s="15"/>
      <c r="BB45" s="15"/>
      <c r="BC45" s="15"/>
      <c r="BD45" s="15"/>
      <c r="BE45" s="15"/>
      <c r="BF45" s="15"/>
    </row>
    <row r="46" spans="48:58" s="18" customFormat="1" x14ac:dyDescent="0.25">
      <c r="AV46" s="15"/>
      <c r="AW46" s="15"/>
      <c r="AX46" s="15"/>
      <c r="AY46" s="15"/>
      <c r="AZ46" s="15"/>
      <c r="BA46" s="15"/>
      <c r="BB46" s="15"/>
      <c r="BC46" s="15"/>
      <c r="BD46" s="15"/>
      <c r="BE46" s="15"/>
      <c r="BF46" s="15"/>
    </row>
    <row r="47" spans="48:58" s="18" customFormat="1" x14ac:dyDescent="0.25">
      <c r="AV47" s="15"/>
      <c r="AW47" s="15"/>
      <c r="AX47" s="15"/>
      <c r="AY47" s="15"/>
      <c r="AZ47" s="15"/>
      <c r="BA47" s="15"/>
      <c r="BB47" s="15"/>
      <c r="BC47" s="15"/>
      <c r="BD47" s="15"/>
      <c r="BE47" s="15"/>
      <c r="BF47" s="15"/>
    </row>
    <row r="48" spans="48:58" s="18" customFormat="1" x14ac:dyDescent="0.25">
      <c r="AV48" s="15"/>
      <c r="AW48" s="15"/>
      <c r="AX48" s="15"/>
      <c r="AY48" s="15"/>
      <c r="AZ48" s="15"/>
      <c r="BA48" s="15"/>
      <c r="BB48" s="15"/>
      <c r="BC48" s="15"/>
      <c r="BD48" s="15"/>
      <c r="BE48" s="15"/>
      <c r="BF48" s="15"/>
    </row>
    <row r="49" spans="48:58" s="18" customFormat="1" x14ac:dyDescent="0.25">
      <c r="AV49" s="15"/>
      <c r="AW49" s="15"/>
      <c r="AX49" s="15"/>
      <c r="AY49" s="15"/>
      <c r="AZ49" s="15"/>
      <c r="BA49" s="15"/>
      <c r="BB49" s="15"/>
      <c r="BC49" s="15"/>
      <c r="BD49" s="15"/>
      <c r="BE49" s="15"/>
      <c r="BF49" s="15"/>
    </row>
    <row r="50" spans="48:58" s="18" customFormat="1" x14ac:dyDescent="0.25">
      <c r="AV50" s="15"/>
      <c r="AW50" s="15"/>
      <c r="AX50" s="15"/>
      <c r="AY50" s="15"/>
      <c r="AZ50" s="15"/>
      <c r="BA50" s="15"/>
      <c r="BB50" s="15"/>
      <c r="BC50" s="15"/>
      <c r="BD50" s="15"/>
      <c r="BE50" s="15"/>
      <c r="BF50" s="15"/>
    </row>
    <row r="51" spans="48:58" s="18" customFormat="1" x14ac:dyDescent="0.25">
      <c r="AV51" s="15"/>
      <c r="AW51" s="15"/>
      <c r="AX51" s="15"/>
      <c r="AY51" s="15"/>
      <c r="AZ51" s="15"/>
      <c r="BA51" s="15"/>
      <c r="BB51" s="15"/>
      <c r="BC51" s="15"/>
      <c r="BD51" s="15"/>
      <c r="BE51" s="15"/>
      <c r="BF51" s="15"/>
    </row>
    <row r="52" spans="48:58" s="18" customFormat="1" x14ac:dyDescent="0.25">
      <c r="AV52" s="15"/>
      <c r="AW52" s="15"/>
      <c r="AX52" s="15"/>
      <c r="AY52" s="15"/>
      <c r="AZ52" s="15"/>
      <c r="BA52" s="15"/>
      <c r="BB52" s="15"/>
      <c r="BC52" s="15"/>
      <c r="BD52" s="15"/>
      <c r="BE52" s="15"/>
      <c r="BF52" s="15"/>
    </row>
    <row r="53" spans="48:58" s="18" customFormat="1" x14ac:dyDescent="0.25">
      <c r="AV53" s="15"/>
      <c r="AW53" s="15"/>
      <c r="AX53" s="15"/>
      <c r="AY53" s="15"/>
      <c r="AZ53" s="15"/>
      <c r="BA53" s="15"/>
      <c r="BB53" s="15"/>
      <c r="BC53" s="15"/>
      <c r="BD53" s="15"/>
      <c r="BE53" s="15"/>
      <c r="BF53" s="15"/>
    </row>
    <row r="54" spans="48:58" s="18" customFormat="1" x14ac:dyDescent="0.25">
      <c r="AV54" s="15"/>
      <c r="AW54" s="15"/>
      <c r="AX54" s="15"/>
      <c r="AY54" s="15"/>
      <c r="AZ54" s="15"/>
      <c r="BA54" s="15"/>
      <c r="BB54" s="15"/>
      <c r="BC54" s="15"/>
      <c r="BD54" s="15"/>
      <c r="BE54" s="15"/>
      <c r="BF54" s="15"/>
    </row>
    <row r="55" spans="48:58" s="18" customFormat="1" x14ac:dyDescent="0.25">
      <c r="AV55" s="15"/>
      <c r="AW55" s="15"/>
      <c r="AX55" s="15"/>
      <c r="AY55" s="15"/>
      <c r="AZ55" s="15"/>
      <c r="BA55" s="15"/>
      <c r="BB55" s="15"/>
      <c r="BC55" s="15"/>
      <c r="BD55" s="15"/>
      <c r="BE55" s="15"/>
      <c r="BF55" s="15"/>
    </row>
    <row r="56" spans="48:58" s="18" customFormat="1" x14ac:dyDescent="0.25">
      <c r="AV56" s="15"/>
      <c r="AW56" s="15"/>
      <c r="AX56" s="15"/>
      <c r="AY56" s="15"/>
      <c r="AZ56" s="15"/>
      <c r="BA56" s="15"/>
      <c r="BB56" s="15"/>
      <c r="BC56" s="15"/>
      <c r="BD56" s="15"/>
      <c r="BE56" s="15"/>
      <c r="BF56" s="15"/>
    </row>
    <row r="57" spans="48:58" s="18" customFormat="1" x14ac:dyDescent="0.25">
      <c r="AV57" s="15"/>
      <c r="AW57" s="15"/>
      <c r="AX57" s="15"/>
      <c r="AY57" s="15"/>
      <c r="AZ57" s="15"/>
      <c r="BA57" s="15"/>
      <c r="BB57" s="15"/>
      <c r="BC57" s="15"/>
      <c r="BD57" s="15"/>
      <c r="BE57" s="15"/>
      <c r="BF57" s="15"/>
    </row>
    <row r="58" spans="48:58" s="18" customFormat="1" x14ac:dyDescent="0.25">
      <c r="AV58" s="15"/>
      <c r="AW58" s="15"/>
      <c r="AX58" s="15"/>
      <c r="AY58" s="15"/>
      <c r="AZ58" s="15"/>
      <c r="BA58" s="15"/>
      <c r="BB58" s="15"/>
      <c r="BC58" s="15"/>
      <c r="BD58" s="15"/>
      <c r="BE58" s="15"/>
      <c r="BF58" s="15"/>
    </row>
    <row r="59" spans="48:58" s="18" customFormat="1" x14ac:dyDescent="0.25">
      <c r="AV59" s="15"/>
      <c r="AW59" s="15"/>
      <c r="AX59" s="15"/>
      <c r="AY59" s="15"/>
      <c r="AZ59" s="15"/>
      <c r="BA59" s="15"/>
      <c r="BB59" s="15"/>
      <c r="BC59" s="15"/>
      <c r="BD59" s="15"/>
      <c r="BE59" s="15"/>
      <c r="BF59" s="15"/>
    </row>
    <row r="60" spans="48:58" s="18" customFormat="1" x14ac:dyDescent="0.25">
      <c r="AV60" s="15"/>
      <c r="AW60" s="15"/>
      <c r="AX60" s="15"/>
      <c r="AY60" s="15"/>
      <c r="AZ60" s="15"/>
      <c r="BA60" s="15"/>
      <c r="BB60" s="15"/>
      <c r="BC60" s="15"/>
      <c r="BD60" s="15"/>
      <c r="BE60" s="15"/>
      <c r="BF60" s="15"/>
    </row>
    <row r="61" spans="48:58" s="18" customFormat="1" x14ac:dyDescent="0.25">
      <c r="AV61" s="15"/>
      <c r="AW61" s="15"/>
      <c r="AX61" s="15"/>
      <c r="AY61" s="15"/>
      <c r="AZ61" s="15"/>
      <c r="BA61" s="15"/>
      <c r="BB61" s="15"/>
      <c r="BC61" s="15"/>
      <c r="BD61" s="15"/>
      <c r="BE61" s="15"/>
      <c r="BF61" s="15"/>
    </row>
    <row r="62" spans="48:58" s="18" customFormat="1" x14ac:dyDescent="0.25">
      <c r="AV62" s="15"/>
      <c r="AW62" s="15"/>
      <c r="AX62" s="15"/>
      <c r="AY62" s="15"/>
      <c r="AZ62" s="15"/>
      <c r="BA62" s="15"/>
      <c r="BB62" s="15"/>
      <c r="BC62" s="15"/>
      <c r="BD62" s="15"/>
      <c r="BE62" s="15"/>
      <c r="BF62" s="15"/>
    </row>
    <row r="63" spans="48:58" s="18" customFormat="1" x14ac:dyDescent="0.25">
      <c r="AV63" s="15"/>
      <c r="AW63" s="15"/>
      <c r="AX63" s="15"/>
      <c r="AY63" s="15"/>
      <c r="AZ63" s="15"/>
      <c r="BA63" s="15"/>
      <c r="BB63" s="15"/>
      <c r="BC63" s="15"/>
      <c r="BD63" s="15"/>
      <c r="BE63" s="15"/>
      <c r="BF63" s="15"/>
    </row>
    <row r="64" spans="48:58" s="18" customFormat="1" x14ac:dyDescent="0.25">
      <c r="AV64" s="15"/>
      <c r="AW64" s="15"/>
      <c r="AX64" s="15"/>
      <c r="AY64" s="15"/>
      <c r="AZ64" s="15"/>
      <c r="BA64" s="15"/>
      <c r="BB64" s="15"/>
      <c r="BC64" s="15"/>
      <c r="BD64" s="15"/>
      <c r="BE64" s="15"/>
      <c r="BF64" s="15"/>
    </row>
    <row r="65" spans="48:58" s="18" customFormat="1" x14ac:dyDescent="0.25">
      <c r="AV65" s="15"/>
      <c r="AW65" s="15"/>
      <c r="AX65" s="15"/>
      <c r="AY65" s="15"/>
      <c r="AZ65" s="15"/>
      <c r="BA65" s="15"/>
      <c r="BB65" s="15"/>
      <c r="BC65" s="15"/>
      <c r="BD65" s="15"/>
      <c r="BE65" s="15"/>
      <c r="BF65" s="15"/>
    </row>
    <row r="66" spans="48:58" s="18" customFormat="1" x14ac:dyDescent="0.25">
      <c r="AV66" s="15"/>
      <c r="AW66" s="15"/>
      <c r="AX66" s="15"/>
      <c r="AY66" s="15"/>
      <c r="AZ66" s="15"/>
      <c r="BA66" s="15"/>
      <c r="BB66" s="15"/>
      <c r="BC66" s="15"/>
      <c r="BD66" s="15"/>
      <c r="BE66" s="15"/>
      <c r="BF66" s="15"/>
    </row>
    <row r="67" spans="48:58" s="18" customFormat="1" x14ac:dyDescent="0.25">
      <c r="AV67" s="15"/>
      <c r="AW67" s="15"/>
      <c r="AX67" s="15"/>
      <c r="AY67" s="15"/>
      <c r="AZ67" s="15"/>
      <c r="BA67" s="15"/>
      <c r="BB67" s="15"/>
      <c r="BC67" s="15"/>
      <c r="BD67" s="15"/>
      <c r="BE67" s="15"/>
      <c r="BF67" s="15"/>
    </row>
    <row r="68" spans="48:58" s="18" customFormat="1" x14ac:dyDescent="0.25">
      <c r="AV68" s="15"/>
      <c r="AW68" s="15"/>
      <c r="AX68" s="15"/>
      <c r="AY68" s="15"/>
      <c r="AZ68" s="15"/>
      <c r="BA68" s="15"/>
      <c r="BB68" s="15"/>
      <c r="BC68" s="15"/>
      <c r="BD68" s="15"/>
      <c r="BE68" s="15"/>
      <c r="BF68" s="15"/>
    </row>
    <row r="69" spans="48:58" s="18" customFormat="1" x14ac:dyDescent="0.25">
      <c r="AV69" s="15"/>
      <c r="AW69" s="15"/>
      <c r="AX69" s="15"/>
      <c r="AY69" s="15"/>
      <c r="AZ69" s="15"/>
      <c r="BA69" s="15"/>
      <c r="BB69" s="15"/>
      <c r="BC69" s="15"/>
      <c r="BD69" s="15"/>
      <c r="BE69" s="15"/>
      <c r="BF69" s="15"/>
    </row>
    <row r="70" spans="48:58" s="18" customFormat="1" x14ac:dyDescent="0.25">
      <c r="AV70" s="15"/>
      <c r="AW70" s="15"/>
      <c r="AX70" s="15"/>
      <c r="AY70" s="15"/>
      <c r="AZ70" s="15"/>
      <c r="BA70" s="15"/>
      <c r="BB70" s="15"/>
      <c r="BC70" s="15"/>
      <c r="BD70" s="15"/>
      <c r="BE70" s="15"/>
      <c r="BF70" s="15"/>
    </row>
    <row r="71" spans="48:58" s="18" customFormat="1" x14ac:dyDescent="0.25">
      <c r="AV71" s="15"/>
      <c r="AW71" s="15"/>
      <c r="AX71" s="15"/>
      <c r="AY71" s="15"/>
      <c r="AZ71" s="15"/>
      <c r="BA71" s="15"/>
      <c r="BB71" s="15"/>
      <c r="BC71" s="15"/>
      <c r="BD71" s="15"/>
      <c r="BE71" s="15"/>
      <c r="BF71" s="15"/>
    </row>
    <row r="72" spans="48:58" s="18" customFormat="1" x14ac:dyDescent="0.25">
      <c r="AV72" s="15"/>
      <c r="AW72" s="15"/>
      <c r="AX72" s="15"/>
      <c r="AY72" s="15"/>
      <c r="AZ72" s="15"/>
      <c r="BA72" s="15"/>
      <c r="BB72" s="15"/>
      <c r="BC72" s="15"/>
      <c r="BD72" s="15"/>
      <c r="BE72" s="15"/>
      <c r="BF72" s="15"/>
    </row>
    <row r="73" spans="48:58" s="18" customFormat="1" x14ac:dyDescent="0.25">
      <c r="AV73" s="15"/>
      <c r="AW73" s="15"/>
      <c r="AX73" s="15"/>
      <c r="AY73" s="15"/>
      <c r="AZ73" s="15"/>
      <c r="BA73" s="15"/>
      <c r="BB73" s="15"/>
      <c r="BC73" s="15"/>
      <c r="BD73" s="15"/>
      <c r="BE73" s="15"/>
      <c r="BF73" s="15"/>
    </row>
    <row r="74" spans="48:58" s="18" customFormat="1" x14ac:dyDescent="0.25">
      <c r="AV74" s="15"/>
      <c r="AW74" s="15"/>
      <c r="AX74" s="15"/>
      <c r="AY74" s="15"/>
      <c r="AZ74" s="15"/>
      <c r="BA74" s="15"/>
      <c r="BB74" s="15"/>
      <c r="BC74" s="15"/>
      <c r="BD74" s="15"/>
      <c r="BE74" s="15"/>
      <c r="BF74" s="15"/>
    </row>
    <row r="75" spans="48:58" s="18" customFormat="1" x14ac:dyDescent="0.25">
      <c r="AV75" s="15"/>
      <c r="AW75" s="15"/>
      <c r="AX75" s="15"/>
      <c r="AY75" s="15"/>
      <c r="AZ75" s="15"/>
      <c r="BA75" s="15"/>
      <c r="BB75" s="15"/>
      <c r="BC75" s="15"/>
      <c r="BD75" s="15"/>
      <c r="BE75" s="15"/>
      <c r="BF75" s="15"/>
    </row>
    <row r="76" spans="48:58" s="18" customFormat="1" x14ac:dyDescent="0.25">
      <c r="AV76" s="15"/>
      <c r="AW76" s="15"/>
      <c r="AX76" s="15"/>
      <c r="AY76" s="15"/>
      <c r="AZ76" s="15"/>
      <c r="BA76" s="15"/>
      <c r="BB76" s="15"/>
      <c r="BC76" s="15"/>
      <c r="BD76" s="15"/>
      <c r="BE76" s="15"/>
      <c r="BF76" s="15"/>
    </row>
    <row r="77" spans="48:58" s="18" customFormat="1" x14ac:dyDescent="0.25">
      <c r="AV77" s="15"/>
      <c r="AW77" s="15"/>
      <c r="AX77" s="15"/>
      <c r="AY77" s="15"/>
      <c r="AZ77" s="15"/>
      <c r="BA77" s="15"/>
      <c r="BB77" s="15"/>
      <c r="BC77" s="15"/>
      <c r="BD77" s="15"/>
      <c r="BE77" s="15"/>
      <c r="BF77" s="15"/>
    </row>
    <row r="78" spans="48:58" s="18" customFormat="1" x14ac:dyDescent="0.25">
      <c r="AV78" s="15"/>
      <c r="AW78" s="15"/>
      <c r="AX78" s="15"/>
      <c r="AY78" s="15"/>
      <c r="AZ78" s="15"/>
      <c r="BA78" s="15"/>
      <c r="BB78" s="15"/>
      <c r="BC78" s="15"/>
      <c r="BD78" s="15"/>
      <c r="BE78" s="15"/>
      <c r="BF78" s="15"/>
    </row>
    <row r="79" spans="48:58" s="18" customFormat="1" x14ac:dyDescent="0.25">
      <c r="AV79" s="15"/>
      <c r="AW79" s="15"/>
      <c r="AX79" s="15"/>
      <c r="AY79" s="15"/>
      <c r="AZ79" s="15"/>
      <c r="BA79" s="15"/>
      <c r="BB79" s="15"/>
      <c r="BC79" s="15"/>
      <c r="BD79" s="15"/>
      <c r="BE79" s="15"/>
      <c r="BF79" s="15"/>
    </row>
    <row r="80" spans="48:58" s="18" customFormat="1" x14ac:dyDescent="0.25">
      <c r="AV80" s="15"/>
      <c r="AW80" s="15"/>
      <c r="AX80" s="15"/>
      <c r="AY80" s="15"/>
      <c r="AZ80" s="15"/>
      <c r="BA80" s="15"/>
      <c r="BB80" s="15"/>
      <c r="BC80" s="15"/>
      <c r="BD80" s="15"/>
      <c r="BE80" s="15"/>
      <c r="BF80" s="15"/>
    </row>
    <row r="81" spans="48:58" s="18" customFormat="1" x14ac:dyDescent="0.25">
      <c r="AV81" s="15"/>
      <c r="AW81" s="15"/>
      <c r="AX81" s="15"/>
      <c r="AY81" s="15"/>
      <c r="AZ81" s="15"/>
      <c r="BA81" s="15"/>
      <c r="BB81" s="15"/>
      <c r="BC81" s="15"/>
      <c r="BD81" s="15"/>
      <c r="BE81" s="15"/>
      <c r="BF81" s="15"/>
    </row>
    <row r="82" spans="48:58" s="18" customFormat="1" x14ac:dyDescent="0.25">
      <c r="AV82" s="15"/>
      <c r="AW82" s="15"/>
      <c r="AX82" s="15"/>
      <c r="AY82" s="15"/>
      <c r="AZ82" s="15"/>
      <c r="BA82" s="15"/>
      <c r="BB82" s="15"/>
      <c r="BC82" s="15"/>
      <c r="BD82" s="15"/>
      <c r="BE82" s="15"/>
      <c r="BF82" s="15"/>
    </row>
    <row r="83" spans="48:58" s="18" customFormat="1" x14ac:dyDescent="0.25">
      <c r="AV83" s="15"/>
      <c r="AW83" s="15"/>
      <c r="AX83" s="15"/>
      <c r="AY83" s="15"/>
      <c r="AZ83" s="15"/>
      <c r="BA83" s="15"/>
      <c r="BB83" s="15"/>
      <c r="BC83" s="15"/>
      <c r="BD83" s="15"/>
      <c r="BE83" s="15"/>
      <c r="BF83" s="15"/>
    </row>
    <row r="84" spans="48:58" s="18" customFormat="1" x14ac:dyDescent="0.25">
      <c r="AV84" s="15"/>
      <c r="AW84" s="15"/>
      <c r="AX84" s="15"/>
      <c r="AY84" s="15"/>
      <c r="AZ84" s="15"/>
      <c r="BA84" s="15"/>
      <c r="BB84" s="15"/>
      <c r="BC84" s="15"/>
      <c r="BD84" s="15"/>
      <c r="BE84" s="15"/>
      <c r="BF84" s="15"/>
    </row>
    <row r="85" spans="48:58" s="18" customFormat="1" x14ac:dyDescent="0.25">
      <c r="AV85" s="15"/>
      <c r="AW85" s="15"/>
      <c r="AX85" s="15"/>
      <c r="AY85" s="15"/>
      <c r="AZ85" s="15"/>
      <c r="BA85" s="15"/>
      <c r="BB85" s="15"/>
      <c r="BC85" s="15"/>
      <c r="BD85" s="15"/>
      <c r="BE85" s="15"/>
      <c r="BF85" s="15"/>
    </row>
    <row r="86" spans="48:58" s="18" customFormat="1" x14ac:dyDescent="0.25">
      <c r="AV86" s="15"/>
      <c r="AW86" s="15"/>
      <c r="AX86" s="15"/>
      <c r="AY86" s="15"/>
      <c r="AZ86" s="15"/>
      <c r="BA86" s="15"/>
      <c r="BB86" s="15"/>
      <c r="BC86" s="15"/>
      <c r="BD86" s="15"/>
      <c r="BE86" s="15"/>
      <c r="BF86" s="15"/>
    </row>
    <row r="87" spans="48:58" s="18" customFormat="1" x14ac:dyDescent="0.25">
      <c r="AV87" s="15"/>
      <c r="AW87" s="15"/>
      <c r="AX87" s="15"/>
      <c r="AY87" s="15"/>
      <c r="AZ87" s="15"/>
      <c r="BA87" s="15"/>
      <c r="BB87" s="15"/>
      <c r="BC87" s="15"/>
      <c r="BD87" s="15"/>
      <c r="BE87" s="15"/>
      <c r="BF87" s="15"/>
    </row>
    <row r="88" spans="48:58" s="18" customFormat="1" x14ac:dyDescent="0.25">
      <c r="AV88" s="15"/>
      <c r="AW88" s="15"/>
      <c r="AX88" s="15"/>
      <c r="AY88" s="15"/>
      <c r="AZ88" s="15"/>
      <c r="BA88" s="15"/>
      <c r="BB88" s="15"/>
      <c r="BC88" s="15"/>
      <c r="BD88" s="15"/>
      <c r="BE88" s="15"/>
      <c r="BF88" s="15"/>
    </row>
    <row r="89" spans="48:58" s="18" customFormat="1" x14ac:dyDescent="0.25">
      <c r="AV89" s="15"/>
      <c r="AW89" s="15"/>
      <c r="AX89" s="15"/>
      <c r="AY89" s="15"/>
      <c r="AZ89" s="15"/>
      <c r="BA89" s="15"/>
      <c r="BB89" s="15"/>
      <c r="BC89" s="15"/>
      <c r="BD89" s="15"/>
      <c r="BE89" s="15"/>
      <c r="BF89" s="15"/>
    </row>
    <row r="90" spans="48:58" s="18" customFormat="1" x14ac:dyDescent="0.25">
      <c r="AV90" s="15"/>
      <c r="AW90" s="15"/>
      <c r="AX90" s="15"/>
      <c r="AY90" s="15"/>
      <c r="AZ90" s="15"/>
      <c r="BA90" s="15"/>
      <c r="BB90" s="15"/>
      <c r="BC90" s="15"/>
      <c r="BD90" s="15"/>
      <c r="BE90" s="15"/>
      <c r="BF90" s="15"/>
    </row>
    <row r="91" spans="48:58" s="18" customFormat="1" x14ac:dyDescent="0.25">
      <c r="AV91" s="15"/>
      <c r="AW91" s="15"/>
      <c r="AX91" s="15"/>
      <c r="AY91" s="15"/>
      <c r="AZ91" s="15"/>
      <c r="BA91" s="15"/>
      <c r="BB91" s="15"/>
      <c r="BC91" s="15"/>
      <c r="BD91" s="15"/>
      <c r="BE91" s="15"/>
      <c r="BF91" s="15"/>
    </row>
    <row r="92" spans="48:58" s="18" customFormat="1" x14ac:dyDescent="0.25">
      <c r="AV92" s="15"/>
      <c r="AW92" s="15"/>
      <c r="AX92" s="15"/>
      <c r="AY92" s="15"/>
      <c r="AZ92" s="15"/>
      <c r="BA92" s="15"/>
      <c r="BB92" s="15"/>
      <c r="BC92" s="15"/>
      <c r="BD92" s="15"/>
      <c r="BE92" s="15"/>
      <c r="BF92" s="15"/>
    </row>
    <row r="93" spans="48:58" s="18" customFormat="1" x14ac:dyDescent="0.25">
      <c r="AV93" s="15"/>
      <c r="AW93" s="15"/>
      <c r="AX93" s="15"/>
      <c r="AY93" s="15"/>
      <c r="AZ93" s="15"/>
      <c r="BA93" s="15"/>
      <c r="BB93" s="15"/>
      <c r="BC93" s="15"/>
      <c r="BD93" s="15"/>
      <c r="BE93" s="15"/>
      <c r="BF93" s="15"/>
    </row>
    <row r="94" spans="48:58" s="18" customFormat="1" x14ac:dyDescent="0.25">
      <c r="AV94" s="15"/>
      <c r="AW94" s="15"/>
      <c r="AX94" s="15"/>
      <c r="AY94" s="15"/>
      <c r="AZ94" s="15"/>
      <c r="BA94" s="15"/>
      <c r="BB94" s="15"/>
      <c r="BC94" s="15"/>
      <c r="BD94" s="15"/>
      <c r="BE94" s="15"/>
      <c r="BF94" s="15"/>
    </row>
    <row r="95" spans="48:58" s="18" customFormat="1" x14ac:dyDescent="0.25">
      <c r="AV95" s="15"/>
      <c r="AW95" s="15"/>
      <c r="AX95" s="15"/>
      <c r="AY95" s="15"/>
      <c r="AZ95" s="15"/>
      <c r="BA95" s="15"/>
      <c r="BB95" s="15"/>
      <c r="BC95" s="15"/>
      <c r="BD95" s="15"/>
      <c r="BE95" s="15"/>
      <c r="BF95" s="15"/>
    </row>
    <row r="96" spans="48:58" s="18" customFormat="1" x14ac:dyDescent="0.25">
      <c r="AV96" s="15"/>
      <c r="AW96" s="15"/>
      <c r="AX96" s="15"/>
      <c r="AY96" s="15"/>
      <c r="AZ96" s="15"/>
      <c r="BA96" s="15"/>
      <c r="BB96" s="15"/>
      <c r="BC96" s="15"/>
      <c r="BD96" s="15"/>
      <c r="BE96" s="15"/>
      <c r="BF96" s="15"/>
    </row>
    <row r="97" spans="48:58" s="18" customFormat="1" x14ac:dyDescent="0.25">
      <c r="AV97" s="15"/>
      <c r="AW97" s="15"/>
      <c r="AX97" s="15"/>
      <c r="AY97" s="15"/>
      <c r="AZ97" s="15"/>
      <c r="BA97" s="15"/>
      <c r="BB97" s="15"/>
      <c r="BC97" s="15"/>
      <c r="BD97" s="15"/>
      <c r="BE97" s="15"/>
      <c r="BF97" s="15"/>
    </row>
    <row r="98" spans="48:58" s="18" customFormat="1" x14ac:dyDescent="0.25">
      <c r="AV98" s="15"/>
      <c r="AW98" s="15"/>
      <c r="AX98" s="15"/>
      <c r="AY98" s="15"/>
      <c r="AZ98" s="15"/>
      <c r="BA98" s="15"/>
      <c r="BB98" s="15"/>
      <c r="BC98" s="15"/>
      <c r="BD98" s="15"/>
      <c r="BE98" s="15"/>
      <c r="BF98" s="15"/>
    </row>
    <row r="99" spans="48:58" s="18" customFormat="1" x14ac:dyDescent="0.25">
      <c r="AV99" s="15"/>
      <c r="AW99" s="15"/>
      <c r="AX99" s="15"/>
      <c r="AY99" s="15"/>
      <c r="AZ99" s="15"/>
      <c r="BA99" s="15"/>
      <c r="BB99" s="15"/>
      <c r="BC99" s="15"/>
      <c r="BD99" s="15"/>
      <c r="BE99" s="15"/>
      <c r="BF99" s="15"/>
    </row>
    <row r="100" spans="48:58" s="18" customFormat="1" x14ac:dyDescent="0.25">
      <c r="AV100" s="15"/>
      <c r="AW100" s="15"/>
      <c r="AX100" s="15"/>
      <c r="AY100" s="15"/>
      <c r="AZ100" s="15"/>
      <c r="BA100" s="15"/>
      <c r="BB100" s="15"/>
      <c r="BC100" s="15"/>
      <c r="BD100" s="15"/>
      <c r="BE100" s="15"/>
      <c r="BF100" s="15"/>
    </row>
    <row r="101" spans="48:58" s="18" customFormat="1" x14ac:dyDescent="0.25">
      <c r="AV101" s="15"/>
      <c r="AW101" s="15"/>
      <c r="AX101" s="15"/>
      <c r="AY101" s="15"/>
      <c r="AZ101" s="15"/>
      <c r="BA101" s="15"/>
      <c r="BB101" s="15"/>
      <c r="BC101" s="15"/>
      <c r="BD101" s="15"/>
      <c r="BE101" s="15"/>
      <c r="BF101" s="15"/>
    </row>
    <row r="102" spans="48:58" s="18" customFormat="1" x14ac:dyDescent="0.25">
      <c r="AV102" s="15"/>
      <c r="AW102" s="15"/>
      <c r="AX102" s="15"/>
      <c r="AY102" s="15"/>
      <c r="AZ102" s="15"/>
      <c r="BA102" s="15"/>
      <c r="BB102" s="15"/>
      <c r="BC102" s="15"/>
      <c r="BD102" s="15"/>
      <c r="BE102" s="15"/>
      <c r="BF102" s="15"/>
    </row>
    <row r="103" spans="48:58" s="18" customFormat="1" x14ac:dyDescent="0.25">
      <c r="AV103" s="15"/>
      <c r="AW103" s="15"/>
      <c r="AX103" s="15"/>
      <c r="AY103" s="15"/>
      <c r="AZ103" s="15"/>
      <c r="BA103" s="15"/>
      <c r="BB103" s="15"/>
      <c r="BC103" s="15"/>
      <c r="BD103" s="15"/>
      <c r="BE103" s="15"/>
      <c r="BF103" s="15"/>
    </row>
    <row r="104" spans="48:58" s="18" customFormat="1" x14ac:dyDescent="0.25">
      <c r="AV104" s="15"/>
      <c r="AW104" s="15"/>
      <c r="AX104" s="15"/>
      <c r="AY104" s="15"/>
      <c r="AZ104" s="15"/>
      <c r="BA104" s="15"/>
      <c r="BB104" s="15"/>
      <c r="BC104" s="15"/>
      <c r="BD104" s="15"/>
      <c r="BE104" s="15"/>
      <c r="BF104" s="15"/>
    </row>
    <row r="105" spans="48:58" s="18" customFormat="1" x14ac:dyDescent="0.25">
      <c r="AV105" s="15"/>
      <c r="AW105" s="15"/>
      <c r="AX105" s="15"/>
      <c r="AY105" s="15"/>
      <c r="AZ105" s="15"/>
      <c r="BA105" s="15"/>
      <c r="BB105" s="15"/>
      <c r="BC105" s="15"/>
      <c r="BD105" s="15"/>
      <c r="BE105" s="15"/>
      <c r="BF105" s="15"/>
    </row>
    <row r="106" spans="48:58" s="18" customFormat="1" x14ac:dyDescent="0.25">
      <c r="AV106" s="15"/>
      <c r="AW106" s="15"/>
      <c r="AX106" s="15"/>
      <c r="AY106" s="15"/>
      <c r="AZ106" s="15"/>
      <c r="BA106" s="15"/>
      <c r="BB106" s="15"/>
      <c r="BC106" s="15"/>
      <c r="BD106" s="15"/>
      <c r="BE106" s="15"/>
      <c r="BF106" s="15"/>
    </row>
    <row r="107" spans="48:58" s="18" customFormat="1" x14ac:dyDescent="0.25">
      <c r="AV107" s="15"/>
      <c r="AW107" s="15"/>
      <c r="AX107" s="15"/>
      <c r="AY107" s="15"/>
      <c r="AZ107" s="15"/>
      <c r="BA107" s="15"/>
      <c r="BB107" s="15"/>
      <c r="BC107" s="15"/>
      <c r="BD107" s="15"/>
      <c r="BE107" s="15"/>
      <c r="BF107" s="15"/>
    </row>
    <row r="108" spans="48:58" s="18" customFormat="1" x14ac:dyDescent="0.25">
      <c r="AV108" s="15"/>
      <c r="AW108" s="15"/>
      <c r="AX108" s="15"/>
      <c r="AY108" s="15"/>
      <c r="AZ108" s="15"/>
      <c r="BA108" s="15"/>
      <c r="BB108" s="15"/>
      <c r="BC108" s="15"/>
      <c r="BD108" s="15"/>
      <c r="BE108" s="15"/>
      <c r="BF108" s="15"/>
    </row>
    <row r="109" spans="48:58" s="18" customFormat="1" x14ac:dyDescent="0.25">
      <c r="AV109" s="15"/>
      <c r="AW109" s="15"/>
      <c r="AX109" s="15"/>
      <c r="AY109" s="15"/>
      <c r="AZ109" s="15"/>
      <c r="BA109" s="15"/>
      <c r="BB109" s="15"/>
      <c r="BC109" s="15"/>
      <c r="BD109" s="15"/>
      <c r="BE109" s="15"/>
      <c r="BF109" s="15"/>
    </row>
    <row r="110" spans="48:58" s="18" customFormat="1" x14ac:dyDescent="0.25">
      <c r="AV110" s="15"/>
      <c r="AW110" s="15"/>
      <c r="AX110" s="15"/>
      <c r="AY110" s="15"/>
      <c r="AZ110" s="15"/>
      <c r="BA110" s="15"/>
      <c r="BB110" s="15"/>
      <c r="BC110" s="15"/>
      <c r="BD110" s="15"/>
      <c r="BE110" s="15"/>
      <c r="BF110" s="15"/>
    </row>
    <row r="111" spans="48:58" s="18" customFormat="1" x14ac:dyDescent="0.25">
      <c r="AV111" s="15"/>
      <c r="AW111" s="15"/>
      <c r="AX111" s="15"/>
      <c r="AY111" s="15"/>
      <c r="AZ111" s="15"/>
      <c r="BA111" s="15"/>
      <c r="BB111" s="15"/>
      <c r="BC111" s="15"/>
      <c r="BD111" s="15"/>
      <c r="BE111" s="15"/>
      <c r="BF111" s="15"/>
    </row>
    <row r="112" spans="48:58" s="18" customFormat="1" x14ac:dyDescent="0.25">
      <c r="AV112" s="15"/>
      <c r="AW112" s="15"/>
      <c r="AX112" s="15"/>
      <c r="AY112" s="15"/>
      <c r="AZ112" s="15"/>
      <c r="BA112" s="15"/>
      <c r="BB112" s="15"/>
      <c r="BC112" s="15"/>
      <c r="BD112" s="15"/>
      <c r="BE112" s="15"/>
      <c r="BF112" s="15"/>
    </row>
    <row r="113" spans="48:58" s="18" customFormat="1" x14ac:dyDescent="0.25">
      <c r="AV113" s="15"/>
      <c r="AW113" s="15"/>
      <c r="AX113" s="15"/>
      <c r="AY113" s="15"/>
      <c r="AZ113" s="15"/>
      <c r="BA113" s="15"/>
      <c r="BB113" s="15"/>
      <c r="BC113" s="15"/>
      <c r="BD113" s="15"/>
      <c r="BE113" s="15"/>
      <c r="BF113" s="15"/>
    </row>
    <row r="114" spans="48:58" s="18" customFormat="1" x14ac:dyDescent="0.25">
      <c r="AV114" s="15"/>
      <c r="AW114" s="15"/>
      <c r="AX114" s="15"/>
      <c r="AY114" s="15"/>
      <c r="AZ114" s="15"/>
      <c r="BA114" s="15"/>
      <c r="BB114" s="15"/>
      <c r="BC114" s="15"/>
      <c r="BD114" s="15"/>
      <c r="BE114" s="15"/>
      <c r="BF114" s="15"/>
    </row>
    <row r="115" spans="48:58" s="18" customFormat="1" x14ac:dyDescent="0.25">
      <c r="AV115" s="15"/>
      <c r="AW115" s="15"/>
      <c r="AX115" s="15"/>
      <c r="AY115" s="15"/>
      <c r="AZ115" s="15"/>
      <c r="BA115" s="15"/>
      <c r="BB115" s="15"/>
      <c r="BC115" s="15"/>
      <c r="BD115" s="15"/>
      <c r="BE115" s="15"/>
      <c r="BF115" s="15"/>
    </row>
    <row r="116" spans="48:58" s="18" customFormat="1" x14ac:dyDescent="0.25">
      <c r="AV116" s="15"/>
      <c r="AW116" s="15"/>
      <c r="AX116" s="15"/>
      <c r="AY116" s="15"/>
      <c r="AZ116" s="15"/>
      <c r="BA116" s="15"/>
      <c r="BB116" s="15"/>
      <c r="BC116" s="15"/>
      <c r="BD116" s="15"/>
      <c r="BE116" s="15"/>
      <c r="BF116" s="15"/>
    </row>
    <row r="117" spans="48:58" s="18" customFormat="1" x14ac:dyDescent="0.25">
      <c r="AV117" s="15"/>
      <c r="AW117" s="15"/>
      <c r="AX117" s="15"/>
      <c r="AY117" s="15"/>
      <c r="AZ117" s="15"/>
      <c r="BA117" s="15"/>
      <c r="BB117" s="15"/>
      <c r="BC117" s="15"/>
      <c r="BD117" s="15"/>
      <c r="BE117" s="15"/>
      <c r="BF117" s="15"/>
    </row>
    <row r="118" spans="48:58" s="18" customFormat="1" x14ac:dyDescent="0.25">
      <c r="AV118" s="15"/>
      <c r="AW118" s="15"/>
      <c r="AX118" s="15"/>
      <c r="AY118" s="15"/>
      <c r="AZ118" s="15"/>
      <c r="BA118" s="15"/>
      <c r="BB118" s="15"/>
      <c r="BC118" s="15"/>
      <c r="BD118" s="15"/>
      <c r="BE118" s="15"/>
      <c r="BF118" s="15"/>
    </row>
    <row r="119" spans="48:58" s="18" customFormat="1" x14ac:dyDescent="0.25">
      <c r="AV119" s="15"/>
      <c r="AW119" s="15"/>
      <c r="AX119" s="15"/>
      <c r="AY119" s="15"/>
      <c r="AZ119" s="15"/>
      <c r="BA119" s="15"/>
      <c r="BB119" s="15"/>
      <c r="BC119" s="15"/>
      <c r="BD119" s="15"/>
      <c r="BE119" s="15"/>
      <c r="BF119" s="15"/>
    </row>
    <row r="120" spans="48:58" s="18" customFormat="1" x14ac:dyDescent="0.25">
      <c r="AV120" s="15"/>
      <c r="AW120" s="15"/>
      <c r="AX120" s="15"/>
      <c r="AY120" s="15"/>
      <c r="AZ120" s="15"/>
      <c r="BA120" s="15"/>
      <c r="BB120" s="15"/>
      <c r="BC120" s="15"/>
      <c r="BD120" s="15"/>
      <c r="BE120" s="15"/>
      <c r="BF120" s="15"/>
    </row>
    <row r="121" spans="48:58" s="18" customFormat="1" x14ac:dyDescent="0.25">
      <c r="AV121" s="15"/>
      <c r="AW121" s="15"/>
      <c r="AX121" s="15"/>
      <c r="AY121" s="15"/>
      <c r="AZ121" s="15"/>
      <c r="BA121" s="15"/>
      <c r="BB121" s="15"/>
      <c r="BC121" s="15"/>
      <c r="BD121" s="15"/>
      <c r="BE121" s="15"/>
      <c r="BF121" s="15"/>
    </row>
    <row r="122" spans="48:58" s="18" customFormat="1" x14ac:dyDescent="0.25">
      <c r="AV122" s="15"/>
      <c r="AW122" s="15"/>
      <c r="AX122" s="15"/>
      <c r="AY122" s="15"/>
      <c r="AZ122" s="15"/>
      <c r="BA122" s="15"/>
      <c r="BB122" s="15"/>
      <c r="BC122" s="15"/>
      <c r="BD122" s="15"/>
      <c r="BE122" s="15"/>
      <c r="BF122" s="15"/>
    </row>
    <row r="123" spans="48:58" s="18" customFormat="1" x14ac:dyDescent="0.25">
      <c r="AV123" s="15"/>
      <c r="AW123" s="15"/>
      <c r="AX123" s="15"/>
      <c r="AY123" s="15"/>
      <c r="AZ123" s="15"/>
      <c r="BA123" s="15"/>
      <c r="BB123" s="15"/>
      <c r="BC123" s="15"/>
      <c r="BD123" s="15"/>
      <c r="BE123" s="15"/>
      <c r="BF123" s="15"/>
    </row>
    <row r="124" spans="48:58" s="18" customFormat="1" x14ac:dyDescent="0.25">
      <c r="AV124" s="15"/>
      <c r="AW124" s="15"/>
      <c r="AX124" s="15"/>
      <c r="AY124" s="15"/>
      <c r="AZ124" s="15"/>
      <c r="BA124" s="15"/>
      <c r="BB124" s="15"/>
      <c r="BC124" s="15"/>
      <c r="BD124" s="15"/>
      <c r="BE124" s="15"/>
      <c r="BF124" s="15"/>
    </row>
    <row r="125" spans="48:58" s="18" customFormat="1" x14ac:dyDescent="0.25">
      <c r="AV125" s="15"/>
      <c r="AW125" s="15"/>
      <c r="AX125" s="15"/>
      <c r="AY125" s="15"/>
      <c r="AZ125" s="15"/>
      <c r="BA125" s="15"/>
      <c r="BB125" s="15"/>
      <c r="BC125" s="15"/>
      <c r="BD125" s="15"/>
      <c r="BE125" s="15"/>
      <c r="BF125" s="15"/>
    </row>
    <row r="126" spans="48:58" s="18" customFormat="1" x14ac:dyDescent="0.25">
      <c r="AV126" s="15"/>
      <c r="AW126" s="15"/>
      <c r="AX126" s="15"/>
      <c r="AY126" s="15"/>
      <c r="AZ126" s="15"/>
      <c r="BA126" s="15"/>
      <c r="BB126" s="15"/>
      <c r="BC126" s="15"/>
      <c r="BD126" s="15"/>
      <c r="BE126" s="15"/>
      <c r="BF126" s="15"/>
    </row>
  </sheetData>
  <pageMargins left="0.7" right="0.7" top="0.75" bottom="0.75" header="0.3" footer="0.3"/>
  <pictur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A5FF8-B192-45CD-A93D-60B767875846}">
  <sheetPr codeName="Sheet10"/>
  <dimension ref="A1"/>
  <sheetViews>
    <sheetView topLeftCell="A4" workbookViewId="0">
      <selection activeCell="H2" sqref="H2"/>
    </sheetView>
  </sheetViews>
  <sheetFormatPr defaultRowHeight="15" x14ac:dyDescent="0.2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30302B-C6EE-4BFD-BB2C-D92CB1D20FDB}">
  <sheetPr codeName="Sheet4"/>
  <dimension ref="A1:F23"/>
  <sheetViews>
    <sheetView topLeftCell="A11" zoomScale="152" workbookViewId="0">
      <selection activeCell="C27" sqref="C27"/>
    </sheetView>
  </sheetViews>
  <sheetFormatPr defaultRowHeight="15" x14ac:dyDescent="0.25"/>
  <cols>
    <col min="1" max="1" width="25" style="5" customWidth="1"/>
  </cols>
  <sheetData>
    <row r="1" spans="1:6" x14ac:dyDescent="0.25">
      <c r="A1" s="6" t="s">
        <v>17</v>
      </c>
      <c r="B1">
        <v>3</v>
      </c>
    </row>
    <row r="2" spans="1:6" x14ac:dyDescent="0.25">
      <c r="A2" s="6" t="s">
        <v>18</v>
      </c>
      <c r="B2">
        <v>1</v>
      </c>
    </row>
    <row r="3" spans="1:6" ht="30" x14ac:dyDescent="0.25">
      <c r="A3" s="6" t="s">
        <v>20</v>
      </c>
      <c r="B3">
        <v>2</v>
      </c>
    </row>
    <row r="4" spans="1:6" x14ac:dyDescent="0.25">
      <c r="A4" s="6" t="s">
        <v>25</v>
      </c>
      <c r="B4">
        <v>1</v>
      </c>
    </row>
    <row r="5" spans="1:6" x14ac:dyDescent="0.25">
      <c r="A5" s="6" t="s">
        <v>117</v>
      </c>
      <c r="B5">
        <v>2</v>
      </c>
    </row>
    <row r="6" spans="1:6" x14ac:dyDescent="0.25">
      <c r="A6" s="6" t="s">
        <v>24</v>
      </c>
      <c r="B6">
        <v>2</v>
      </c>
    </row>
    <row r="7" spans="1:6" x14ac:dyDescent="0.25">
      <c r="C7">
        <f>SUM(B1:B6)</f>
        <v>11</v>
      </c>
    </row>
    <row r="8" spans="1:6" x14ac:dyDescent="0.25">
      <c r="A8" s="7" t="s">
        <v>19</v>
      </c>
      <c r="B8">
        <v>3</v>
      </c>
    </row>
    <row r="9" spans="1:6" ht="28.5" customHeight="1" x14ac:dyDescent="0.25">
      <c r="A9" s="7" t="s">
        <v>21</v>
      </c>
      <c r="B9">
        <v>2</v>
      </c>
    </row>
    <row r="10" spans="1:6" ht="30.75" customHeight="1" x14ac:dyDescent="0.25">
      <c r="A10" s="7" t="s">
        <v>22</v>
      </c>
      <c r="B10">
        <v>1</v>
      </c>
      <c r="F10" t="s">
        <v>109</v>
      </c>
    </row>
    <row r="11" spans="1:6" ht="22.5" customHeight="1" x14ac:dyDescent="0.25">
      <c r="A11" s="7" t="s">
        <v>38</v>
      </c>
      <c r="B11">
        <v>1</v>
      </c>
    </row>
    <row r="12" spans="1:6" x14ac:dyDescent="0.25">
      <c r="A12" s="7" t="s">
        <v>23</v>
      </c>
      <c r="B12">
        <v>1</v>
      </c>
    </row>
    <row r="13" spans="1:6" x14ac:dyDescent="0.25">
      <c r="A13" s="7" t="s">
        <v>40</v>
      </c>
      <c r="B13">
        <v>2</v>
      </c>
    </row>
    <row r="14" spans="1:6" x14ac:dyDescent="0.25">
      <c r="A14" s="7" t="s">
        <v>39</v>
      </c>
      <c r="B14">
        <v>3</v>
      </c>
    </row>
    <row r="15" spans="1:6" x14ac:dyDescent="0.25">
      <c r="A15" s="7" t="s">
        <v>122</v>
      </c>
      <c r="B15">
        <v>2</v>
      </c>
    </row>
    <row r="16" spans="1:6" x14ac:dyDescent="0.25">
      <c r="A16" s="7" t="s">
        <v>119</v>
      </c>
      <c r="B16">
        <v>0</v>
      </c>
    </row>
    <row r="17" spans="1:3" x14ac:dyDescent="0.25">
      <c r="C17">
        <f>SUM(B8:B16)</f>
        <v>15</v>
      </c>
    </row>
    <row r="18" spans="1:3" x14ac:dyDescent="0.25">
      <c r="A18" s="1" t="s">
        <v>26</v>
      </c>
      <c r="B18">
        <v>25</v>
      </c>
    </row>
    <row r="19" spans="1:3" x14ac:dyDescent="0.25">
      <c r="A19" s="1" t="s">
        <v>27</v>
      </c>
      <c r="B19">
        <v>10</v>
      </c>
    </row>
    <row r="20" spans="1:3" x14ac:dyDescent="0.25">
      <c r="A20" s="1" t="s">
        <v>123</v>
      </c>
      <c r="B20">
        <v>25</v>
      </c>
    </row>
    <row r="21" spans="1:3" x14ac:dyDescent="0.25">
      <c r="A21" s="1" t="s">
        <v>113</v>
      </c>
      <c r="B21">
        <v>15</v>
      </c>
    </row>
    <row r="22" spans="1:3" x14ac:dyDescent="0.25">
      <c r="C22">
        <f>SUM(B18:B21)</f>
        <v>75</v>
      </c>
    </row>
    <row r="23" spans="1:3" x14ac:dyDescent="0.25">
      <c r="C23">
        <f>SUM(B1:B21)</f>
        <v>101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FC5DEE-64AB-47A9-9B20-04D46C87A32B}">
  <sheetPr codeName="Sheet2"/>
  <dimension ref="A1:E68"/>
  <sheetViews>
    <sheetView topLeftCell="A8" zoomScale="115" zoomScaleNormal="115" workbookViewId="0">
      <selection activeCell="B21" sqref="B21"/>
    </sheetView>
  </sheetViews>
  <sheetFormatPr defaultRowHeight="15" x14ac:dyDescent="0.25"/>
  <cols>
    <col min="1" max="1" width="19.7109375" customWidth="1"/>
    <col min="2" max="2" width="16.5703125" customWidth="1"/>
    <col min="5" max="5" width="13.140625" customWidth="1"/>
  </cols>
  <sheetData>
    <row r="1" spans="1:5" ht="51" customHeight="1" x14ac:dyDescent="0.5">
      <c r="A1" s="3">
        <v>1</v>
      </c>
      <c r="B1" s="4" t="s">
        <v>16</v>
      </c>
      <c r="E1" t="s">
        <v>147</v>
      </c>
    </row>
    <row r="2" spans="1:5" ht="21" x14ac:dyDescent="0.35">
      <c r="A2">
        <v>1</v>
      </c>
      <c r="B2" s="46">
        <v>61</v>
      </c>
      <c r="D2">
        <v>1</v>
      </c>
      <c r="E2" t="s">
        <v>148</v>
      </c>
    </row>
    <row r="3" spans="1:5" ht="21" x14ac:dyDescent="0.35">
      <c r="A3">
        <v>2</v>
      </c>
      <c r="B3" s="46">
        <v>78</v>
      </c>
      <c r="D3">
        <v>2</v>
      </c>
      <c r="E3" t="s">
        <v>149</v>
      </c>
    </row>
    <row r="4" spans="1:5" ht="21" x14ac:dyDescent="0.35">
      <c r="A4">
        <v>3</v>
      </c>
      <c r="B4" s="46">
        <v>157</v>
      </c>
      <c r="D4">
        <v>3</v>
      </c>
      <c r="E4" t="s">
        <v>150</v>
      </c>
    </row>
    <row r="5" spans="1:5" ht="21" x14ac:dyDescent="0.35">
      <c r="A5">
        <v>4</v>
      </c>
      <c r="B5" s="46">
        <v>166</v>
      </c>
      <c r="D5">
        <v>4</v>
      </c>
      <c r="E5" t="s">
        <v>151</v>
      </c>
    </row>
    <row r="6" spans="1:5" ht="21" x14ac:dyDescent="0.35">
      <c r="A6">
        <v>5</v>
      </c>
      <c r="B6" s="46">
        <v>173</v>
      </c>
      <c r="D6">
        <v>5</v>
      </c>
    </row>
    <row r="7" spans="1:5" ht="21" x14ac:dyDescent="0.35">
      <c r="A7">
        <v>6</v>
      </c>
      <c r="B7" s="46">
        <v>181</v>
      </c>
      <c r="D7">
        <v>6</v>
      </c>
    </row>
    <row r="8" spans="1:5" ht="21" x14ac:dyDescent="0.35">
      <c r="A8">
        <v>7</v>
      </c>
      <c r="B8" s="46">
        <v>190</v>
      </c>
      <c r="D8">
        <v>7</v>
      </c>
    </row>
    <row r="9" spans="1:5" ht="21" x14ac:dyDescent="0.35">
      <c r="A9">
        <v>8</v>
      </c>
      <c r="B9" s="46">
        <v>316</v>
      </c>
      <c r="D9">
        <v>8</v>
      </c>
    </row>
    <row r="10" spans="1:5" ht="21" x14ac:dyDescent="0.35">
      <c r="A10">
        <v>9</v>
      </c>
      <c r="B10" s="46">
        <v>348</v>
      </c>
      <c r="D10">
        <v>9</v>
      </c>
    </row>
    <row r="11" spans="1:5" ht="21" x14ac:dyDescent="0.35">
      <c r="A11">
        <v>10</v>
      </c>
      <c r="B11" s="46">
        <v>1027</v>
      </c>
      <c r="D11">
        <v>10</v>
      </c>
    </row>
    <row r="12" spans="1:5" ht="21" x14ac:dyDescent="0.35">
      <c r="A12">
        <v>11</v>
      </c>
      <c r="B12" s="46">
        <v>1100</v>
      </c>
      <c r="D12">
        <v>11</v>
      </c>
    </row>
    <row r="13" spans="1:5" ht="21" x14ac:dyDescent="0.35">
      <c r="A13">
        <v>12</v>
      </c>
      <c r="B13" s="46">
        <v>1153</v>
      </c>
      <c r="D13">
        <v>12</v>
      </c>
    </row>
    <row r="14" spans="1:5" ht="21" x14ac:dyDescent="0.35">
      <c r="A14">
        <v>13</v>
      </c>
      <c r="B14" s="46">
        <v>1350</v>
      </c>
      <c r="D14">
        <v>13</v>
      </c>
    </row>
    <row r="15" spans="1:5" ht="21" x14ac:dyDescent="0.35">
      <c r="A15">
        <v>14</v>
      </c>
      <c r="B15" s="46">
        <v>1735</v>
      </c>
      <c r="D15">
        <v>14</v>
      </c>
    </row>
    <row r="16" spans="1:5" ht="21" x14ac:dyDescent="0.35">
      <c r="A16">
        <v>15</v>
      </c>
      <c r="B16" s="46">
        <v>1740</v>
      </c>
      <c r="D16">
        <v>15</v>
      </c>
    </row>
    <row r="17" spans="1:4" ht="21" x14ac:dyDescent="0.35">
      <c r="A17">
        <v>16</v>
      </c>
      <c r="B17" s="46">
        <v>1991</v>
      </c>
      <c r="D17">
        <v>16</v>
      </c>
    </row>
    <row r="18" spans="1:4" ht="21" x14ac:dyDescent="0.35">
      <c r="A18">
        <v>17</v>
      </c>
      <c r="B18" s="46">
        <v>2064</v>
      </c>
      <c r="D18">
        <v>17</v>
      </c>
    </row>
    <row r="19" spans="1:4" ht="21" x14ac:dyDescent="0.35">
      <c r="A19">
        <v>18</v>
      </c>
      <c r="B19" s="46">
        <v>2067</v>
      </c>
      <c r="D19">
        <v>18</v>
      </c>
    </row>
    <row r="20" spans="1:4" ht="21" x14ac:dyDescent="0.35">
      <c r="A20">
        <v>19</v>
      </c>
      <c r="B20" s="46">
        <v>2170</v>
      </c>
      <c r="D20">
        <v>19</v>
      </c>
    </row>
    <row r="21" spans="1:4" x14ac:dyDescent="0.25">
      <c r="A21">
        <v>20</v>
      </c>
      <c r="D21">
        <v>20</v>
      </c>
    </row>
    <row r="22" spans="1:4" ht="21" x14ac:dyDescent="0.35">
      <c r="A22">
        <v>21</v>
      </c>
      <c r="B22" s="46">
        <v>2262</v>
      </c>
    </row>
    <row r="23" spans="1:4" ht="21" x14ac:dyDescent="0.35">
      <c r="A23">
        <v>22</v>
      </c>
      <c r="B23" s="46">
        <v>2370</v>
      </c>
    </row>
    <row r="24" spans="1:4" ht="21" x14ac:dyDescent="0.35">
      <c r="A24">
        <v>23</v>
      </c>
      <c r="B24" s="46">
        <v>2590</v>
      </c>
    </row>
    <row r="25" spans="1:4" ht="21" x14ac:dyDescent="0.35">
      <c r="A25">
        <v>24</v>
      </c>
      <c r="B25" s="46">
        <v>2877</v>
      </c>
    </row>
    <row r="26" spans="1:4" ht="21" x14ac:dyDescent="0.35">
      <c r="A26">
        <v>25</v>
      </c>
      <c r="B26" s="46">
        <v>3182</v>
      </c>
    </row>
    <row r="27" spans="1:4" ht="21" x14ac:dyDescent="0.35">
      <c r="A27">
        <v>26</v>
      </c>
      <c r="B27" s="46">
        <v>3555</v>
      </c>
    </row>
    <row r="28" spans="1:4" ht="21" x14ac:dyDescent="0.35">
      <c r="A28">
        <v>27</v>
      </c>
      <c r="B28" s="46">
        <v>3623</v>
      </c>
    </row>
    <row r="29" spans="1:4" ht="21" x14ac:dyDescent="0.35">
      <c r="A29">
        <v>28</v>
      </c>
      <c r="B29" s="46">
        <v>3719</v>
      </c>
    </row>
    <row r="30" spans="1:4" ht="21" x14ac:dyDescent="0.35">
      <c r="A30">
        <v>29</v>
      </c>
      <c r="B30" s="46">
        <v>4987</v>
      </c>
    </row>
    <row r="31" spans="1:4" ht="21" x14ac:dyDescent="0.35">
      <c r="A31">
        <v>30</v>
      </c>
      <c r="B31" s="46">
        <v>5112</v>
      </c>
    </row>
    <row r="32" spans="1:4" ht="21" x14ac:dyDescent="0.35">
      <c r="A32">
        <v>31</v>
      </c>
      <c r="B32" s="46">
        <v>5347</v>
      </c>
    </row>
    <row r="33" spans="1:2" ht="21" x14ac:dyDescent="0.35">
      <c r="A33">
        <v>32</v>
      </c>
      <c r="B33" s="46">
        <v>5491</v>
      </c>
    </row>
    <row r="34" spans="1:2" ht="21" x14ac:dyDescent="0.35">
      <c r="A34">
        <v>33</v>
      </c>
      <c r="B34" s="46">
        <v>5746</v>
      </c>
    </row>
    <row r="35" spans="1:2" ht="21" x14ac:dyDescent="0.35">
      <c r="A35">
        <v>34</v>
      </c>
      <c r="B35" s="46">
        <v>6328</v>
      </c>
    </row>
    <row r="36" spans="1:2" ht="21" x14ac:dyDescent="0.35">
      <c r="A36">
        <v>35</v>
      </c>
      <c r="B36" s="46">
        <v>6723</v>
      </c>
    </row>
    <row r="37" spans="1:2" ht="21" x14ac:dyDescent="0.35">
      <c r="A37">
        <v>36</v>
      </c>
      <c r="B37" s="46">
        <v>6811</v>
      </c>
    </row>
    <row r="38" spans="1:2" ht="21" x14ac:dyDescent="0.35">
      <c r="A38">
        <v>37</v>
      </c>
      <c r="B38" s="46">
        <v>7153</v>
      </c>
    </row>
    <row r="39" spans="1:2" ht="21" x14ac:dyDescent="0.35">
      <c r="A39">
        <v>38</v>
      </c>
      <c r="B39" s="46">
        <v>7266</v>
      </c>
    </row>
    <row r="40" spans="1:2" ht="21" x14ac:dyDescent="0.35">
      <c r="A40">
        <v>39</v>
      </c>
      <c r="B40" s="46">
        <v>7760</v>
      </c>
    </row>
    <row r="41" spans="1:2" ht="21" x14ac:dyDescent="0.35">
      <c r="A41">
        <v>40</v>
      </c>
      <c r="B41" s="46">
        <v>8013</v>
      </c>
    </row>
    <row r="42" spans="1:2" ht="21" x14ac:dyDescent="0.25">
      <c r="A42">
        <v>41</v>
      </c>
      <c r="B42" s="47">
        <v>9998</v>
      </c>
    </row>
    <row r="43" spans="1:2" ht="21" x14ac:dyDescent="0.25">
      <c r="A43">
        <v>42</v>
      </c>
      <c r="B43" s="47">
        <v>9999</v>
      </c>
    </row>
    <row r="44" spans="1:2" x14ac:dyDescent="0.25">
      <c r="A44">
        <v>43</v>
      </c>
    </row>
    <row r="45" spans="1:2" x14ac:dyDescent="0.25">
      <c r="A45">
        <v>44</v>
      </c>
    </row>
    <row r="46" spans="1:2" x14ac:dyDescent="0.25">
      <c r="A46">
        <v>45</v>
      </c>
    </row>
    <row r="47" spans="1:2" x14ac:dyDescent="0.25">
      <c r="A47">
        <v>46</v>
      </c>
    </row>
    <row r="48" spans="1:2" x14ac:dyDescent="0.25">
      <c r="A48">
        <v>47</v>
      </c>
    </row>
    <row r="49" spans="1:1" x14ac:dyDescent="0.25">
      <c r="A49">
        <v>48</v>
      </c>
    </row>
    <row r="50" spans="1:1" x14ac:dyDescent="0.25">
      <c r="A50">
        <v>49</v>
      </c>
    </row>
    <row r="51" spans="1:1" x14ac:dyDescent="0.25">
      <c r="A51">
        <v>50</v>
      </c>
    </row>
    <row r="52" spans="1:1" x14ac:dyDescent="0.25">
      <c r="A52">
        <v>51</v>
      </c>
    </row>
    <row r="53" spans="1:1" x14ac:dyDescent="0.25">
      <c r="A53">
        <v>52</v>
      </c>
    </row>
    <row r="54" spans="1:1" x14ac:dyDescent="0.25">
      <c r="A54">
        <v>53</v>
      </c>
    </row>
    <row r="55" spans="1:1" x14ac:dyDescent="0.25">
      <c r="A55">
        <v>54</v>
      </c>
    </row>
    <row r="56" spans="1:1" x14ac:dyDescent="0.25">
      <c r="A56">
        <v>55</v>
      </c>
    </row>
    <row r="57" spans="1:1" x14ac:dyDescent="0.25">
      <c r="A57">
        <v>56</v>
      </c>
    </row>
    <row r="58" spans="1:1" x14ac:dyDescent="0.25">
      <c r="A58">
        <v>57</v>
      </c>
    </row>
    <row r="59" spans="1:1" x14ac:dyDescent="0.25">
      <c r="A59">
        <v>58</v>
      </c>
    </row>
    <row r="60" spans="1:1" x14ac:dyDescent="0.25">
      <c r="A60">
        <v>59</v>
      </c>
    </row>
    <row r="61" spans="1:1" x14ac:dyDescent="0.25">
      <c r="A61">
        <v>60</v>
      </c>
    </row>
    <row r="62" spans="1:1" x14ac:dyDescent="0.25">
      <c r="A62">
        <v>61</v>
      </c>
    </row>
    <row r="63" spans="1:1" x14ac:dyDescent="0.25">
      <c r="A63">
        <v>62</v>
      </c>
    </row>
    <row r="64" spans="1:1" x14ac:dyDescent="0.25">
      <c r="A64">
        <v>63</v>
      </c>
    </row>
    <row r="65" spans="1:1" x14ac:dyDescent="0.25">
      <c r="A65">
        <v>64</v>
      </c>
    </row>
    <row r="66" spans="1:1" x14ac:dyDescent="0.25">
      <c r="A66">
        <v>65</v>
      </c>
    </row>
    <row r="67" spans="1:1" x14ac:dyDescent="0.25">
      <c r="A67">
        <v>66</v>
      </c>
    </row>
    <row r="68" spans="1:1" x14ac:dyDescent="0.25">
      <c r="A68">
        <v>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47</vt:i4>
      </vt:variant>
    </vt:vector>
  </HeadingPairs>
  <TitlesOfParts>
    <vt:vector size="56" baseType="lpstr">
      <vt:lpstr>Score</vt:lpstr>
      <vt:lpstr>Auton</vt:lpstr>
      <vt:lpstr>5420</vt:lpstr>
      <vt:lpstr>alliance</vt:lpstr>
      <vt:lpstr>alliance selection</vt:lpstr>
      <vt:lpstr>Draw</vt:lpstr>
      <vt:lpstr>field</vt:lpstr>
      <vt:lpstr>weighting</vt:lpstr>
      <vt:lpstr>team listing</vt:lpstr>
      <vt:lpstr>Adjustable_Climber</vt:lpstr>
      <vt:lpstr>all_balls_scored</vt:lpstr>
      <vt:lpstr>all_balls_scored_high</vt:lpstr>
      <vt:lpstr>all_balls_scored_Low</vt:lpstr>
      <vt:lpstr>Any_Fouls</vt:lpstr>
      <vt:lpstr>Auton_Balls_Picked_Up</vt:lpstr>
      <vt:lpstr>Auton_Balls_Picked_Up_in_Mid</vt:lpstr>
      <vt:lpstr>Auton_Balls_Picked_Up_In_our_Trench</vt:lpstr>
      <vt:lpstr>Auton_Balls_Picked_Up_In_Their_Trench</vt:lpstr>
      <vt:lpstr>auton_balls_scored</vt:lpstr>
      <vt:lpstr>Auton_Extra_Balls_Picked_Up</vt:lpstr>
      <vt:lpstr>Auton_Move_Off_Line</vt:lpstr>
      <vt:lpstr>auton_our_score</vt:lpstr>
      <vt:lpstr>Auton_Scored_High</vt:lpstr>
      <vt:lpstr>Auton_Scored_Low</vt:lpstr>
      <vt:lpstr>Auton_start</vt:lpstr>
      <vt:lpstr>Auton_start_center</vt:lpstr>
      <vt:lpstr>auton_start_left</vt:lpstr>
      <vt:lpstr>auton_start_right</vt:lpstr>
      <vt:lpstr>Balanced</vt:lpstr>
      <vt:lpstr>Balls_Passed</vt:lpstr>
      <vt:lpstr>balls_scored</vt:lpstr>
      <vt:lpstr>Balls_Scored_From_Alliance_zone</vt:lpstr>
      <vt:lpstr>Balls_Scored_from_Mid</vt:lpstr>
      <vt:lpstr>Balls_Scored_From_Trench</vt:lpstr>
      <vt:lpstr>balls_scored_high</vt:lpstr>
      <vt:lpstr>balls_scored_low</vt:lpstr>
      <vt:lpstr>Breakdown__No_Show</vt:lpstr>
      <vt:lpstr>Climbed</vt:lpstr>
      <vt:lpstr>commment</vt:lpstr>
      <vt:lpstr>Contol_Panels_Spun</vt:lpstr>
      <vt:lpstr>Control_Panel_Color</vt:lpstr>
      <vt:lpstr>Control_Panel_Color_Time</vt:lpstr>
      <vt:lpstr>Control_Panel_Spun_Time</vt:lpstr>
      <vt:lpstr>Control_Panel_Time</vt:lpstr>
      <vt:lpstr>Control_Panels_Spun</vt:lpstr>
      <vt:lpstr>Defense_Level</vt:lpstr>
      <vt:lpstr>Endgame_our_score</vt:lpstr>
      <vt:lpstr>Lift_other_Robot</vt:lpstr>
      <vt:lpstr>match_number</vt:lpstr>
      <vt:lpstr>our_score</vt:lpstr>
      <vt:lpstr>recovery</vt:lpstr>
      <vt:lpstr>scouter_initials</vt:lpstr>
      <vt:lpstr>Team</vt:lpstr>
      <vt:lpstr>teleop_our_score</vt:lpstr>
      <vt:lpstr>time_spun_color_w__out_0</vt:lpstr>
      <vt:lpstr>time_spun_w__out_0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Lunatecs</dc:creator>
  <cp:lastModifiedBy>Lunatecs</cp:lastModifiedBy>
  <dcterms:created xsi:type="dcterms:W3CDTF">2020-01-07T00:43:19Z</dcterms:created>
  <dcterms:modified xsi:type="dcterms:W3CDTF">2020-03-01T15:49:07Z</dcterms:modified>
</cp:coreProperties>
</file>