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IGON\process-executor\src\main\resources\excel\"/>
    </mc:Choice>
  </mc:AlternateContent>
  <xr:revisionPtr revIDLastSave="0" documentId="13_ncr:1_{9B93577C-15FE-45D6-9CD6-A27CDD69B586}" xr6:coauthVersionLast="47" xr6:coauthVersionMax="47" xr10:uidLastSave="{00000000-0000-0000-0000-000000000000}"/>
  <bookViews>
    <workbookView xWindow="-110" yWindow="-110" windowWidth="38620" windowHeight="25100" tabRatio="343" activeTab="3" xr2:uid="{450F3A6C-B4B9-401E-BE9B-ADF9BB967B33}"/>
  </bookViews>
  <sheets>
    <sheet name="Веса" sheetId="1" r:id="rId1"/>
    <sheet name="Аналитика графом" sheetId="2" r:id="rId2"/>
    <sheet name="Аналитика статистикой" sheetId="3" r:id="rId3"/>
    <sheet name="Итоговая табличка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4" l="1"/>
  <c r="J3" i="4"/>
  <c r="G4" i="4"/>
  <c r="H3" i="4"/>
  <c r="I4" i="4"/>
  <c r="I3" i="4"/>
  <c r="I5" i="4" s="1"/>
  <c r="F4" i="4"/>
  <c r="F3" i="4"/>
  <c r="H4" i="4"/>
  <c r="G3" i="4"/>
  <c r="F5" i="4"/>
  <c r="E4" i="4"/>
  <c r="E3" i="4"/>
  <c r="D4" i="4"/>
  <c r="D3" i="4"/>
  <c r="C4" i="4"/>
  <c r="B4" i="4"/>
  <c r="C3" i="4"/>
  <c r="B3" i="4"/>
  <c r="B21" i="3"/>
  <c r="B20" i="3"/>
  <c r="AM15" i="3"/>
  <c r="I15" i="3"/>
  <c r="K15" i="3"/>
  <c r="AL15" i="3"/>
  <c r="H15" i="3"/>
  <c r="C15" i="3"/>
  <c r="C8" i="3"/>
  <c r="C7" i="3"/>
  <c r="AL6" i="3"/>
  <c r="K6" i="3"/>
  <c r="H6" i="3"/>
  <c r="C6" i="3"/>
  <c r="K17" i="2"/>
  <c r="K16" i="2"/>
  <c r="B17" i="2"/>
  <c r="B16" i="2"/>
  <c r="K11" i="2"/>
  <c r="M11" i="2"/>
  <c r="D11" i="2"/>
  <c r="N10" i="2"/>
  <c r="N11" i="2" s="1"/>
  <c r="M10" i="2"/>
  <c r="L10" i="2"/>
  <c r="K10" i="2"/>
  <c r="J10" i="2"/>
  <c r="I10" i="2"/>
  <c r="H10" i="2"/>
  <c r="H11" i="2" s="1"/>
  <c r="G10" i="2"/>
  <c r="E11" i="2" s="1"/>
  <c r="F10" i="2"/>
  <c r="E10" i="2"/>
  <c r="D10" i="2"/>
  <c r="C10" i="2"/>
  <c r="B10" i="2"/>
  <c r="B11" i="2" s="1"/>
  <c r="B12" i="2" s="1"/>
  <c r="B13" i="2" s="1"/>
  <c r="N3" i="2"/>
  <c r="M3" i="2"/>
  <c r="L3" i="2"/>
  <c r="K3" i="2"/>
  <c r="J3" i="2"/>
  <c r="I3" i="2"/>
  <c r="H3" i="2"/>
  <c r="G3" i="2"/>
  <c r="F3" i="2"/>
  <c r="E3" i="2"/>
  <c r="D3" i="2"/>
  <c r="C3" i="2"/>
  <c r="B3" i="2"/>
  <c r="N4" i="2"/>
  <c r="K4" i="2"/>
  <c r="H4" i="2"/>
  <c r="E4" i="2"/>
  <c r="D4" i="2"/>
  <c r="B4" i="2"/>
  <c r="D6" i="1"/>
  <c r="D7" i="1"/>
  <c r="D8" i="1"/>
  <c r="D9" i="1"/>
  <c r="D10" i="1"/>
  <c r="D11" i="1"/>
  <c r="D12" i="1"/>
  <c r="D13" i="1"/>
  <c r="D14" i="1"/>
  <c r="D5" i="1"/>
  <c r="C16" i="3" l="1"/>
  <c r="C17" i="3" s="1"/>
  <c r="B5" i="2"/>
  <c r="B6" i="2" s="1"/>
  <c r="B18" i="1"/>
  <c r="E3" i="1" l="1"/>
  <c r="D17" i="1"/>
  <c r="E4" i="1"/>
  <c r="E9" i="1"/>
  <c r="E6" i="1"/>
  <c r="E11" i="1"/>
  <c r="E7" i="1"/>
  <c r="E10" i="1"/>
  <c r="E13" i="1"/>
  <c r="E5" i="1"/>
  <c r="E2" i="1"/>
  <c r="E12" i="1"/>
  <c r="E14" i="1"/>
  <c r="E8" i="1"/>
  <c r="F18" i="1" l="1"/>
  <c r="E18" i="1"/>
  <c r="F19" i="1"/>
</calcChain>
</file>

<file path=xl/sharedStrings.xml><?xml version="1.0" encoding="utf-8"?>
<sst xmlns="http://schemas.openxmlformats.org/spreadsheetml/2006/main" count="226" uniqueCount="53">
  <si>
    <t>Поставка материалов</t>
  </si>
  <si>
    <t>Закупка материалов</t>
  </si>
  <si>
    <t>Операция/Задача</t>
  </si>
  <si>
    <t>Затр. время в сек.</t>
  </si>
  <si>
    <t>Резка штрипса</t>
  </si>
  <si>
    <t>Резка КР-01Л</t>
  </si>
  <si>
    <t>Сверление КР-01Л</t>
  </si>
  <si>
    <t>Гибка КР-01Л</t>
  </si>
  <si>
    <t>Резка КР-01П</t>
  </si>
  <si>
    <t>Сверление КР-01П</t>
  </si>
  <si>
    <t>Гибка КР-01П</t>
  </si>
  <si>
    <t>Резка ПКМ</t>
  </si>
  <si>
    <t>Сверление ПКМ</t>
  </si>
  <si>
    <t>Резка прокладки ППК</t>
  </si>
  <si>
    <t>Сборка НХ-01</t>
  </si>
  <si>
    <t xml:space="preserve">Мин. Партия </t>
  </si>
  <si>
    <t>Компрессия времени</t>
  </si>
  <si>
    <t>Время с компрессией</t>
  </si>
  <si>
    <t>Скорость c/оп</t>
  </si>
  <si>
    <t>Операций на кон. Изделие</t>
  </si>
  <si>
    <t>Между запусками в 1 заказе</t>
  </si>
  <si>
    <t>Операция / Задача</t>
  </si>
  <si>
    <t>Время, с</t>
  </si>
  <si>
    <t>Время групп, с</t>
  </si>
  <si>
    <t>Базовый процесс</t>
  </si>
  <si>
    <t>Время пр-са с закупкой, с</t>
  </si>
  <si>
    <t>Время пр-са без закупки, с</t>
  </si>
  <si>
    <t>Измененный процесс</t>
  </si>
  <si>
    <t>С закупкой</t>
  </si>
  <si>
    <t>Без закупки</t>
  </si>
  <si>
    <t>При партии в 100 на заказе 10000 - это экономия в 400 сек. из общего вемени в</t>
  </si>
  <si>
    <t>Улучшения</t>
  </si>
  <si>
    <t>У данного метода мы не можем оперировать количеством захода в стадию закупки (а она самая дорогая исключая сборку) поэтому оперируем только данными с графа</t>
  </si>
  <si>
    <t>мин</t>
  </si>
  <si>
    <t>ср.</t>
  </si>
  <si>
    <t>макс</t>
  </si>
  <si>
    <t>План</t>
  </si>
  <si>
    <t>Факт</t>
  </si>
  <si>
    <t>План / Факт</t>
  </si>
  <si>
    <t>тип рассчета групп</t>
  </si>
  <si>
    <t>Кол-во</t>
  </si>
  <si>
    <t>Тип процесса</t>
  </si>
  <si>
    <t>Базовый</t>
  </si>
  <si>
    <t>Изменный</t>
  </si>
  <si>
    <t>Кол-во без закупки</t>
  </si>
  <si>
    <t>Кол-во с закупкой</t>
  </si>
  <si>
    <t>Всего, с</t>
  </si>
  <si>
    <t>Без закупки, с</t>
  </si>
  <si>
    <t>С закупкой, с</t>
  </si>
  <si>
    <t>Улучшение, %</t>
  </si>
  <si>
    <t>Граф, предсказание</t>
  </si>
  <si>
    <t>Статистика, фактическая</t>
  </si>
  <si>
    <t>Расхождение с предсказанием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</si>
</sst>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5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10" fontId="1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10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10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F369-3CA8-4298-BB05-1AECDF55D2FF}">
  <dimension ref="A1:F19"/>
  <sheetViews>
    <sheetView zoomScale="200" zoomScaleNormal="200" workbookViewId="0">
      <selection activeCell="E1" activeCellId="1" sqref="A1:A14 E1:E14"/>
    </sheetView>
  </sheetViews>
  <sheetFormatPr defaultRowHeight="14.5" x14ac:dyDescent="0.35"/>
  <cols>
    <col min="1" max="1" width="31.90625" customWidth="1"/>
    <col min="2" max="3" width="13" customWidth="1"/>
    <col min="4" max="4" width="17.7265625" customWidth="1"/>
    <col min="5" max="5" width="15.36328125" customWidth="1"/>
  </cols>
  <sheetData>
    <row r="1" spans="1:5" ht="29" x14ac:dyDescent="0.35">
      <c r="A1" s="5" t="s">
        <v>2</v>
      </c>
      <c r="B1" s="3" t="s">
        <v>18</v>
      </c>
      <c r="C1" s="3" t="s">
        <v>19</v>
      </c>
      <c r="D1" s="3" t="s">
        <v>3</v>
      </c>
      <c r="E1" s="4" t="s">
        <v>17</v>
      </c>
    </row>
    <row r="2" spans="1:5" x14ac:dyDescent="0.35">
      <c r="A2" t="s">
        <v>1</v>
      </c>
      <c r="B2" s="1"/>
      <c r="C2" s="1"/>
      <c r="D2">
        <v>900</v>
      </c>
      <c r="E2" s="2">
        <f>$D2/$B$18</f>
        <v>18</v>
      </c>
    </row>
    <row r="3" spans="1:5" x14ac:dyDescent="0.35">
      <c r="A3" t="s">
        <v>0</v>
      </c>
      <c r="B3" s="1"/>
      <c r="C3" s="1"/>
      <c r="D3">
        <v>1800</v>
      </c>
      <c r="E3" s="2">
        <f t="shared" ref="E3:E14" si="0">$D3/$B$18</f>
        <v>36</v>
      </c>
    </row>
    <row r="4" spans="1:5" x14ac:dyDescent="0.35">
      <c r="A4" t="s">
        <v>4</v>
      </c>
      <c r="B4" s="1"/>
      <c r="C4" s="1"/>
      <c r="D4">
        <v>900</v>
      </c>
      <c r="E4" s="2">
        <f t="shared" si="0"/>
        <v>18</v>
      </c>
    </row>
    <row r="5" spans="1:5" x14ac:dyDescent="0.35">
      <c r="A5" t="s">
        <v>5</v>
      </c>
      <c r="B5" s="1">
        <v>0.5</v>
      </c>
      <c r="C5" s="1">
        <v>1</v>
      </c>
      <c r="D5">
        <f>$B$16*$C5*$B5</f>
        <v>50</v>
      </c>
      <c r="E5" s="2">
        <f t="shared" si="0"/>
        <v>1</v>
      </c>
    </row>
    <row r="6" spans="1:5" x14ac:dyDescent="0.35">
      <c r="A6" t="s">
        <v>6</v>
      </c>
      <c r="B6" s="1">
        <v>2.5</v>
      </c>
      <c r="C6" s="1">
        <v>2</v>
      </c>
      <c r="D6">
        <f t="shared" ref="D6:D14" si="1">$B$16*$C6*$B6</f>
        <v>500</v>
      </c>
      <c r="E6" s="2">
        <f t="shared" si="0"/>
        <v>10</v>
      </c>
    </row>
    <row r="7" spans="1:5" x14ac:dyDescent="0.35">
      <c r="A7" t="s">
        <v>7</v>
      </c>
      <c r="B7" s="1">
        <v>1</v>
      </c>
      <c r="C7" s="1">
        <v>2</v>
      </c>
      <c r="D7">
        <f t="shared" si="1"/>
        <v>200</v>
      </c>
      <c r="E7" s="2">
        <f t="shared" si="0"/>
        <v>4</v>
      </c>
    </row>
    <row r="8" spans="1:5" x14ac:dyDescent="0.35">
      <c r="A8" t="s">
        <v>8</v>
      </c>
      <c r="B8" s="1">
        <v>0.5</v>
      </c>
      <c r="C8" s="1">
        <v>1</v>
      </c>
      <c r="D8">
        <f t="shared" si="1"/>
        <v>50</v>
      </c>
      <c r="E8" s="2">
        <f t="shared" si="0"/>
        <v>1</v>
      </c>
    </row>
    <row r="9" spans="1:5" x14ac:dyDescent="0.35">
      <c r="A9" t="s">
        <v>9</v>
      </c>
      <c r="B9" s="1">
        <v>2.5</v>
      </c>
      <c r="C9" s="1">
        <v>2</v>
      </c>
      <c r="D9">
        <f t="shared" si="1"/>
        <v>500</v>
      </c>
      <c r="E9" s="2">
        <f t="shared" si="0"/>
        <v>10</v>
      </c>
    </row>
    <row r="10" spans="1:5" x14ac:dyDescent="0.35">
      <c r="A10" t="s">
        <v>10</v>
      </c>
      <c r="B10" s="1">
        <v>1</v>
      </c>
      <c r="C10" s="1">
        <v>2</v>
      </c>
      <c r="D10">
        <f t="shared" si="1"/>
        <v>200</v>
      </c>
      <c r="E10" s="2">
        <f t="shared" si="0"/>
        <v>4</v>
      </c>
    </row>
    <row r="11" spans="1:5" x14ac:dyDescent="0.35">
      <c r="A11" t="s">
        <v>11</v>
      </c>
      <c r="B11" s="1">
        <v>0.25</v>
      </c>
      <c r="C11" s="1">
        <v>2</v>
      </c>
      <c r="D11">
        <f t="shared" si="1"/>
        <v>50</v>
      </c>
      <c r="E11" s="2">
        <f t="shared" si="0"/>
        <v>1</v>
      </c>
    </row>
    <row r="12" spans="1:5" x14ac:dyDescent="0.35">
      <c r="A12" t="s">
        <v>12</v>
      </c>
      <c r="B12" s="1">
        <v>2</v>
      </c>
      <c r="C12" s="1">
        <v>4</v>
      </c>
      <c r="D12">
        <f t="shared" si="1"/>
        <v>800</v>
      </c>
      <c r="E12" s="2">
        <f t="shared" si="0"/>
        <v>16</v>
      </c>
    </row>
    <row r="13" spans="1:5" x14ac:dyDescent="0.35">
      <c r="A13" t="s">
        <v>13</v>
      </c>
      <c r="B13" s="1">
        <v>2</v>
      </c>
      <c r="C13" s="1">
        <v>1</v>
      </c>
      <c r="D13">
        <f t="shared" si="1"/>
        <v>200</v>
      </c>
      <c r="E13" s="2">
        <f t="shared" si="0"/>
        <v>4</v>
      </c>
    </row>
    <row r="14" spans="1:5" x14ac:dyDescent="0.35">
      <c r="A14" t="s">
        <v>14</v>
      </c>
      <c r="B14" s="1">
        <v>30</v>
      </c>
      <c r="C14" s="1">
        <v>1</v>
      </c>
      <c r="D14">
        <f t="shared" si="1"/>
        <v>3000</v>
      </c>
      <c r="E14" s="2">
        <f t="shared" si="0"/>
        <v>60</v>
      </c>
    </row>
    <row r="15" spans="1:5" x14ac:dyDescent="0.35">
      <c r="E15" s="2"/>
    </row>
    <row r="16" spans="1:5" x14ac:dyDescent="0.35">
      <c r="A16" t="s">
        <v>15</v>
      </c>
      <c r="B16">
        <v>100</v>
      </c>
    </row>
    <row r="17" spans="1:6" x14ac:dyDescent="0.35">
      <c r="A17" t="s">
        <v>20</v>
      </c>
      <c r="D17">
        <f>E17*B18</f>
        <v>400</v>
      </c>
      <c r="E17">
        <v>8</v>
      </c>
    </row>
    <row r="18" spans="1:6" x14ac:dyDescent="0.35">
      <c r="A18" t="s">
        <v>16</v>
      </c>
      <c r="B18">
        <f>MIN(D2:D14)</f>
        <v>50</v>
      </c>
      <c r="D18" s="6"/>
      <c r="E18">
        <f>SUM(E2:E15)</f>
        <v>183</v>
      </c>
      <c r="F18">
        <f>SUM(E4:E14)</f>
        <v>129</v>
      </c>
    </row>
    <row r="19" spans="1:6" x14ac:dyDescent="0.35">
      <c r="F19">
        <f>SUM(E5:E14)</f>
        <v>111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39269-172B-4375-95E8-3B450E6C7066}">
  <dimension ref="A1:N19"/>
  <sheetViews>
    <sheetView zoomScale="190" zoomScaleNormal="190" workbookViewId="0">
      <selection activeCell="B6" sqref="B6"/>
    </sheetView>
  </sheetViews>
  <sheetFormatPr defaultRowHeight="14.5" x14ac:dyDescent="0.35"/>
  <cols>
    <col min="1" max="1" width="24.90625" style="3" customWidth="1"/>
    <col min="2" max="2" width="11.26953125" style="3" bestFit="1" customWidth="1"/>
    <col min="3" max="16384" width="8.7265625" style="3"/>
  </cols>
  <sheetData>
    <row r="1" spans="1:14" x14ac:dyDescent="0.35">
      <c r="A1" s="21" t="s">
        <v>24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 ht="43.5" x14ac:dyDescent="0.35">
      <c r="A2" s="3" t="s">
        <v>21</v>
      </c>
      <c r="B2" s="3" t="s">
        <v>1</v>
      </c>
      <c r="C2" s="3" t="s">
        <v>0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</row>
    <row r="3" spans="1:14" x14ac:dyDescent="0.35">
      <c r="A3" s="4" t="s">
        <v>22</v>
      </c>
      <c r="B3" s="4">
        <f>Веса!$E$2</f>
        <v>18</v>
      </c>
      <c r="C3" s="4">
        <f>Веса!$E$3</f>
        <v>36</v>
      </c>
      <c r="D3" s="4">
        <f>Веса!$E$4</f>
        <v>18</v>
      </c>
      <c r="E3" s="4">
        <f>Веса!$E$5</f>
        <v>1</v>
      </c>
      <c r="F3" s="4">
        <f>Веса!$E$6</f>
        <v>10</v>
      </c>
      <c r="G3" s="4">
        <f>Веса!$E$7</f>
        <v>4</v>
      </c>
      <c r="H3" s="4">
        <f>Веса!$E$8</f>
        <v>1</v>
      </c>
      <c r="I3" s="4">
        <f>Веса!$E$9</f>
        <v>10</v>
      </c>
      <c r="J3" s="4">
        <f>Веса!$E$10</f>
        <v>4</v>
      </c>
      <c r="K3" s="4">
        <f>Веса!$E$11</f>
        <v>1</v>
      </c>
      <c r="L3" s="4">
        <f>Веса!$E$12</f>
        <v>16</v>
      </c>
      <c r="M3" s="4">
        <f>Веса!$E$13</f>
        <v>4</v>
      </c>
      <c r="N3" s="4">
        <f>Веса!$E$14</f>
        <v>60</v>
      </c>
    </row>
    <row r="4" spans="1:14" x14ac:dyDescent="0.35">
      <c r="A4" s="3" t="s">
        <v>23</v>
      </c>
      <c r="B4" s="20">
        <f>SUM(B3:C3)</f>
        <v>54</v>
      </c>
      <c r="C4" s="20"/>
      <c r="D4" s="3">
        <f>SUM(D3)</f>
        <v>18</v>
      </c>
      <c r="E4" s="20">
        <f>SUM(E3:G3)</f>
        <v>15</v>
      </c>
      <c r="F4" s="20"/>
      <c r="G4" s="20"/>
      <c r="H4" s="20">
        <f>SUM(H3:J3)</f>
        <v>15</v>
      </c>
      <c r="I4" s="20"/>
      <c r="J4" s="20"/>
      <c r="K4" s="20">
        <f>SUM(K3:M3)</f>
        <v>21</v>
      </c>
      <c r="L4" s="20"/>
      <c r="M4" s="20"/>
      <c r="N4" s="3">
        <f>SUM(N3)</f>
        <v>60</v>
      </c>
    </row>
    <row r="5" spans="1:14" x14ac:dyDescent="0.35">
      <c r="A5" s="9" t="s">
        <v>25</v>
      </c>
      <c r="B5" s="12">
        <f>B4+D4+MAX(E4:M4)+N4</f>
        <v>153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x14ac:dyDescent="0.35">
      <c r="A6" s="11" t="s">
        <v>26</v>
      </c>
      <c r="B6" s="13">
        <f>B5-B4</f>
        <v>99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8" spans="1:14" x14ac:dyDescent="0.35">
      <c r="A8" s="21" t="s">
        <v>27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43.5" x14ac:dyDescent="0.35">
      <c r="A9" s="3" t="s">
        <v>21</v>
      </c>
      <c r="B9" s="3" t="s">
        <v>1</v>
      </c>
      <c r="C9" s="3" t="s">
        <v>0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  <c r="I9" s="3" t="s">
        <v>9</v>
      </c>
      <c r="J9" s="3" t="s">
        <v>10</v>
      </c>
      <c r="K9" s="3" t="s">
        <v>11</v>
      </c>
      <c r="L9" s="3" t="s">
        <v>12</v>
      </c>
      <c r="M9" s="3" t="s">
        <v>13</v>
      </c>
      <c r="N9" s="3" t="s">
        <v>14</v>
      </c>
    </row>
    <row r="10" spans="1:14" x14ac:dyDescent="0.35">
      <c r="A10" s="4" t="s">
        <v>22</v>
      </c>
      <c r="B10" s="4">
        <f>Веса!$E$2</f>
        <v>18</v>
      </c>
      <c r="C10" s="4">
        <f>Веса!$E$3</f>
        <v>36</v>
      </c>
      <c r="D10" s="4">
        <f>Веса!$E$4</f>
        <v>18</v>
      </c>
      <c r="E10" s="4">
        <f>Веса!$E$5</f>
        <v>1</v>
      </c>
      <c r="F10" s="4">
        <f>Веса!$E$6</f>
        <v>10</v>
      </c>
      <c r="G10" s="4">
        <f>Веса!$E$7</f>
        <v>4</v>
      </c>
      <c r="H10" s="4">
        <f>Веса!$E$8</f>
        <v>1</v>
      </c>
      <c r="I10" s="4">
        <f>Веса!$E$9</f>
        <v>10</v>
      </c>
      <c r="J10" s="4">
        <f>Веса!$E$10</f>
        <v>4</v>
      </c>
      <c r="K10" s="4">
        <f>Веса!$E$11</f>
        <v>1</v>
      </c>
      <c r="L10" s="4">
        <f>Веса!$E$12</f>
        <v>16</v>
      </c>
      <c r="M10" s="4">
        <f>Веса!$E$13</f>
        <v>4</v>
      </c>
      <c r="N10" s="4">
        <f>Веса!$E$14</f>
        <v>60</v>
      </c>
    </row>
    <row r="11" spans="1:14" x14ac:dyDescent="0.35">
      <c r="A11" s="3" t="s">
        <v>23</v>
      </c>
      <c r="B11" s="20">
        <f>SUM(B10:C10)</f>
        <v>54</v>
      </c>
      <c r="C11" s="20"/>
      <c r="D11" s="3">
        <f>SUM(D10)</f>
        <v>18</v>
      </c>
      <c r="E11" s="20">
        <f>SUM(E10:G10)</f>
        <v>15</v>
      </c>
      <c r="F11" s="20"/>
      <c r="G11" s="20"/>
      <c r="H11" s="20">
        <f>SUM(H10:J10)</f>
        <v>15</v>
      </c>
      <c r="I11" s="20"/>
      <c r="J11" s="20"/>
      <c r="K11" s="20">
        <f>SUM(K10:L10)</f>
        <v>17</v>
      </c>
      <c r="L11" s="20"/>
      <c r="M11" s="3">
        <f>SUM(M10)</f>
        <v>4</v>
      </c>
      <c r="N11" s="3">
        <f>SUM(N10)</f>
        <v>60</v>
      </c>
    </row>
    <row r="12" spans="1:14" x14ac:dyDescent="0.35">
      <c r="A12" s="9" t="s">
        <v>25</v>
      </c>
      <c r="B12" s="12">
        <f>B11+D11+MAX(E11:M11)+N11</f>
        <v>149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</row>
    <row r="13" spans="1:14" x14ac:dyDescent="0.35">
      <c r="A13" s="11" t="s">
        <v>26</v>
      </c>
      <c r="B13" s="13">
        <f>B12-B11</f>
        <v>95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5" spans="1:14" x14ac:dyDescent="0.35">
      <c r="A15" s="21" t="s">
        <v>31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4" ht="14.5" customHeight="1" x14ac:dyDescent="0.35">
      <c r="A16" s="9" t="s">
        <v>28</v>
      </c>
      <c r="B16" s="16">
        <f>ABS(B12-B5)/B5</f>
        <v>2.6143790849673203E-2</v>
      </c>
      <c r="C16" s="20" t="s">
        <v>30</v>
      </c>
      <c r="D16" s="20"/>
      <c r="E16" s="20"/>
      <c r="F16" s="20"/>
      <c r="G16" s="20"/>
      <c r="H16" s="20"/>
      <c r="I16" s="20"/>
      <c r="J16" s="20"/>
      <c r="K16" s="12">
        <f>B5*100</f>
        <v>15300</v>
      </c>
      <c r="L16" s="7"/>
      <c r="M16" s="7"/>
      <c r="N16" s="7"/>
    </row>
    <row r="17" spans="1:14" ht="14.5" customHeight="1" x14ac:dyDescent="0.35">
      <c r="A17" s="11" t="s">
        <v>29</v>
      </c>
      <c r="B17" s="15">
        <f>ABS(B13-B6)/B6</f>
        <v>4.0404040404040407E-2</v>
      </c>
      <c r="C17" s="20"/>
      <c r="D17" s="20"/>
      <c r="E17" s="20"/>
      <c r="F17" s="20"/>
      <c r="G17" s="20"/>
      <c r="H17" s="20"/>
      <c r="I17" s="20"/>
      <c r="J17" s="20"/>
      <c r="K17" s="13">
        <f>B6*100</f>
        <v>9900</v>
      </c>
    </row>
    <row r="19" spans="1:14" ht="33.5" customHeight="1" x14ac:dyDescent="0.35">
      <c r="A19" s="22" t="s">
        <v>32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</row>
  </sheetData>
  <mergeCells count="13">
    <mergeCell ref="B4:C4"/>
    <mergeCell ref="E4:G4"/>
    <mergeCell ref="A1:N1"/>
    <mergeCell ref="H4:J4"/>
    <mergeCell ref="K4:M4"/>
    <mergeCell ref="C16:J17"/>
    <mergeCell ref="A15:K15"/>
    <mergeCell ref="A19:N19"/>
    <mergeCell ref="K11:L11"/>
    <mergeCell ref="A8:N8"/>
    <mergeCell ref="B11:C11"/>
    <mergeCell ref="E11:G11"/>
    <mergeCell ref="H11:J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D901C-6A60-480B-B5CD-CEBF4DC351BF}">
  <dimension ref="A1:AN24"/>
  <sheetViews>
    <sheetView zoomScale="130" zoomScaleNormal="130" workbookViewId="0">
      <selection activeCell="E51" sqref="E51"/>
    </sheetView>
  </sheetViews>
  <sheetFormatPr defaultRowHeight="14.5" x14ac:dyDescent="0.35"/>
  <cols>
    <col min="1" max="1" width="25.81640625" style="3" customWidth="1"/>
    <col min="2" max="3" width="6.6328125" style="3" customWidth="1"/>
    <col min="4" max="4" width="6.54296875" style="3" customWidth="1"/>
    <col min="5" max="7" width="6.6328125" style="3" customWidth="1"/>
    <col min="8" max="8" width="7.36328125" style="3" customWidth="1"/>
    <col min="9" max="10" width="6.6328125" style="3" customWidth="1"/>
    <col min="11" max="11" width="6.54296875" style="3" customWidth="1"/>
    <col min="12" max="14" width="6.6328125" style="3" customWidth="1"/>
    <col min="15" max="15" width="6.7265625" style="3" customWidth="1"/>
    <col min="16" max="19" width="6.6328125" style="3" customWidth="1"/>
    <col min="20" max="20" width="6.54296875" style="3" customWidth="1"/>
    <col min="21" max="22" width="6.6328125" style="3" customWidth="1"/>
    <col min="23" max="23" width="8.08984375" style="3" bestFit="1" customWidth="1"/>
    <col min="24" max="24" width="5.36328125" style="3" bestFit="1" customWidth="1"/>
    <col min="25" max="25" width="4.90625" style="3" bestFit="1" customWidth="1"/>
    <col min="26" max="26" width="8.26953125" style="3" bestFit="1" customWidth="1"/>
    <col min="27" max="27" width="4.36328125" style="3" bestFit="1" customWidth="1"/>
    <col min="28" max="28" width="4.90625" style="3" bestFit="1" customWidth="1"/>
    <col min="29" max="29" width="5.54296875" style="3" bestFit="1" customWidth="1"/>
    <col min="30" max="30" width="4.36328125" style="3" bestFit="1" customWidth="1"/>
    <col min="31" max="31" width="4.90625" style="3" bestFit="1" customWidth="1"/>
    <col min="32" max="32" width="8.08984375" style="3" bestFit="1" customWidth="1"/>
    <col min="33" max="33" width="5.36328125" style="3" bestFit="1" customWidth="1"/>
    <col min="34" max="34" width="4.90625" style="3" bestFit="1" customWidth="1"/>
    <col min="35" max="35" width="8.81640625" style="3" bestFit="1" customWidth="1"/>
    <col min="36" max="36" width="4.36328125" style="3" bestFit="1" customWidth="1"/>
    <col min="37" max="37" width="4.90625" style="3" bestFit="1" customWidth="1"/>
    <col min="38" max="38" width="6.6328125" style="3" customWidth="1"/>
    <col min="39" max="39" width="5.1796875" style="3" customWidth="1"/>
    <col min="40" max="40" width="4.90625" style="3" bestFit="1" customWidth="1"/>
    <col min="41" max="16384" width="8.7265625" style="3"/>
  </cols>
  <sheetData>
    <row r="1" spans="1:40" x14ac:dyDescent="0.35">
      <c r="A1" s="21" t="s">
        <v>24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</row>
    <row r="2" spans="1:40" ht="33.5" customHeight="1" x14ac:dyDescent="0.35">
      <c r="A2" s="3" t="s">
        <v>21</v>
      </c>
      <c r="B2" s="20" t="s">
        <v>1</v>
      </c>
      <c r="C2" s="20"/>
      <c r="D2" s="20"/>
      <c r="E2" s="20" t="s">
        <v>0</v>
      </c>
      <c r="F2" s="20"/>
      <c r="G2" s="20"/>
      <c r="H2" s="20" t="s">
        <v>4</v>
      </c>
      <c r="I2" s="20"/>
      <c r="J2" s="20"/>
      <c r="K2" s="20" t="s">
        <v>5</v>
      </c>
      <c r="L2" s="20"/>
      <c r="M2" s="20"/>
      <c r="N2" s="20" t="s">
        <v>6</v>
      </c>
      <c r="O2" s="20"/>
      <c r="P2" s="20"/>
      <c r="Q2" s="20" t="s">
        <v>7</v>
      </c>
      <c r="R2" s="20"/>
      <c r="S2" s="20"/>
      <c r="T2" s="20" t="s">
        <v>8</v>
      </c>
      <c r="U2" s="20"/>
      <c r="V2" s="20"/>
      <c r="W2" s="20" t="s">
        <v>9</v>
      </c>
      <c r="X2" s="20"/>
      <c r="Y2" s="20"/>
      <c r="Z2" s="20" t="s">
        <v>10</v>
      </c>
      <c r="AA2" s="20"/>
      <c r="AB2" s="20"/>
      <c r="AC2" s="20" t="s">
        <v>11</v>
      </c>
      <c r="AD2" s="20"/>
      <c r="AE2" s="20"/>
      <c r="AF2" s="20" t="s">
        <v>12</v>
      </c>
      <c r="AG2" s="20"/>
      <c r="AH2" s="20"/>
      <c r="AI2" s="20" t="s">
        <v>13</v>
      </c>
      <c r="AJ2" s="20"/>
      <c r="AK2" s="20"/>
      <c r="AL2" s="20" t="s">
        <v>14</v>
      </c>
      <c r="AM2" s="20"/>
      <c r="AN2" s="20"/>
    </row>
    <row r="3" spans="1:40" x14ac:dyDescent="0.35">
      <c r="B3" s="3" t="s">
        <v>33</v>
      </c>
      <c r="C3" s="3" t="s">
        <v>34</v>
      </c>
      <c r="D3" s="3" t="s">
        <v>35</v>
      </c>
      <c r="E3" s="3" t="s">
        <v>33</v>
      </c>
      <c r="F3" s="3" t="s">
        <v>34</v>
      </c>
      <c r="G3" s="3" t="s">
        <v>35</v>
      </c>
      <c r="H3" s="3" t="s">
        <v>33</v>
      </c>
      <c r="I3" s="3" t="s">
        <v>34</v>
      </c>
      <c r="J3" s="3" t="s">
        <v>35</v>
      </c>
      <c r="K3" s="3" t="s">
        <v>33</v>
      </c>
      <c r="L3" s="3" t="s">
        <v>34</v>
      </c>
      <c r="M3" s="3" t="s">
        <v>35</v>
      </c>
      <c r="N3" s="3" t="s">
        <v>33</v>
      </c>
      <c r="O3" s="3" t="s">
        <v>34</v>
      </c>
      <c r="P3" s="3" t="s">
        <v>35</v>
      </c>
      <c r="Q3" s="3" t="s">
        <v>33</v>
      </c>
      <c r="R3" s="3" t="s">
        <v>34</v>
      </c>
      <c r="S3" s="3" t="s">
        <v>35</v>
      </c>
      <c r="T3" s="3" t="s">
        <v>33</v>
      </c>
      <c r="U3" s="3" t="s">
        <v>34</v>
      </c>
      <c r="V3" s="3" t="s">
        <v>35</v>
      </c>
      <c r="W3" s="3" t="s">
        <v>33</v>
      </c>
      <c r="X3" s="3" t="s">
        <v>34</v>
      </c>
      <c r="Y3" s="3" t="s">
        <v>35</v>
      </c>
      <c r="Z3" s="3" t="s">
        <v>33</v>
      </c>
      <c r="AA3" s="3" t="s">
        <v>34</v>
      </c>
      <c r="AB3" s="3" t="s">
        <v>35</v>
      </c>
      <c r="AC3" s="3" t="s">
        <v>33</v>
      </c>
      <c r="AD3" s="3" t="s">
        <v>34</v>
      </c>
      <c r="AE3" s="3" t="s">
        <v>35</v>
      </c>
      <c r="AF3" s="3" t="s">
        <v>33</v>
      </c>
      <c r="AG3" s="3" t="s">
        <v>34</v>
      </c>
      <c r="AH3" s="3" t="s">
        <v>35</v>
      </c>
      <c r="AI3" s="3" t="s">
        <v>33</v>
      </c>
      <c r="AJ3" s="3" t="s">
        <v>34</v>
      </c>
      <c r="AK3" s="3" t="s">
        <v>35</v>
      </c>
      <c r="AL3" s="3" t="s">
        <v>33</v>
      </c>
      <c r="AM3" s="3" t="s">
        <v>34</v>
      </c>
      <c r="AN3" s="3" t="s">
        <v>35</v>
      </c>
    </row>
    <row r="4" spans="1:40" x14ac:dyDescent="0.35">
      <c r="A4" s="3" t="s">
        <v>22</v>
      </c>
      <c r="B4" s="3">
        <v>21</v>
      </c>
      <c r="C4" s="4">
        <v>30.5</v>
      </c>
      <c r="D4" s="3">
        <v>56</v>
      </c>
      <c r="E4" s="3">
        <v>38</v>
      </c>
      <c r="F4" s="4">
        <v>39.299999999999997</v>
      </c>
      <c r="G4" s="3">
        <v>40</v>
      </c>
      <c r="H4" s="3">
        <v>18</v>
      </c>
      <c r="I4" s="4">
        <v>19.7</v>
      </c>
      <c r="J4" s="3">
        <v>20</v>
      </c>
      <c r="K4" s="3">
        <v>3</v>
      </c>
      <c r="L4" s="4">
        <v>4.87</v>
      </c>
      <c r="M4" s="3">
        <v>5</v>
      </c>
      <c r="N4" s="3">
        <v>10</v>
      </c>
      <c r="O4" s="4">
        <v>10.119999999999999</v>
      </c>
      <c r="P4" s="3">
        <v>14</v>
      </c>
      <c r="Q4" s="3">
        <v>4</v>
      </c>
      <c r="R4" s="4">
        <v>4.24</v>
      </c>
      <c r="S4" s="3">
        <v>5</v>
      </c>
      <c r="T4" s="3">
        <v>3</v>
      </c>
      <c r="U4" s="4">
        <v>4.87</v>
      </c>
      <c r="V4" s="3">
        <v>5</v>
      </c>
      <c r="W4" s="3">
        <v>10</v>
      </c>
      <c r="X4" s="4">
        <v>10.25</v>
      </c>
      <c r="Y4" s="3">
        <v>15</v>
      </c>
      <c r="Z4" s="3">
        <v>4</v>
      </c>
      <c r="AA4" s="4">
        <v>4.1900000000000004</v>
      </c>
      <c r="AB4" s="3">
        <v>5</v>
      </c>
      <c r="AC4" s="3">
        <v>3</v>
      </c>
      <c r="AD4" s="4">
        <v>4.87</v>
      </c>
      <c r="AE4" s="3">
        <v>5</v>
      </c>
      <c r="AF4" s="3">
        <v>16</v>
      </c>
      <c r="AG4" s="4">
        <v>19.64</v>
      </c>
      <c r="AH4" s="3">
        <v>20</v>
      </c>
      <c r="AI4" s="3">
        <v>4</v>
      </c>
      <c r="AJ4" s="4">
        <v>4.3899999999999997</v>
      </c>
      <c r="AK4" s="3">
        <v>9</v>
      </c>
      <c r="AL4" s="3">
        <v>60</v>
      </c>
      <c r="AM4" s="4">
        <v>60.3</v>
      </c>
      <c r="AN4" s="3">
        <v>65</v>
      </c>
    </row>
    <row r="5" spans="1:40" x14ac:dyDescent="0.35">
      <c r="A5" s="4" t="s">
        <v>39</v>
      </c>
      <c r="B5" s="21" t="s">
        <v>36</v>
      </c>
      <c r="C5" s="21"/>
      <c r="D5" s="21"/>
      <c r="E5" s="21" t="s">
        <v>37</v>
      </c>
      <c r="F5" s="21"/>
      <c r="G5" s="21"/>
      <c r="H5" s="4" t="s">
        <v>36</v>
      </c>
      <c r="I5" s="21" t="s">
        <v>37</v>
      </c>
      <c r="J5" s="21"/>
      <c r="K5" s="21" t="s">
        <v>36</v>
      </c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 t="s">
        <v>37</v>
      </c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4" t="s">
        <v>36</v>
      </c>
      <c r="AM5" s="21" t="s">
        <v>37</v>
      </c>
      <c r="AN5" s="21"/>
    </row>
    <row r="6" spans="1:40" ht="29" x14ac:dyDescent="0.35">
      <c r="A6" s="3" t="s">
        <v>23</v>
      </c>
      <c r="B6" s="3" t="s">
        <v>38</v>
      </c>
      <c r="C6" s="20">
        <f>C4+F4</f>
        <v>69.8</v>
      </c>
      <c r="D6" s="20"/>
      <c r="E6" s="21">
        <v>70.2</v>
      </c>
      <c r="F6" s="21"/>
      <c r="G6" s="21"/>
      <c r="H6" s="3">
        <f>I4</f>
        <v>19.7</v>
      </c>
      <c r="I6" s="21">
        <v>19.7</v>
      </c>
      <c r="J6" s="21"/>
      <c r="K6" s="20">
        <f>MAX((L4+O4+R4),(U4+X4+AA4),(AD4+AG4+AJ4))</f>
        <v>28.900000000000002</v>
      </c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1">
        <v>29.87</v>
      </c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L6" s="3">
        <f>AM4</f>
        <v>60.3</v>
      </c>
      <c r="AM6" s="21">
        <v>60.3</v>
      </c>
      <c r="AN6" s="21"/>
    </row>
    <row r="7" spans="1:40" x14ac:dyDescent="0.35">
      <c r="A7" s="9" t="s">
        <v>25</v>
      </c>
      <c r="B7" s="24" t="s">
        <v>36</v>
      </c>
      <c r="C7" s="24">
        <f>C6+H6+K6+AL6</f>
        <v>178.7</v>
      </c>
      <c r="D7" s="24"/>
      <c r="E7" s="25" t="s">
        <v>37</v>
      </c>
      <c r="F7" s="25">
        <v>171.9</v>
      </c>
      <c r="G7" s="25"/>
      <c r="H7" s="9" t="s">
        <v>40</v>
      </c>
      <c r="I7" s="9">
        <v>10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</row>
    <row r="8" spans="1:40" x14ac:dyDescent="0.35">
      <c r="A8" s="11" t="s">
        <v>26</v>
      </c>
      <c r="B8" s="24"/>
      <c r="C8" s="26">
        <f>C7-C6</f>
        <v>108.89999999999999</v>
      </c>
      <c r="D8" s="26"/>
      <c r="E8" s="25"/>
      <c r="F8" s="27">
        <v>92.3</v>
      </c>
      <c r="G8" s="27"/>
      <c r="H8" s="11" t="s">
        <v>40</v>
      </c>
      <c r="I8" s="11">
        <v>90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</row>
    <row r="10" spans="1:40" x14ac:dyDescent="0.35">
      <c r="A10" s="21" t="s">
        <v>27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</row>
    <row r="11" spans="1:40" ht="37" customHeight="1" x14ac:dyDescent="0.35">
      <c r="A11" s="3" t="s">
        <v>21</v>
      </c>
      <c r="B11" s="20" t="s">
        <v>1</v>
      </c>
      <c r="C11" s="20"/>
      <c r="D11" s="20"/>
      <c r="E11" s="20" t="s">
        <v>0</v>
      </c>
      <c r="F11" s="20"/>
      <c r="G11" s="20"/>
      <c r="H11" s="20" t="s">
        <v>4</v>
      </c>
      <c r="I11" s="20"/>
      <c r="J11" s="20"/>
      <c r="K11" s="20" t="s">
        <v>5</v>
      </c>
      <c r="L11" s="20"/>
      <c r="M11" s="20"/>
      <c r="N11" s="20" t="s">
        <v>6</v>
      </c>
      <c r="O11" s="20"/>
      <c r="P11" s="20"/>
      <c r="Q11" s="20" t="s">
        <v>7</v>
      </c>
      <c r="R11" s="20"/>
      <c r="S11" s="20"/>
      <c r="T11" s="20" t="s">
        <v>8</v>
      </c>
      <c r="U11" s="20"/>
      <c r="V11" s="20"/>
      <c r="W11" s="20" t="s">
        <v>9</v>
      </c>
      <c r="X11" s="20"/>
      <c r="Y11" s="20"/>
      <c r="Z11" s="20" t="s">
        <v>10</v>
      </c>
      <c r="AA11" s="20"/>
      <c r="AB11" s="20"/>
      <c r="AC11" s="20" t="s">
        <v>11</v>
      </c>
      <c r="AD11" s="20"/>
      <c r="AE11" s="20"/>
      <c r="AF11" s="20" t="s">
        <v>12</v>
      </c>
      <c r="AG11" s="20"/>
      <c r="AH11" s="20"/>
      <c r="AI11" s="20" t="s">
        <v>13</v>
      </c>
      <c r="AJ11" s="20"/>
      <c r="AK11" s="20"/>
      <c r="AL11" s="20" t="s">
        <v>14</v>
      </c>
      <c r="AM11" s="20"/>
      <c r="AN11" s="20"/>
    </row>
    <row r="12" spans="1:40" x14ac:dyDescent="0.35">
      <c r="B12" s="3" t="s">
        <v>33</v>
      </c>
      <c r="C12" s="3" t="s">
        <v>34</v>
      </c>
      <c r="D12" s="3" t="s">
        <v>35</v>
      </c>
      <c r="E12" s="3" t="s">
        <v>33</v>
      </c>
      <c r="F12" s="3" t="s">
        <v>34</v>
      </c>
      <c r="G12" s="3" t="s">
        <v>35</v>
      </c>
      <c r="H12" s="3" t="s">
        <v>33</v>
      </c>
      <c r="I12" s="3" t="s">
        <v>34</v>
      </c>
      <c r="J12" s="3" t="s">
        <v>35</v>
      </c>
      <c r="K12" s="3" t="s">
        <v>33</v>
      </c>
      <c r="L12" s="3" t="s">
        <v>34</v>
      </c>
      <c r="M12" s="3" t="s">
        <v>35</v>
      </c>
      <c r="N12" s="3" t="s">
        <v>33</v>
      </c>
      <c r="O12" s="3" t="s">
        <v>34</v>
      </c>
      <c r="P12" s="3" t="s">
        <v>35</v>
      </c>
      <c r="Q12" s="3" t="s">
        <v>33</v>
      </c>
      <c r="R12" s="3" t="s">
        <v>34</v>
      </c>
      <c r="S12" s="3" t="s">
        <v>35</v>
      </c>
      <c r="T12" s="3" t="s">
        <v>33</v>
      </c>
      <c r="U12" s="3" t="s">
        <v>34</v>
      </c>
      <c r="V12" s="3" t="s">
        <v>35</v>
      </c>
      <c r="W12" s="3" t="s">
        <v>33</v>
      </c>
      <c r="X12" s="3" t="s">
        <v>34</v>
      </c>
      <c r="Y12" s="3" t="s">
        <v>35</v>
      </c>
      <c r="Z12" s="3" t="s">
        <v>33</v>
      </c>
      <c r="AA12" s="3" t="s">
        <v>34</v>
      </c>
      <c r="AB12" s="3" t="s">
        <v>35</v>
      </c>
      <c r="AC12" s="3" t="s">
        <v>33</v>
      </c>
      <c r="AD12" s="3" t="s">
        <v>34</v>
      </c>
      <c r="AE12" s="3" t="s">
        <v>35</v>
      </c>
      <c r="AF12" s="3" t="s">
        <v>33</v>
      </c>
      <c r="AG12" s="3" t="s">
        <v>34</v>
      </c>
      <c r="AH12" s="3" t="s">
        <v>35</v>
      </c>
      <c r="AI12" s="3" t="s">
        <v>33</v>
      </c>
      <c r="AJ12" s="3" t="s">
        <v>34</v>
      </c>
      <c r="AK12" s="3" t="s">
        <v>35</v>
      </c>
      <c r="AL12" s="3" t="s">
        <v>33</v>
      </c>
      <c r="AM12" s="3" t="s">
        <v>34</v>
      </c>
      <c r="AN12" s="3" t="s">
        <v>35</v>
      </c>
    </row>
    <row r="13" spans="1:40" x14ac:dyDescent="0.35">
      <c r="A13" s="3" t="s">
        <v>22</v>
      </c>
      <c r="B13" s="3">
        <v>21</v>
      </c>
      <c r="C13" s="4">
        <v>23</v>
      </c>
      <c r="D13" s="3">
        <v>26</v>
      </c>
      <c r="E13" s="3">
        <v>38</v>
      </c>
      <c r="F13" s="4">
        <v>38.799999999999997</v>
      </c>
      <c r="G13" s="3">
        <v>40</v>
      </c>
      <c r="H13" s="3">
        <v>18</v>
      </c>
      <c r="I13" s="4">
        <v>19.8</v>
      </c>
      <c r="J13" s="3">
        <v>20</v>
      </c>
      <c r="K13" s="3">
        <v>3</v>
      </c>
      <c r="L13" s="4">
        <v>4.87</v>
      </c>
      <c r="M13" s="3">
        <v>5</v>
      </c>
      <c r="N13" s="3">
        <v>10</v>
      </c>
      <c r="O13" s="4">
        <v>10.18</v>
      </c>
      <c r="P13" s="3">
        <v>14</v>
      </c>
      <c r="Q13" s="3">
        <v>4</v>
      </c>
      <c r="R13" s="4">
        <v>4.2699999999999996</v>
      </c>
      <c r="S13" s="3">
        <v>5</v>
      </c>
      <c r="T13" s="3">
        <v>4</v>
      </c>
      <c r="U13" s="4">
        <v>4.99</v>
      </c>
      <c r="V13" s="3">
        <v>5</v>
      </c>
      <c r="W13" s="3">
        <v>10</v>
      </c>
      <c r="X13" s="4">
        <v>10.220000000000001</v>
      </c>
      <c r="Y13" s="3">
        <v>14</v>
      </c>
      <c r="Z13" s="3">
        <v>4</v>
      </c>
      <c r="AA13" s="4">
        <v>4.2300000000000004</v>
      </c>
      <c r="AB13" s="3">
        <v>5</v>
      </c>
      <c r="AC13" s="3">
        <v>4</v>
      </c>
      <c r="AD13" s="4">
        <v>4.99</v>
      </c>
      <c r="AE13" s="3">
        <v>5</v>
      </c>
      <c r="AF13" s="3">
        <v>18</v>
      </c>
      <c r="AG13" s="4">
        <v>19.91</v>
      </c>
      <c r="AH13" s="3">
        <v>20</v>
      </c>
      <c r="AI13" s="3">
        <v>4</v>
      </c>
      <c r="AJ13" s="4">
        <v>4.99</v>
      </c>
      <c r="AK13" s="3">
        <v>5</v>
      </c>
      <c r="AL13" s="3">
        <v>60</v>
      </c>
      <c r="AM13" s="4">
        <v>60.15</v>
      </c>
      <c r="AN13" s="3">
        <v>65</v>
      </c>
    </row>
    <row r="14" spans="1:40" x14ac:dyDescent="0.35">
      <c r="A14" s="4" t="s">
        <v>39</v>
      </c>
      <c r="B14" s="21" t="s">
        <v>36</v>
      </c>
      <c r="C14" s="21"/>
      <c r="D14" s="21"/>
      <c r="E14" s="21" t="s">
        <v>37</v>
      </c>
      <c r="F14" s="21"/>
      <c r="G14" s="21"/>
      <c r="H14" s="4" t="s">
        <v>36</v>
      </c>
      <c r="I14" s="21" t="s">
        <v>37</v>
      </c>
      <c r="J14" s="21"/>
      <c r="K14" s="21" t="s">
        <v>36</v>
      </c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 t="s">
        <v>37</v>
      </c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4" t="s">
        <v>36</v>
      </c>
      <c r="AM14" s="21" t="s">
        <v>37</v>
      </c>
      <c r="AN14" s="21"/>
    </row>
    <row r="15" spans="1:40" ht="29" x14ac:dyDescent="0.35">
      <c r="A15" s="3" t="s">
        <v>23</v>
      </c>
      <c r="B15" s="3" t="s">
        <v>38</v>
      </c>
      <c r="C15" s="20">
        <f>C13+F13</f>
        <v>61.8</v>
      </c>
      <c r="D15" s="20"/>
      <c r="E15" s="21">
        <v>62.6</v>
      </c>
      <c r="F15" s="21"/>
      <c r="G15" s="21"/>
      <c r="H15" s="3">
        <f>I13</f>
        <v>19.8</v>
      </c>
      <c r="I15" s="21">
        <f>I13</f>
        <v>19.8</v>
      </c>
      <c r="J15" s="21"/>
      <c r="K15" s="20">
        <f>MAX((L13+O13+R13),(U13+X13+AA13),(AD13+AG13),AJ13)</f>
        <v>24.9</v>
      </c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1">
        <v>24.95</v>
      </c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L15" s="3">
        <f>AM13</f>
        <v>60.15</v>
      </c>
      <c r="AM15" s="21">
        <f>AM13</f>
        <v>60.15</v>
      </c>
      <c r="AN15" s="21"/>
    </row>
    <row r="16" spans="1:40" x14ac:dyDescent="0.35">
      <c r="A16" s="9" t="s">
        <v>25</v>
      </c>
      <c r="B16" s="24" t="s">
        <v>36</v>
      </c>
      <c r="C16" s="24">
        <f>C15+H15+K15+AL15</f>
        <v>166.65</v>
      </c>
      <c r="D16" s="24"/>
      <c r="E16" s="25" t="s">
        <v>37</v>
      </c>
      <c r="F16" s="25">
        <v>153.12</v>
      </c>
      <c r="G16" s="25"/>
      <c r="H16" s="9" t="s">
        <v>40</v>
      </c>
      <c r="I16" s="9">
        <v>7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</row>
    <row r="17" spans="1:38" x14ac:dyDescent="0.35">
      <c r="A17" s="11" t="s">
        <v>26</v>
      </c>
      <c r="B17" s="24"/>
      <c r="C17" s="26">
        <f>C16-C15</f>
        <v>104.85000000000001</v>
      </c>
      <c r="D17" s="26"/>
      <c r="E17" s="25"/>
      <c r="F17" s="27">
        <v>87.08</v>
      </c>
      <c r="G17" s="27"/>
      <c r="H17" s="11" t="s">
        <v>40</v>
      </c>
      <c r="I17" s="11">
        <v>93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</row>
    <row r="19" spans="1:38" x14ac:dyDescent="0.35">
      <c r="A19" s="21" t="s">
        <v>31</v>
      </c>
      <c r="B19" s="21"/>
      <c r="C19" s="8"/>
      <c r="D19" s="8"/>
      <c r="E19" s="8"/>
      <c r="F19" s="8"/>
      <c r="G19" s="8"/>
      <c r="H19" s="8"/>
      <c r="I19" s="8"/>
      <c r="J19" s="8"/>
      <c r="K19" s="8"/>
    </row>
    <row r="20" spans="1:38" ht="14.5" customHeight="1" x14ac:dyDescent="0.35">
      <c r="A20" s="9" t="s">
        <v>28</v>
      </c>
      <c r="B20" s="16">
        <f>ABS(C16-C7)/C7</f>
        <v>6.7431449356463252E-2</v>
      </c>
      <c r="C20" s="23"/>
      <c r="D20" s="7"/>
      <c r="E20" s="7"/>
      <c r="F20" s="7"/>
      <c r="G20" s="7"/>
      <c r="H20" s="7"/>
      <c r="I20" s="7"/>
      <c r="J20" s="7"/>
      <c r="K20" s="12"/>
    </row>
    <row r="21" spans="1:38" x14ac:dyDescent="0.35">
      <c r="A21" s="11" t="s">
        <v>29</v>
      </c>
      <c r="B21" s="15">
        <f>ABS(C17-C8)/C8</f>
        <v>3.7190082644627948E-2</v>
      </c>
      <c r="C21" s="21"/>
      <c r="D21" s="7"/>
      <c r="E21" s="7"/>
      <c r="F21" s="7"/>
      <c r="G21" s="7"/>
      <c r="H21" s="7"/>
      <c r="I21" s="7"/>
      <c r="J21" s="7"/>
      <c r="K21" s="13"/>
    </row>
    <row r="24" spans="1:38" x14ac:dyDescent="0.35">
      <c r="M24" s="7"/>
    </row>
  </sheetData>
  <mergeCells count="66">
    <mergeCell ref="A1:AN1"/>
    <mergeCell ref="A10:AN10"/>
    <mergeCell ref="B11:D11"/>
    <mergeCell ref="E11:G11"/>
    <mergeCell ref="H11:J11"/>
    <mergeCell ref="K11:M11"/>
    <mergeCell ref="N11:P11"/>
    <mergeCell ref="Q11:S11"/>
    <mergeCell ref="T11:V11"/>
    <mergeCell ref="B2:D2"/>
    <mergeCell ref="E2:G2"/>
    <mergeCell ref="H2:J2"/>
    <mergeCell ref="K2:M2"/>
    <mergeCell ref="N2:P2"/>
    <mergeCell ref="Q2:S2"/>
    <mergeCell ref="T2:V2"/>
    <mergeCell ref="AI11:AK11"/>
    <mergeCell ref="AL11:AN11"/>
    <mergeCell ref="C6:D6"/>
    <mergeCell ref="E6:G6"/>
    <mergeCell ref="AL2:AN2"/>
    <mergeCell ref="W2:Y2"/>
    <mergeCell ref="W11:Y11"/>
    <mergeCell ref="Z11:AB11"/>
    <mergeCell ref="AC11:AE11"/>
    <mergeCell ref="AF11:AH11"/>
    <mergeCell ref="Z2:AB2"/>
    <mergeCell ref="AC2:AE2"/>
    <mergeCell ref="AF2:AH2"/>
    <mergeCell ref="AI2:AK2"/>
    <mergeCell ref="AM5:AN5"/>
    <mergeCell ref="AM6:AN6"/>
    <mergeCell ref="C7:D7"/>
    <mergeCell ref="F7:G7"/>
    <mergeCell ref="C8:D8"/>
    <mergeCell ref="F8:G8"/>
    <mergeCell ref="B5:D5"/>
    <mergeCell ref="E5:G5"/>
    <mergeCell ref="I5:J5"/>
    <mergeCell ref="I6:J6"/>
    <mergeCell ref="K5:V5"/>
    <mergeCell ref="W5:AK5"/>
    <mergeCell ref="K6:V6"/>
    <mergeCell ref="W6:AI6"/>
    <mergeCell ref="B7:B8"/>
    <mergeCell ref="E7:E8"/>
    <mergeCell ref="B14:D14"/>
    <mergeCell ref="E14:G14"/>
    <mergeCell ref="I14:J14"/>
    <mergeCell ref="F16:G16"/>
    <mergeCell ref="C17:D17"/>
    <mergeCell ref="F17:G17"/>
    <mergeCell ref="W14:AK14"/>
    <mergeCell ref="AM14:AN14"/>
    <mergeCell ref="C15:D15"/>
    <mergeCell ref="E15:G15"/>
    <mergeCell ref="I15:J15"/>
    <mergeCell ref="K15:V15"/>
    <mergeCell ref="W15:AI15"/>
    <mergeCell ref="AM15:AN15"/>
    <mergeCell ref="K14:V14"/>
    <mergeCell ref="A19:B19"/>
    <mergeCell ref="C20:C21"/>
    <mergeCell ref="B16:B17"/>
    <mergeCell ref="C16:D16"/>
    <mergeCell ref="E16:E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F5F94-D5F2-463B-B7B1-6558D5CB1578}">
  <dimension ref="A1:J5"/>
  <sheetViews>
    <sheetView tabSelected="1" zoomScale="175" zoomScaleNormal="175" workbookViewId="0">
      <selection activeCell="J13" sqref="J13"/>
    </sheetView>
  </sheetViews>
  <sheetFormatPr defaultRowHeight="14.5" x14ac:dyDescent="0.35"/>
  <cols>
    <col min="1" max="1" width="14.1796875" style="3" customWidth="1"/>
    <col min="2" max="2" width="12.90625" style="3" customWidth="1"/>
    <col min="3" max="3" width="12.6328125" style="3" customWidth="1"/>
    <col min="4" max="4" width="12.36328125" style="3" customWidth="1"/>
    <col min="5" max="5" width="14.453125" style="3" customWidth="1"/>
    <col min="6" max="6" width="10" style="4" customWidth="1"/>
    <col min="7" max="7" width="13" style="3" customWidth="1"/>
    <col min="8" max="8" width="12.90625" style="3" customWidth="1"/>
    <col min="9" max="9" width="11.08984375" style="3" customWidth="1"/>
    <col min="10" max="10" width="14.08984375" style="3" bestFit="1" customWidth="1"/>
    <col min="11" max="16384" width="8.7265625" style="3"/>
  </cols>
  <sheetData>
    <row r="1" spans="1:10" x14ac:dyDescent="0.35">
      <c r="A1" s="4"/>
      <c r="B1" s="4"/>
      <c r="C1" s="4"/>
      <c r="D1" s="21" t="s">
        <v>50</v>
      </c>
      <c r="E1" s="21"/>
      <c r="F1" s="21"/>
      <c r="G1" s="21" t="s">
        <v>51</v>
      </c>
      <c r="H1" s="21"/>
      <c r="I1" s="21"/>
    </row>
    <row r="2" spans="1:10" ht="31.5" customHeight="1" x14ac:dyDescent="0.35">
      <c r="A2" s="3" t="s">
        <v>41</v>
      </c>
      <c r="B2" s="3" t="s">
        <v>45</v>
      </c>
      <c r="C2" s="3" t="s">
        <v>44</v>
      </c>
      <c r="D2" s="3" t="s">
        <v>48</v>
      </c>
      <c r="E2" s="3" t="s">
        <v>47</v>
      </c>
      <c r="F2" s="4" t="s">
        <v>46</v>
      </c>
      <c r="G2" s="3" t="s">
        <v>48</v>
      </c>
      <c r="H2" s="3" t="s">
        <v>47</v>
      </c>
      <c r="I2" s="4" t="s">
        <v>46</v>
      </c>
      <c r="J2" s="10" t="s">
        <v>52</v>
      </c>
    </row>
    <row r="3" spans="1:10" x14ac:dyDescent="0.35">
      <c r="A3" s="3" t="s">
        <v>42</v>
      </c>
      <c r="B3" s="3">
        <f>'Аналитика статистикой'!I7</f>
        <v>10</v>
      </c>
      <c r="C3" s="3">
        <f>'Аналитика статистикой'!I8</f>
        <v>90</v>
      </c>
      <c r="D3" s="3">
        <f>'Аналитика графом'!B5</f>
        <v>153</v>
      </c>
      <c r="E3" s="3">
        <f>'Аналитика графом'!B6</f>
        <v>99</v>
      </c>
      <c r="F3" s="4">
        <f>(D3*$B3)+(E3*$C3)</f>
        <v>10440</v>
      </c>
      <c r="G3" s="3">
        <f>'Аналитика статистикой'!F7</f>
        <v>171.9</v>
      </c>
      <c r="H3" s="3">
        <f>'Аналитика статистикой'!F8</f>
        <v>92.3</v>
      </c>
      <c r="I3" s="4">
        <f>(G3*$B3)+(H3*$C3)</f>
        <v>10026</v>
      </c>
      <c r="J3" s="19">
        <f>(F3-I3)/F3</f>
        <v>3.9655172413793106E-2</v>
      </c>
    </row>
    <row r="4" spans="1:10" x14ac:dyDescent="0.35">
      <c r="A4" s="3" t="s">
        <v>43</v>
      </c>
      <c r="B4" s="3">
        <f>'Аналитика статистикой'!I16</f>
        <v>7</v>
      </c>
      <c r="C4" s="3">
        <f>'Аналитика статистикой'!I17</f>
        <v>93</v>
      </c>
      <c r="D4" s="3">
        <f>'Аналитика графом'!B12</f>
        <v>149</v>
      </c>
      <c r="E4" s="3">
        <f>'Аналитика графом'!B13</f>
        <v>95</v>
      </c>
      <c r="F4" s="4">
        <f>(D4*$B4)+(E4*$C4)</f>
        <v>9878</v>
      </c>
      <c r="G4" s="3">
        <f>'Аналитика статистикой'!F16</f>
        <v>153.12</v>
      </c>
      <c r="H4" s="3">
        <f>'Аналитика статистикой'!F17</f>
        <v>87.08</v>
      </c>
      <c r="I4" s="4">
        <f>(G4*$B4)+(H4*$C4)</f>
        <v>9170.2799999999988</v>
      </c>
      <c r="J4" s="19">
        <f>(F4-I4)/F4</f>
        <v>7.1646082202875189E-2</v>
      </c>
    </row>
    <row r="5" spans="1:10" x14ac:dyDescent="0.35">
      <c r="A5" s="3" t="s">
        <v>49</v>
      </c>
      <c r="F5" s="14">
        <f>(F3-F4)/F3</f>
        <v>5.3831417624521073E-2</v>
      </c>
      <c r="I5" s="14">
        <f>(I3-I4)/I3</f>
        <v>8.5350089766606935E-2</v>
      </c>
    </row>
  </sheetData>
  <mergeCells count="2">
    <mergeCell ref="G1:I1"/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Веса</vt:lpstr>
      <vt:lpstr>Аналитика графом</vt:lpstr>
      <vt:lpstr>Аналитика статистикой</vt:lpstr>
      <vt:lpstr>Итоговая табличка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Holl</dc:creator>
  <cp:lastModifiedBy>Anthony Holl</cp:lastModifiedBy>
  <dcterms:created xsi:type="dcterms:W3CDTF">2023-02-12T16:45:59Z</dcterms:created>
  <dcterms:modified xsi:type="dcterms:W3CDTF">2023-02-14T18:11:33Z</dcterms:modified>
</cp:coreProperties>
</file>