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showInkAnnotation="0" defaultThemeVersion="124226"/>
  <bookViews>
    <workbookView xWindow="240" yWindow="105" windowWidth="14805" windowHeight="8010"/>
  </bookViews>
  <sheets>
    <sheet name="Введите свои данные" sheetId="1" r:id="rId1"/>
    <sheet name="Инвестиции на открытие" sheetId="2" r:id="rId2"/>
    <sheet name="Расходы и доходы" sheetId="3" r:id="rId3"/>
  </sheets>
  <calcPr calcId="144525"/>
</workbook>
</file>

<file path=xl/calcChain.xml><?xml version="1.0" encoding="utf-8"?>
<calcChain xmlns="http://schemas.openxmlformats.org/spreadsheetml/2006/main">
  <c r="D68" i="3" l="1"/>
  <c r="E68" i="3" s="1"/>
  <c r="C43" i="2" l="1"/>
  <c r="B43" i="2"/>
  <c r="B42" i="2"/>
  <c r="D41" i="2"/>
  <c r="D43" i="2" l="1"/>
  <c r="B14" i="1"/>
  <c r="B9" i="1" l="1"/>
  <c r="B7" i="1"/>
  <c r="B8" i="1"/>
  <c r="D22" i="2" l="1"/>
  <c r="J51" i="3"/>
  <c r="J50" i="3" s="1"/>
  <c r="K51" i="3"/>
  <c r="K50" i="3" s="1"/>
  <c r="L51" i="3"/>
  <c r="L50" i="3" s="1"/>
  <c r="M51" i="3"/>
  <c r="M50" i="3" s="1"/>
  <c r="N51" i="3"/>
  <c r="N50" i="3" s="1"/>
  <c r="O51" i="3"/>
  <c r="O50" i="3" s="1"/>
  <c r="P51" i="3"/>
  <c r="P50" i="3" s="1"/>
  <c r="Q51" i="3"/>
  <c r="Q50" i="3" s="1"/>
  <c r="R51" i="3"/>
  <c r="R50" i="3" s="1"/>
  <c r="S51" i="3"/>
  <c r="S50" i="3" s="1"/>
  <c r="T51" i="3"/>
  <c r="T50" i="3" s="1"/>
  <c r="U51" i="3"/>
  <c r="U50" i="3" s="1"/>
  <c r="V51" i="3"/>
  <c r="V50" i="3" s="1"/>
  <c r="W51" i="3"/>
  <c r="W50" i="3" s="1"/>
  <c r="X51" i="3"/>
  <c r="X50" i="3" s="1"/>
  <c r="Y51" i="3"/>
  <c r="Y50" i="3" s="1"/>
  <c r="Z51" i="3"/>
  <c r="Z50" i="3" s="1"/>
  <c r="I51" i="3"/>
  <c r="I50" i="3" s="1"/>
  <c r="H51" i="3"/>
  <c r="H50" i="3" s="1"/>
  <c r="G51" i="3"/>
  <c r="G50" i="3" s="1"/>
  <c r="F51" i="3"/>
  <c r="E51" i="3"/>
  <c r="E50" i="3" s="1"/>
  <c r="D51" i="3"/>
  <c r="D55" i="3"/>
  <c r="C51" i="3"/>
  <c r="C50" i="3" s="1"/>
  <c r="B44" i="2"/>
  <c r="D44" i="2" s="1"/>
  <c r="D50" i="3" l="1"/>
  <c r="D50" i="2" l="1"/>
  <c r="D49" i="2"/>
  <c r="D48" i="2"/>
  <c r="C42" i="2"/>
  <c r="D35" i="2"/>
  <c r="D27" i="2"/>
  <c r="D24" i="2"/>
  <c r="D23" i="2"/>
  <c r="D21" i="2"/>
  <c r="D20" i="2"/>
  <c r="D19" i="2"/>
  <c r="D18" i="2"/>
  <c r="D13" i="2"/>
  <c r="D12" i="2"/>
  <c r="D11" i="2"/>
  <c r="D10" i="2"/>
  <c r="D9" i="2"/>
  <c r="D8" i="2"/>
  <c r="D7" i="2"/>
  <c r="D6" i="2"/>
  <c r="D5" i="2"/>
  <c r="D4" i="2"/>
  <c r="C30" i="3"/>
  <c r="C34" i="2" l="1"/>
  <c r="D34" i="2" s="1"/>
  <c r="X30" i="3"/>
  <c r="T30" i="3"/>
  <c r="P30" i="3"/>
  <c r="L30" i="3"/>
  <c r="H30" i="3"/>
  <c r="F30" i="3"/>
  <c r="D30" i="3"/>
  <c r="Y30" i="3"/>
  <c r="U30" i="3"/>
  <c r="Q30" i="3"/>
  <c r="M30" i="3"/>
  <c r="E30" i="3"/>
  <c r="Z30" i="3"/>
  <c r="V30" i="3"/>
  <c r="R30" i="3"/>
  <c r="N30" i="3"/>
  <c r="J30" i="3"/>
  <c r="G30" i="3"/>
  <c r="W30" i="3"/>
  <c r="S30" i="3"/>
  <c r="O30" i="3"/>
  <c r="K30" i="3"/>
  <c r="I30" i="3"/>
  <c r="D42" i="2"/>
  <c r="Z28" i="3"/>
  <c r="V28" i="3"/>
  <c r="R28" i="3"/>
  <c r="N28" i="3"/>
  <c r="J28" i="3"/>
  <c r="E28" i="3"/>
  <c r="W28" i="3"/>
  <c r="S28" i="3"/>
  <c r="O28" i="3"/>
  <c r="K28" i="3"/>
  <c r="H28" i="3"/>
  <c r="G28" i="3"/>
  <c r="X28" i="3"/>
  <c r="T28" i="3"/>
  <c r="P28" i="3"/>
  <c r="L28" i="3"/>
  <c r="I28" i="3"/>
  <c r="F28" i="3"/>
  <c r="D28" i="3"/>
  <c r="Y28" i="3"/>
  <c r="U28" i="3"/>
  <c r="Q28" i="3"/>
  <c r="M28" i="3"/>
  <c r="C28" i="3"/>
  <c r="C31" i="2"/>
  <c r="D31" i="2" s="1"/>
  <c r="W29" i="3"/>
  <c r="S29" i="3"/>
  <c r="O29" i="3"/>
  <c r="K29" i="3"/>
  <c r="I29" i="3"/>
  <c r="D29" i="3"/>
  <c r="C29" i="3"/>
  <c r="X29" i="3"/>
  <c r="T29" i="3"/>
  <c r="P29" i="3"/>
  <c r="L29" i="3"/>
  <c r="F29" i="3"/>
  <c r="Y29" i="3"/>
  <c r="U29" i="3"/>
  <c r="Q29" i="3"/>
  <c r="M29" i="3"/>
  <c r="Z29" i="3"/>
  <c r="V29" i="3"/>
  <c r="R29" i="3"/>
  <c r="N29" i="3"/>
  <c r="J29" i="3"/>
  <c r="H29" i="3"/>
  <c r="G29" i="3"/>
  <c r="E29" i="3"/>
  <c r="D3" i="2"/>
  <c r="C16" i="2"/>
  <c r="D16" i="2" s="1"/>
  <c r="C28" i="2"/>
  <c r="D28" i="2" s="1"/>
  <c r="C30" i="2"/>
  <c r="D30" i="2" s="1"/>
  <c r="C32" i="2"/>
  <c r="D32" i="2" s="1"/>
  <c r="C37" i="2"/>
  <c r="D37" i="2" s="1"/>
  <c r="C26" i="2"/>
  <c r="D26" i="2" s="1"/>
  <c r="C15" i="2"/>
  <c r="C29" i="2"/>
  <c r="D29" i="2" s="1"/>
  <c r="C36" i="2"/>
  <c r="D36" i="2" s="1"/>
  <c r="C38" i="2"/>
  <c r="D38" i="2" s="1"/>
  <c r="J42" i="3" l="1"/>
  <c r="J43" i="3"/>
  <c r="J44" i="3"/>
  <c r="J45" i="3"/>
  <c r="Z42" i="3"/>
  <c r="Z43" i="3"/>
  <c r="Z45" i="3"/>
  <c r="Z44" i="3"/>
  <c r="Y43" i="3"/>
  <c r="Y44" i="3"/>
  <c r="Y42" i="3"/>
  <c r="Y45" i="3"/>
  <c r="T44" i="3"/>
  <c r="T45" i="3"/>
  <c r="T42" i="3"/>
  <c r="T43" i="3"/>
  <c r="I43" i="3"/>
  <c r="I44" i="3"/>
  <c r="I45" i="3"/>
  <c r="I42" i="3"/>
  <c r="W45" i="3"/>
  <c r="W42" i="3"/>
  <c r="W43" i="3"/>
  <c r="W44" i="3"/>
  <c r="Q35" i="3"/>
  <c r="Q36" i="3"/>
  <c r="Q34" i="3"/>
  <c r="F34" i="3"/>
  <c r="F35" i="3"/>
  <c r="F36" i="3"/>
  <c r="T36" i="3"/>
  <c r="T34" i="3"/>
  <c r="T35" i="3"/>
  <c r="K34" i="3"/>
  <c r="K35" i="3"/>
  <c r="K36" i="3"/>
  <c r="E35" i="3"/>
  <c r="E36" i="3"/>
  <c r="E34" i="3"/>
  <c r="V34" i="3"/>
  <c r="V35" i="3"/>
  <c r="V36" i="3"/>
  <c r="E42" i="3"/>
  <c r="E43" i="3"/>
  <c r="E44" i="3"/>
  <c r="E45" i="3"/>
  <c r="N42" i="3"/>
  <c r="N43" i="3"/>
  <c r="N45" i="3"/>
  <c r="N44" i="3"/>
  <c r="M43" i="3"/>
  <c r="M44" i="3"/>
  <c r="M42" i="3"/>
  <c r="M45" i="3"/>
  <c r="F42" i="3"/>
  <c r="F45" i="3"/>
  <c r="F43" i="3"/>
  <c r="F44" i="3"/>
  <c r="X44" i="3"/>
  <c r="X45" i="3"/>
  <c r="X43" i="3"/>
  <c r="X42" i="3"/>
  <c r="K45" i="3"/>
  <c r="K42" i="3"/>
  <c r="K44" i="3"/>
  <c r="K43" i="3"/>
  <c r="U35" i="3"/>
  <c r="U34" i="3"/>
  <c r="U36" i="3"/>
  <c r="I35" i="3"/>
  <c r="I34" i="3"/>
  <c r="I36" i="3"/>
  <c r="X36" i="3"/>
  <c r="X34" i="3"/>
  <c r="X35" i="3"/>
  <c r="O34" i="3"/>
  <c r="O35" i="3"/>
  <c r="O36" i="3"/>
  <c r="J34" i="3"/>
  <c r="J35" i="3"/>
  <c r="J36" i="3"/>
  <c r="Z34" i="3"/>
  <c r="Z35" i="3"/>
  <c r="Z36" i="3"/>
  <c r="G45" i="3"/>
  <c r="G42" i="3"/>
  <c r="G43" i="3"/>
  <c r="G44" i="3"/>
  <c r="R42" i="3"/>
  <c r="R43" i="3"/>
  <c r="R44" i="3"/>
  <c r="R45" i="3"/>
  <c r="Q43" i="3"/>
  <c r="Q44" i="3"/>
  <c r="Q45" i="3"/>
  <c r="Q42" i="3"/>
  <c r="L44" i="3"/>
  <c r="L45" i="3"/>
  <c r="L43" i="3"/>
  <c r="L42" i="3"/>
  <c r="C45" i="3"/>
  <c r="C44" i="3"/>
  <c r="C43" i="3"/>
  <c r="C42" i="3"/>
  <c r="O45" i="3"/>
  <c r="O42" i="3"/>
  <c r="O43" i="3"/>
  <c r="O44" i="3"/>
  <c r="C34" i="3"/>
  <c r="C36" i="3"/>
  <c r="C35" i="3"/>
  <c r="Y35" i="3"/>
  <c r="Y36" i="3"/>
  <c r="Y34" i="3"/>
  <c r="L36" i="3"/>
  <c r="L34" i="3"/>
  <c r="L35" i="3"/>
  <c r="G36" i="3"/>
  <c r="G34" i="3"/>
  <c r="G35" i="3"/>
  <c r="S34" i="3"/>
  <c r="S35" i="3"/>
  <c r="S36" i="3"/>
  <c r="N34" i="3"/>
  <c r="N35" i="3"/>
  <c r="N36" i="3"/>
  <c r="H44" i="3"/>
  <c r="H45" i="3"/>
  <c r="H42" i="3"/>
  <c r="H43" i="3"/>
  <c r="V42" i="3"/>
  <c r="V45" i="3"/>
  <c r="V43" i="3"/>
  <c r="V44" i="3"/>
  <c r="U43" i="3"/>
  <c r="U44" i="3"/>
  <c r="U45" i="3"/>
  <c r="U42" i="3"/>
  <c r="P44" i="3"/>
  <c r="P43" i="3"/>
  <c r="P45" i="3"/>
  <c r="P42" i="3"/>
  <c r="D42" i="3"/>
  <c r="D43" i="3"/>
  <c r="D45" i="3"/>
  <c r="D44" i="3"/>
  <c r="S45" i="3"/>
  <c r="S42" i="3"/>
  <c r="S44" i="3"/>
  <c r="S43" i="3"/>
  <c r="M35" i="3"/>
  <c r="M36" i="3"/>
  <c r="M34" i="3"/>
  <c r="D36" i="3"/>
  <c r="D35" i="3"/>
  <c r="D34" i="3"/>
  <c r="P36" i="3"/>
  <c r="P35" i="3"/>
  <c r="P34" i="3"/>
  <c r="H36" i="3"/>
  <c r="H35" i="3"/>
  <c r="H34" i="3"/>
  <c r="W36" i="3"/>
  <c r="W34" i="3"/>
  <c r="W35" i="3"/>
  <c r="R34" i="3"/>
  <c r="R35" i="3"/>
  <c r="R36" i="3"/>
  <c r="U40" i="3"/>
  <c r="U24" i="3"/>
  <c r="U37" i="3"/>
  <c r="U39" i="3"/>
  <c r="U33" i="3"/>
  <c r="U38" i="3"/>
  <c r="I38" i="3"/>
  <c r="I37" i="3"/>
  <c r="I39" i="3"/>
  <c r="I33" i="3"/>
  <c r="I24" i="3"/>
  <c r="I40" i="3"/>
  <c r="X40" i="3"/>
  <c r="X37" i="3"/>
  <c r="X39" i="3"/>
  <c r="X24" i="3"/>
  <c r="X38" i="3"/>
  <c r="X33" i="3"/>
  <c r="O40" i="3"/>
  <c r="O39" i="3"/>
  <c r="O38" i="3"/>
  <c r="O37" i="3"/>
  <c r="O33" i="3"/>
  <c r="O24" i="3"/>
  <c r="J40" i="3"/>
  <c r="J39" i="3"/>
  <c r="J37" i="3"/>
  <c r="J24" i="3"/>
  <c r="J38" i="3"/>
  <c r="J33" i="3"/>
  <c r="Z40" i="3"/>
  <c r="Z37" i="3"/>
  <c r="Z39" i="3"/>
  <c r="Z24" i="3"/>
  <c r="Z38" i="3"/>
  <c r="Z33" i="3"/>
  <c r="I47" i="3"/>
  <c r="I48" i="3"/>
  <c r="W47" i="3"/>
  <c r="W48" i="3"/>
  <c r="R47" i="3"/>
  <c r="R48" i="3"/>
  <c r="M47" i="3"/>
  <c r="M48" i="3"/>
  <c r="D47" i="3"/>
  <c r="D48" i="3"/>
  <c r="P47" i="3"/>
  <c r="P48" i="3"/>
  <c r="C38" i="3"/>
  <c r="C33" i="3"/>
  <c r="C24" i="3"/>
  <c r="C39" i="3"/>
  <c r="C37" i="3"/>
  <c r="C40" i="3"/>
  <c r="Y37" i="3"/>
  <c r="Y33" i="3"/>
  <c r="Y40" i="3"/>
  <c r="Y39" i="3"/>
  <c r="Y24" i="3"/>
  <c r="Y38" i="3"/>
  <c r="L33" i="3"/>
  <c r="L39" i="3"/>
  <c r="L40" i="3"/>
  <c r="L38" i="3"/>
  <c r="L37" i="3"/>
  <c r="L24" i="3"/>
  <c r="G39" i="3"/>
  <c r="G38" i="3"/>
  <c r="G24" i="3"/>
  <c r="G33" i="3"/>
  <c r="G37" i="3"/>
  <c r="G40" i="3"/>
  <c r="S33" i="3"/>
  <c r="S38" i="3"/>
  <c r="S39" i="3"/>
  <c r="S24" i="3"/>
  <c r="S40" i="3"/>
  <c r="S37" i="3"/>
  <c r="N39" i="3"/>
  <c r="N24" i="3"/>
  <c r="N38" i="3"/>
  <c r="N33" i="3"/>
  <c r="N40" i="3"/>
  <c r="N37" i="3"/>
  <c r="K48" i="3"/>
  <c r="K47" i="3"/>
  <c r="G47" i="3"/>
  <c r="G48" i="3"/>
  <c r="V48" i="3"/>
  <c r="V47" i="3"/>
  <c r="Q48" i="3"/>
  <c r="Q47" i="3"/>
  <c r="F48" i="3"/>
  <c r="F47" i="3"/>
  <c r="T47" i="3"/>
  <c r="T48" i="3"/>
  <c r="M33" i="3"/>
  <c r="M24" i="3"/>
  <c r="M39" i="3"/>
  <c r="M37" i="3"/>
  <c r="M40" i="3"/>
  <c r="M38" i="3"/>
  <c r="H38" i="3"/>
  <c r="H40" i="3"/>
  <c r="H37" i="3"/>
  <c r="H33" i="3"/>
  <c r="H39" i="3"/>
  <c r="H24" i="3"/>
  <c r="R24" i="3"/>
  <c r="R38" i="3"/>
  <c r="R40" i="3"/>
  <c r="R33" i="3"/>
  <c r="R37" i="3"/>
  <c r="R39" i="3"/>
  <c r="O47" i="3"/>
  <c r="O48" i="3"/>
  <c r="J48" i="3"/>
  <c r="J47" i="3"/>
  <c r="Z48" i="3"/>
  <c r="Z47" i="3"/>
  <c r="U48" i="3"/>
  <c r="U47" i="3"/>
  <c r="H47" i="3"/>
  <c r="H48" i="3"/>
  <c r="X47" i="3"/>
  <c r="X48" i="3"/>
  <c r="D38" i="3"/>
  <c r="D40" i="3"/>
  <c r="D37" i="3"/>
  <c r="D39" i="3"/>
  <c r="D24" i="3"/>
  <c r="D33" i="3"/>
  <c r="P33" i="3"/>
  <c r="P38" i="3"/>
  <c r="P37" i="3"/>
  <c r="P39" i="3"/>
  <c r="P40" i="3"/>
  <c r="P24" i="3"/>
  <c r="W40" i="3"/>
  <c r="W39" i="3"/>
  <c r="W37" i="3"/>
  <c r="W38" i="3"/>
  <c r="W24" i="3"/>
  <c r="W33" i="3"/>
  <c r="Q37" i="3"/>
  <c r="Q33" i="3"/>
  <c r="Q24" i="3"/>
  <c r="Q39" i="3"/>
  <c r="Q40" i="3"/>
  <c r="Q38" i="3"/>
  <c r="F37" i="3"/>
  <c r="F38" i="3"/>
  <c r="F39" i="3"/>
  <c r="F40" i="3"/>
  <c r="F33" i="3"/>
  <c r="F24" i="3"/>
  <c r="T33" i="3"/>
  <c r="T39" i="3"/>
  <c r="T37" i="3"/>
  <c r="T38" i="3"/>
  <c r="T40" i="3"/>
  <c r="T24" i="3"/>
  <c r="K33" i="3"/>
  <c r="K39" i="3"/>
  <c r="K40" i="3"/>
  <c r="K37" i="3"/>
  <c r="K24" i="3"/>
  <c r="K38" i="3"/>
  <c r="E39" i="3"/>
  <c r="E33" i="3"/>
  <c r="E40" i="3"/>
  <c r="E24" i="3"/>
  <c r="E38" i="3"/>
  <c r="E37" i="3"/>
  <c r="V39" i="3"/>
  <c r="V33" i="3"/>
  <c r="V40" i="3"/>
  <c r="V37" i="3"/>
  <c r="V24" i="3"/>
  <c r="V38" i="3"/>
  <c r="C47" i="3"/>
  <c r="C48" i="3"/>
  <c r="S47" i="3"/>
  <c r="S48" i="3"/>
  <c r="N48" i="3"/>
  <c r="N47" i="3"/>
  <c r="E48" i="3"/>
  <c r="E47" i="3"/>
  <c r="Y47" i="3"/>
  <c r="Y48" i="3"/>
  <c r="L47" i="3"/>
  <c r="L48" i="3"/>
  <c r="D33" i="2"/>
  <c r="D15" i="2"/>
  <c r="C17" i="2"/>
  <c r="D17" i="2" s="1"/>
  <c r="D25" i="2"/>
  <c r="P46" i="3" l="1"/>
  <c r="M46" i="3"/>
  <c r="U46" i="3"/>
  <c r="J46" i="3"/>
  <c r="Y46" i="3"/>
  <c r="C46" i="3"/>
  <c r="W46" i="3"/>
  <c r="L46" i="3"/>
  <c r="S46" i="3"/>
  <c r="F32" i="3"/>
  <c r="F58" i="3" s="1"/>
  <c r="Z41" i="3"/>
  <c r="Z59" i="3" s="1"/>
  <c r="G41" i="3"/>
  <c r="G59" i="3" s="1"/>
  <c r="U41" i="3"/>
  <c r="U59" i="3" s="1"/>
  <c r="T46" i="3"/>
  <c r="R46" i="3"/>
  <c r="K41" i="3"/>
  <c r="K59" i="3" s="1"/>
  <c r="M41" i="3"/>
  <c r="M59" i="3" s="1"/>
  <c r="I46" i="3"/>
  <c r="I32" i="3"/>
  <c r="I58" i="3" s="1"/>
  <c r="Z46" i="3"/>
  <c r="O41" i="3"/>
  <c r="O59" i="3" s="1"/>
  <c r="Q41" i="3"/>
  <c r="Q59" i="3" s="1"/>
  <c r="E41" i="3"/>
  <c r="E59" i="3" s="1"/>
  <c r="J32" i="3"/>
  <c r="J58" i="3" s="1"/>
  <c r="E46" i="3"/>
  <c r="Y41" i="3"/>
  <c r="Y59" i="3" s="1"/>
  <c r="D32" i="3"/>
  <c r="D58" i="3" s="1"/>
  <c r="H46" i="3"/>
  <c r="O46" i="3"/>
  <c r="R32" i="3"/>
  <c r="H32" i="3"/>
  <c r="H58" i="3" s="1"/>
  <c r="V41" i="3"/>
  <c r="V59" i="3" s="1"/>
  <c r="H41" i="3"/>
  <c r="H59" i="3" s="1"/>
  <c r="Q46" i="3"/>
  <c r="G46" i="3"/>
  <c r="G32" i="3"/>
  <c r="G58" i="3" s="1"/>
  <c r="G57" i="3" s="1"/>
  <c r="Y32" i="3"/>
  <c r="Y58" i="3" s="1"/>
  <c r="L41" i="3"/>
  <c r="L59" i="3" s="1"/>
  <c r="R41" i="3"/>
  <c r="R59" i="3" s="1"/>
  <c r="D46" i="3"/>
  <c r="O32" i="3"/>
  <c r="O31" i="3" s="1"/>
  <c r="S32" i="3"/>
  <c r="S58" i="3" s="1"/>
  <c r="C41" i="3"/>
  <c r="C59" i="3" s="1"/>
  <c r="N46" i="3"/>
  <c r="V32" i="3"/>
  <c r="V58" i="3" s="1"/>
  <c r="K32" i="3"/>
  <c r="K58" i="3" s="1"/>
  <c r="W41" i="3"/>
  <c r="W59" i="3" s="1"/>
  <c r="I41" i="3"/>
  <c r="I59" i="3" s="1"/>
  <c r="X46" i="3"/>
  <c r="D41" i="3"/>
  <c r="D59" i="3" s="1"/>
  <c r="P41" i="3"/>
  <c r="P59" i="3" s="1"/>
  <c r="F46" i="3"/>
  <c r="V46" i="3"/>
  <c r="K46" i="3"/>
  <c r="N32" i="3"/>
  <c r="N58" i="3" s="1"/>
  <c r="C32" i="3"/>
  <c r="C58" i="3" s="1"/>
  <c r="F41" i="3"/>
  <c r="F59" i="3" s="1"/>
  <c r="Z32" i="3"/>
  <c r="Z58" i="3" s="1"/>
  <c r="E32" i="3"/>
  <c r="E58" i="3" s="1"/>
  <c r="E57" i="3" s="1"/>
  <c r="T32" i="3"/>
  <c r="T58" i="3" s="1"/>
  <c r="Q32" i="3"/>
  <c r="Q58" i="3" s="1"/>
  <c r="J41" i="3"/>
  <c r="J59" i="3" s="1"/>
  <c r="W32" i="3"/>
  <c r="W31" i="3" s="1"/>
  <c r="P32" i="3"/>
  <c r="P58" i="3" s="1"/>
  <c r="X41" i="3"/>
  <c r="X59" i="3" s="1"/>
  <c r="N41" i="3"/>
  <c r="N59" i="3" s="1"/>
  <c r="M32" i="3"/>
  <c r="M58" i="3" s="1"/>
  <c r="L32" i="3"/>
  <c r="L58" i="3" s="1"/>
  <c r="X32" i="3"/>
  <c r="X58" i="3" s="1"/>
  <c r="X57" i="3" s="1"/>
  <c r="W26" i="3"/>
  <c r="W27" i="3"/>
  <c r="P26" i="3"/>
  <c r="P27" i="3"/>
  <c r="N27" i="3"/>
  <c r="N26" i="3"/>
  <c r="S26" i="3"/>
  <c r="S27" i="3"/>
  <c r="Z27" i="3"/>
  <c r="Z26" i="3"/>
  <c r="O27" i="3"/>
  <c r="O26" i="3"/>
  <c r="I26" i="3"/>
  <c r="I27" i="3"/>
  <c r="V26" i="3"/>
  <c r="V27" i="3"/>
  <c r="E26" i="3"/>
  <c r="E27" i="3"/>
  <c r="D26" i="3"/>
  <c r="D27" i="3"/>
  <c r="S41" i="3"/>
  <c r="S59" i="3" s="1"/>
  <c r="M26" i="3"/>
  <c r="M27" i="3"/>
  <c r="G26" i="3"/>
  <c r="G27" i="3"/>
  <c r="C27" i="3"/>
  <c r="C26" i="3"/>
  <c r="X27" i="3"/>
  <c r="X26" i="3"/>
  <c r="Q27" i="3"/>
  <c r="Q26" i="3"/>
  <c r="H27" i="3"/>
  <c r="H26" i="3"/>
  <c r="Y27" i="3"/>
  <c r="Y26" i="3"/>
  <c r="J27" i="3"/>
  <c r="J26" i="3"/>
  <c r="U26" i="3"/>
  <c r="U27" i="3"/>
  <c r="K26" i="3"/>
  <c r="K27" i="3"/>
  <c r="F26" i="3"/>
  <c r="F27" i="3"/>
  <c r="T27" i="3"/>
  <c r="T26" i="3"/>
  <c r="T41" i="3"/>
  <c r="T59" i="3" s="1"/>
  <c r="R26" i="3"/>
  <c r="R27" i="3"/>
  <c r="L26" i="3"/>
  <c r="L27" i="3"/>
  <c r="U32" i="3"/>
  <c r="F50" i="3"/>
  <c r="D14" i="2"/>
  <c r="D51" i="2" l="1"/>
  <c r="B14" i="3" s="1"/>
  <c r="M57" i="3"/>
  <c r="J57" i="3"/>
  <c r="K57" i="3"/>
  <c r="V57" i="3"/>
  <c r="L31" i="3"/>
  <c r="L63" i="3" s="1"/>
  <c r="Y31" i="3"/>
  <c r="Y63" i="3" s="1"/>
  <c r="O58" i="3"/>
  <c r="O57" i="3" s="1"/>
  <c r="H57" i="3"/>
  <c r="I31" i="3"/>
  <c r="I65" i="3" s="1"/>
  <c r="D31" i="3"/>
  <c r="D62" i="3" s="1"/>
  <c r="Z57" i="3"/>
  <c r="R31" i="3"/>
  <c r="R63" i="3" s="1"/>
  <c r="W58" i="3"/>
  <c r="W57" i="3" s="1"/>
  <c r="K31" i="3"/>
  <c r="K62" i="3" s="1"/>
  <c r="F57" i="3"/>
  <c r="H31" i="3"/>
  <c r="H63" i="3" s="1"/>
  <c r="N57" i="3"/>
  <c r="G31" i="3"/>
  <c r="G65" i="3" s="1"/>
  <c r="D57" i="3"/>
  <c r="I57" i="3"/>
  <c r="V31" i="3"/>
  <c r="V65" i="3" s="1"/>
  <c r="Y57" i="3"/>
  <c r="M31" i="3"/>
  <c r="M62" i="3" s="1"/>
  <c r="P31" i="3"/>
  <c r="P63" i="3" s="1"/>
  <c r="Z31" i="3"/>
  <c r="Z63" i="3" s="1"/>
  <c r="L57" i="3"/>
  <c r="P57" i="3"/>
  <c r="Q31" i="3"/>
  <c r="Q61" i="3" s="1"/>
  <c r="E31" i="3"/>
  <c r="C31" i="3"/>
  <c r="N31" i="3"/>
  <c r="N61" i="3" s="1"/>
  <c r="F31" i="3"/>
  <c r="R58" i="3"/>
  <c r="R57" i="3" s="1"/>
  <c r="J31" i="3"/>
  <c r="J63" i="3" s="1"/>
  <c r="Q57" i="3"/>
  <c r="C57" i="3"/>
  <c r="T57" i="3"/>
  <c r="S57" i="3"/>
  <c r="X31" i="3"/>
  <c r="U58" i="3"/>
  <c r="U57" i="3" s="1"/>
  <c r="U31" i="3"/>
  <c r="S31" i="3"/>
  <c r="O62" i="3"/>
  <c r="O65" i="3"/>
  <c r="O63" i="3"/>
  <c r="O61" i="3"/>
  <c r="W65" i="3"/>
  <c r="W63" i="3"/>
  <c r="W61" i="3"/>
  <c r="W62" i="3"/>
  <c r="N62" i="3"/>
  <c r="T31" i="3"/>
  <c r="E63" i="3" l="1"/>
  <c r="E65" i="3"/>
  <c r="F63" i="3"/>
  <c r="F65" i="3"/>
  <c r="M63" i="3"/>
  <c r="L61" i="3"/>
  <c r="Q63" i="3"/>
  <c r="L65" i="3"/>
  <c r="L62" i="3"/>
  <c r="N65" i="3"/>
  <c r="B15" i="1"/>
  <c r="B20" i="1"/>
  <c r="C63" i="3"/>
  <c r="B17" i="3"/>
  <c r="D63" i="3"/>
  <c r="Y65" i="3"/>
  <c r="D61" i="3"/>
  <c r="Y61" i="3"/>
  <c r="R62" i="3"/>
  <c r="I63" i="3"/>
  <c r="V62" i="3"/>
  <c r="V61" i="3"/>
  <c r="Z65" i="3"/>
  <c r="I62" i="3"/>
  <c r="Y62" i="3"/>
  <c r="J61" i="3"/>
  <c r="G63" i="3"/>
  <c r="K63" i="3"/>
  <c r="J62" i="3"/>
  <c r="G61" i="3"/>
  <c r="K65" i="3"/>
  <c r="V63" i="3"/>
  <c r="N63" i="3"/>
  <c r="I61" i="3"/>
  <c r="M61" i="3"/>
  <c r="M65" i="3"/>
  <c r="W56" i="3"/>
  <c r="W49" i="3" s="1"/>
  <c r="W66" i="3" s="1"/>
  <c r="W67" i="3" s="1"/>
  <c r="R65" i="3"/>
  <c r="H61" i="3"/>
  <c r="R61" i="3"/>
  <c r="H62" i="3"/>
  <c r="F62" i="3"/>
  <c r="P61" i="3"/>
  <c r="H65" i="3"/>
  <c r="J65" i="3"/>
  <c r="G62" i="3"/>
  <c r="F61" i="3"/>
  <c r="K61" i="3"/>
  <c r="P65" i="3"/>
  <c r="Q65" i="3"/>
  <c r="C61" i="3"/>
  <c r="C62" i="3"/>
  <c r="E62" i="3"/>
  <c r="Z61" i="3"/>
  <c r="E61" i="3"/>
  <c r="Z62" i="3"/>
  <c r="Q62" i="3"/>
  <c r="P62" i="3"/>
  <c r="O56" i="3"/>
  <c r="O49" i="3" s="1"/>
  <c r="O66" i="3" s="1"/>
  <c r="O67" i="3" s="1"/>
  <c r="X63" i="3"/>
  <c r="X62" i="3"/>
  <c r="X65" i="3"/>
  <c r="X61" i="3"/>
  <c r="S62" i="3"/>
  <c r="S65" i="3"/>
  <c r="S63" i="3"/>
  <c r="S61" i="3"/>
  <c r="T62" i="3"/>
  <c r="T65" i="3"/>
  <c r="T61" i="3"/>
  <c r="T63" i="3"/>
  <c r="U61" i="3"/>
  <c r="U62" i="3"/>
  <c r="U65" i="3"/>
  <c r="U63" i="3"/>
  <c r="N56" i="3" l="1"/>
  <c r="N49" i="3" s="1"/>
  <c r="N66" i="3" s="1"/>
  <c r="N67" i="3" s="1"/>
  <c r="L56" i="3"/>
  <c r="L49" i="3" s="1"/>
  <c r="L66" i="3" s="1"/>
  <c r="L67" i="3" s="1"/>
  <c r="I56" i="3"/>
  <c r="I49" i="3" s="1"/>
  <c r="I66" i="3" s="1"/>
  <c r="I67" i="3" s="1"/>
  <c r="D56" i="3"/>
  <c r="D49" i="3" s="1"/>
  <c r="D66" i="3" s="1"/>
  <c r="D69" i="3" s="1"/>
  <c r="J56" i="3"/>
  <c r="J49" i="3" s="1"/>
  <c r="J66" i="3" s="1"/>
  <c r="J67" i="3" s="1"/>
  <c r="Y56" i="3"/>
  <c r="Y49" i="3" s="1"/>
  <c r="Y66" i="3" s="1"/>
  <c r="Y67" i="3" s="1"/>
  <c r="V56" i="3"/>
  <c r="V49" i="3" s="1"/>
  <c r="V66" i="3" s="1"/>
  <c r="V67" i="3" s="1"/>
  <c r="Q56" i="3"/>
  <c r="Q49" i="3" s="1"/>
  <c r="Q66" i="3" s="1"/>
  <c r="Q67" i="3" s="1"/>
  <c r="R56" i="3"/>
  <c r="R49" i="3" s="1"/>
  <c r="R66" i="3" s="1"/>
  <c r="R67" i="3" s="1"/>
  <c r="K56" i="3"/>
  <c r="K49" i="3" s="1"/>
  <c r="K66" i="3" s="1"/>
  <c r="K67" i="3" s="1"/>
  <c r="G56" i="3"/>
  <c r="G49" i="3" s="1"/>
  <c r="G66" i="3" s="1"/>
  <c r="G67" i="3" s="1"/>
  <c r="H56" i="3"/>
  <c r="H49" i="3" s="1"/>
  <c r="H66" i="3" s="1"/>
  <c r="H67" i="3" s="1"/>
  <c r="M56" i="3"/>
  <c r="M49" i="3" s="1"/>
  <c r="M66" i="3" s="1"/>
  <c r="M67" i="3" s="1"/>
  <c r="F56" i="3"/>
  <c r="F49" i="3" s="1"/>
  <c r="F66" i="3" s="1"/>
  <c r="F67" i="3" s="1"/>
  <c r="P56" i="3"/>
  <c r="P49" i="3" s="1"/>
  <c r="P66" i="3" s="1"/>
  <c r="P67" i="3" s="1"/>
  <c r="E56" i="3"/>
  <c r="E49" i="3" s="1"/>
  <c r="E66" i="3" s="1"/>
  <c r="E69" i="3" s="1"/>
  <c r="C56" i="3"/>
  <c r="C49" i="3" s="1"/>
  <c r="C66" i="3" s="1"/>
  <c r="Z56" i="3"/>
  <c r="Z49" i="3" s="1"/>
  <c r="Z66" i="3" s="1"/>
  <c r="Z67" i="3" s="1"/>
  <c r="X56" i="3"/>
  <c r="X49" i="3" s="1"/>
  <c r="X66" i="3" s="1"/>
  <c r="X67" i="3" s="1"/>
  <c r="T56" i="3"/>
  <c r="T49" i="3" s="1"/>
  <c r="T66" i="3" s="1"/>
  <c r="T67" i="3" s="1"/>
  <c r="U56" i="3"/>
  <c r="U49" i="3" s="1"/>
  <c r="U66" i="3" s="1"/>
  <c r="U67" i="3" s="1"/>
  <c r="S56" i="3"/>
  <c r="S49" i="3" s="1"/>
  <c r="S66" i="3" s="1"/>
  <c r="C67" i="3" l="1"/>
  <c r="B18" i="3"/>
  <c r="D67" i="3"/>
  <c r="B15" i="3"/>
  <c r="E67" i="3"/>
  <c r="C68" i="3"/>
  <c r="C69" i="3" s="1"/>
  <c r="S67" i="3"/>
  <c r="F68" i="3"/>
  <c r="B16" i="1" l="1"/>
  <c r="B21" i="1"/>
  <c r="B16" i="3"/>
  <c r="G68" i="3"/>
  <c r="F69" i="3"/>
  <c r="G69" i="3" l="1"/>
  <c r="H68" i="3"/>
  <c r="H69" i="3" l="1"/>
  <c r="I68" i="3"/>
  <c r="I69" i="3" l="1"/>
  <c r="J68" i="3"/>
  <c r="J69" i="3" l="1"/>
  <c r="K68" i="3"/>
  <c r="K69" i="3" l="1"/>
  <c r="L68" i="3"/>
  <c r="L69" i="3" l="1"/>
  <c r="M68" i="3"/>
  <c r="M69" i="3" l="1"/>
  <c r="N68" i="3"/>
  <c r="N69" i="3" l="1"/>
  <c r="O68" i="3"/>
  <c r="O69" i="3" l="1"/>
  <c r="P68" i="3"/>
  <c r="P69" i="3" l="1"/>
  <c r="Q68" i="3"/>
  <c r="Q69" i="3" l="1"/>
  <c r="R68" i="3"/>
  <c r="R69" i="3" l="1"/>
  <c r="S68" i="3"/>
  <c r="S69" i="3" l="1"/>
  <c r="T68" i="3"/>
  <c r="T69" i="3" l="1"/>
  <c r="U68" i="3"/>
  <c r="U69" i="3" l="1"/>
  <c r="V68" i="3"/>
  <c r="V69" i="3" l="1"/>
  <c r="W68" i="3"/>
  <c r="W69" i="3" l="1"/>
  <c r="X68" i="3"/>
  <c r="X69" i="3" l="1"/>
  <c r="Y68" i="3"/>
  <c r="Y69" i="3" l="1"/>
  <c r="Z68" i="3"/>
  <c r="B70" i="3" l="1"/>
  <c r="Z69" i="3"/>
  <c r="B71" i="3" l="1"/>
  <c r="B19" i="3"/>
  <c r="B20" i="3"/>
</calcChain>
</file>

<file path=xl/sharedStrings.xml><?xml version="1.0" encoding="utf-8"?>
<sst xmlns="http://schemas.openxmlformats.org/spreadsheetml/2006/main" count="145" uniqueCount="144">
  <si>
    <t>Финансовая модель франшизы «Стрижка За Стрижкой»</t>
  </si>
  <si>
    <t>Введите данные</t>
  </si>
  <si>
    <t>Стоимость аренды за кв.м.</t>
  </si>
  <si>
    <t>Какой требуется ремонт</t>
  </si>
  <si>
    <t>Парикмахерский зал</t>
  </si>
  <si>
    <t>Источники дохода:</t>
  </si>
  <si>
    <t>Солярий</t>
  </si>
  <si>
    <t>Потенциальная прибыль вашего города</t>
  </si>
  <si>
    <t>Численность населения вашего города</t>
  </si>
  <si>
    <t>тыс. чел.</t>
  </si>
  <si>
    <t>Возможное количество салонов на город</t>
  </si>
  <si>
    <t>Выручка в год (при охвате всего города)</t>
  </si>
  <si>
    <t>Инвестиции</t>
  </si>
  <si>
    <t>Цена</t>
  </si>
  <si>
    <t>Количество</t>
  </si>
  <si>
    <t>Стоимость</t>
  </si>
  <si>
    <t>Зона встречи посетителей (ресепшн)</t>
  </si>
  <si>
    <t>Ресепшн (на заказ)</t>
  </si>
  <si>
    <t>Полки над ресепшеном (на заказ)</t>
  </si>
  <si>
    <t>Шкаф для одежды клиентов (на заказ)</t>
  </si>
  <si>
    <t>Вешалка для одежды напольная</t>
  </si>
  <si>
    <t>Витрина для продажи косметики</t>
  </si>
  <si>
    <t>Зона ожидания для клиентов: диван, стулья</t>
  </si>
  <si>
    <t>Стул офисный</t>
  </si>
  <si>
    <t>Музыкальный центр</t>
  </si>
  <si>
    <t>Столик под кулер (на заказ)</t>
  </si>
  <si>
    <t>Парикмахерские кресла</t>
  </si>
  <si>
    <t>Тележки парикмахерские</t>
  </si>
  <si>
    <t>Шкаф под препараты (на заказ)</t>
  </si>
  <si>
    <t>Лаборатория к мойке (на заказ)</t>
  </si>
  <si>
    <t>Плойки различные</t>
  </si>
  <si>
    <t>Полировщик</t>
  </si>
  <si>
    <t>Различное хоз. и бытовое оснащение: совки, метелки, ведра, урны, губки, полотенца, тряпки, швабры и т.д.</t>
  </si>
  <si>
    <t>Ногтевой зал</t>
  </si>
  <si>
    <t>Маникюрный стол (на заказ)</t>
  </si>
  <si>
    <t>Закуп косметики для работы</t>
  </si>
  <si>
    <t>Стулья для клиента и мастера (маникюрный)</t>
  </si>
  <si>
    <t>Зеркало в маникюрный кабинет</t>
  </si>
  <si>
    <t>Лампа настольная</t>
  </si>
  <si>
    <t>Ванночка для педикюра + подставка</t>
  </si>
  <si>
    <t>Педикюрное кресло СП Люкс</t>
  </si>
  <si>
    <t>Солярий (ИК-сауна, коллагенарий или автозагар)</t>
  </si>
  <si>
    <t>Стартовый набор товара для солярия (косметика, стикини)</t>
  </si>
  <si>
    <t>Зеркало в солярий</t>
  </si>
  <si>
    <t>Тумбочка в солярий (на заказ)</t>
  </si>
  <si>
    <t>Стулья/табуреты в солярий</t>
  </si>
  <si>
    <t>Вывеска</t>
  </si>
  <si>
    <t>Маркетинг</t>
  </si>
  <si>
    <t>Ремонт помещения</t>
  </si>
  <si>
    <t>Паушальный взнос</t>
  </si>
  <si>
    <t>Возможные услуги 
(не включены в итоговые вычисления)</t>
  </si>
  <si>
    <t>Горячие ножницы</t>
  </si>
  <si>
    <t>Автозагар</t>
  </si>
  <si>
    <t>ИК-сауна</t>
  </si>
  <si>
    <t>Коллагенарий (б/у)</t>
  </si>
  <si>
    <t>Парикмахерский зал:</t>
  </si>
  <si>
    <t>Мужская стрижка</t>
  </si>
  <si>
    <t>Женская стрижка</t>
  </si>
  <si>
    <t>Окрашивание волос (средняя длина)</t>
  </si>
  <si>
    <t>Мелирование волос (средняя длина)</t>
  </si>
  <si>
    <t>Прически/укладки</t>
  </si>
  <si>
    <t>Уход за волосами</t>
  </si>
  <si>
    <t>Детские стрижки</t>
  </si>
  <si>
    <t>Ногтевой зал:</t>
  </si>
  <si>
    <t>Маникюр</t>
  </si>
  <si>
    <t>Педикюр</t>
  </si>
  <si>
    <t>Покрытие гель-лак</t>
  </si>
  <si>
    <t>Наращивание ресниц</t>
  </si>
  <si>
    <t>Солярий:</t>
  </si>
  <si>
    <t>Сеанс загара (8 минут)</t>
  </si>
  <si>
    <t>Косметика для солярия (10 гр)</t>
  </si>
  <si>
    <t>Месяц работы</t>
  </si>
  <si>
    <t>Кол-во клиентов в месяц</t>
  </si>
  <si>
    <t>Доля повторных клиентов</t>
  </si>
  <si>
    <t>Кол-во повторных клиентов</t>
  </si>
  <si>
    <t>Среднее кол-во клиентов в день</t>
  </si>
  <si>
    <t>Расходы</t>
  </si>
  <si>
    <t xml:space="preserve"> Постоянные расходы</t>
  </si>
  <si>
    <t xml:space="preserve"> Переменные расходы</t>
  </si>
  <si>
    <t>Прибыль</t>
  </si>
  <si>
    <t>Рентабельность</t>
  </si>
  <si>
    <t>Прибыль нарастающим итогом</t>
  </si>
  <si>
    <t>Окупаемость инвестиций</t>
  </si>
  <si>
    <t>Суммарная прибыль за первые 2 года</t>
  </si>
  <si>
    <t>Доходность инвестиций за первые 2 года</t>
  </si>
  <si>
    <t>Средняя прибыль в месяц через 6 месяцев работы</t>
  </si>
  <si>
    <t>Суммарная прибыль за 2 года работы</t>
  </si>
  <si>
    <t>Доходность инвестиций через 2 года</t>
  </si>
  <si>
    <t>Количество клиентов парикмахерского зала</t>
  </si>
  <si>
    <t>Количество клиентов маникюрного кабинета</t>
  </si>
  <si>
    <t>Количество клиентов солярия</t>
  </si>
  <si>
    <t>Доходы</t>
  </si>
  <si>
    <t xml:space="preserve">   Мужские стрижки</t>
  </si>
  <si>
    <t xml:space="preserve">   Женские стрижки</t>
  </si>
  <si>
    <t xml:space="preserve">   Окрашивание крем краской ESTEL Deluxe,  Средний волос (до 25 см)</t>
  </si>
  <si>
    <t xml:space="preserve">   Мелирование ESTEL Средний волос (до 25 см)</t>
  </si>
  <si>
    <t xml:space="preserve">   Прически/укладки</t>
  </si>
  <si>
    <t xml:space="preserve">   Уход за волосами</t>
  </si>
  <si>
    <t xml:space="preserve">   Детские стрижки</t>
  </si>
  <si>
    <t xml:space="preserve">   Витрина продаж</t>
  </si>
  <si>
    <t xml:space="preserve">   Маникюр</t>
  </si>
  <si>
    <t xml:space="preserve">   Педикюр</t>
  </si>
  <si>
    <t xml:space="preserve">   Покрытие гель-лак</t>
  </si>
  <si>
    <t xml:space="preserve">   Наращивание ресниц</t>
  </si>
  <si>
    <t xml:space="preserve">   Косметика для солярия</t>
  </si>
  <si>
    <t xml:space="preserve">   Солярий</t>
  </si>
  <si>
    <t xml:space="preserve">   Аренда (коммунальные платежи)</t>
  </si>
  <si>
    <t xml:space="preserve"> Парикмахерский зал</t>
  </si>
  <si>
    <t xml:space="preserve"> Ногтевой кабинет</t>
  </si>
  <si>
    <t xml:space="preserve">   Бухгалтерское обслужие</t>
  </si>
  <si>
    <t xml:space="preserve">   Интернет и телефония</t>
  </si>
  <si>
    <t xml:space="preserve">   Реклама</t>
  </si>
  <si>
    <t xml:space="preserve">   Уборка</t>
  </si>
  <si>
    <t xml:space="preserve">   ФОТ</t>
  </si>
  <si>
    <t xml:space="preserve">      Парикмахеров</t>
  </si>
  <si>
    <t xml:space="preserve">      Мастера ногтевого сервиса</t>
  </si>
  <si>
    <t xml:space="preserve">   Расходные материалы</t>
  </si>
  <si>
    <t xml:space="preserve">   Хозтовары, канцтовары, прачечная</t>
  </si>
  <si>
    <t xml:space="preserve">   Налоги 1 раз/квартал (ЕНВД)</t>
  </si>
  <si>
    <t xml:space="preserve">   Роялти</t>
  </si>
  <si>
    <t>Итоговые затраты на открытие</t>
  </si>
  <si>
    <t>Средняя рентабельность</t>
  </si>
  <si>
    <t xml:space="preserve"> Солярий</t>
  </si>
  <si>
    <t xml:space="preserve">   Чай, кофе, вода</t>
  </si>
  <si>
    <t>Период окупаемости, мес</t>
  </si>
  <si>
    <t>Выберите площадь помещения: 
(от 40 до 80 кв.м.)</t>
  </si>
  <si>
    <t>Суммарная выручка за 2 года работы</t>
  </si>
  <si>
    <t>Рассчитайте самостоятельно потенциальную прибыль</t>
  </si>
  <si>
    <t>Укажите необходимое количество салонов</t>
  </si>
  <si>
    <t>Выручка в год</t>
  </si>
  <si>
    <t>Чистая прибыль в год (при охвате всего города)</t>
  </si>
  <si>
    <t>Чистая прибыль в год</t>
  </si>
  <si>
    <t>Кулер</t>
  </si>
  <si>
    <t>Парикмахерская мойка с креслом</t>
  </si>
  <si>
    <t xml:space="preserve">   Парикмахерский зал (количество кресел)</t>
  </si>
  <si>
    <t xml:space="preserve">   Маникюрный кабинет</t>
  </si>
  <si>
    <t>Укажите цены на услуги в вашем городе</t>
  </si>
  <si>
    <t>Основные показатели</t>
  </si>
  <si>
    <t xml:space="preserve">      Администраторов (2 админ., смена 1000р)</t>
  </si>
  <si>
    <t>Электроника</t>
  </si>
  <si>
    <t>Аренда</t>
  </si>
  <si>
    <t>Косметика ESTEL</t>
  </si>
  <si>
    <t>Косметика MATRIX</t>
  </si>
  <si>
    <t>Капитальный ремонт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</si>
</sst>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\ [$₽-419]"/>
    <numFmt numFmtId="165" formatCode="0.0"/>
    <numFmt numFmtId="166" formatCode="0.0%"/>
    <numFmt numFmtId="167" formatCode="#,##0.00\ &quot;₽&quot;"/>
    <numFmt numFmtId="168" formatCode="#,##0\ &quot;₽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0"/>
      <name val="Arial"/>
      <family val="2"/>
      <charset val="204"/>
    </font>
    <font>
      <sz val="10"/>
      <color theme="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94637"/>
        <bgColor indexed="64"/>
      </patternFill>
    </fill>
    <fill>
      <patternFill patternType="solid">
        <fgColor rgb="FFF5E6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6">
    <xf numFmtId="0" fontId="0" fillId="0" borderId="0" xfId="0"/>
    <xf numFmtId="0" fontId="4" fillId="0" borderId="1" xfId="0" applyFont="1" applyFill="1" applyBorder="1" applyProtection="1">
      <protection hidden="1"/>
    </xf>
    <xf numFmtId="3" fontId="9" fillId="0" borderId="1" xfId="0" applyNumberFormat="1" applyFont="1" applyFill="1" applyBorder="1" applyAlignment="1" applyProtection="1">
      <alignment horizontal="center"/>
      <protection hidden="1"/>
    </xf>
    <xf numFmtId="3" fontId="4" fillId="0" borderId="1" xfId="0" applyNumberFormat="1" applyFont="1" applyFill="1" applyBorder="1" applyAlignment="1" applyProtection="1">
      <alignment horizontal="center"/>
      <protection hidden="1"/>
    </xf>
    <xf numFmtId="0" fontId="4" fillId="0" borderId="1" xfId="0" applyFont="1" applyFill="1" applyBorder="1" applyAlignment="1" applyProtection="1">
      <alignment wrapText="1"/>
      <protection hidden="1"/>
    </xf>
    <xf numFmtId="0" fontId="4" fillId="3" borderId="1" xfId="0" applyFont="1" applyFill="1" applyBorder="1" applyProtection="1">
      <protection hidden="1"/>
    </xf>
    <xf numFmtId="3" fontId="4" fillId="3" borderId="1" xfId="0" applyNumberFormat="1" applyFont="1" applyFill="1" applyBorder="1" applyAlignment="1" applyProtection="1">
      <alignment horizontal="center"/>
      <protection hidden="1"/>
    </xf>
    <xf numFmtId="3" fontId="9" fillId="3" borderId="1" xfId="0" applyNumberFormat="1" applyFont="1" applyFill="1" applyBorder="1" applyAlignment="1" applyProtection="1">
      <alignment horizontal="center"/>
      <protection hidden="1"/>
    </xf>
    <xf numFmtId="0" fontId="8" fillId="2" borderId="1" xfId="0" applyFont="1" applyFill="1" applyBorder="1" applyProtection="1">
      <protection hidden="1"/>
    </xf>
    <xf numFmtId="0" fontId="10" fillId="2" borderId="1" xfId="0" applyFont="1" applyFill="1" applyBorder="1"/>
    <xf numFmtId="3" fontId="8" fillId="2" borderId="1" xfId="0" applyNumberFormat="1" applyFont="1" applyFill="1" applyBorder="1"/>
    <xf numFmtId="0" fontId="5" fillId="4" borderId="0" xfId="0" applyFont="1" applyFill="1" applyBorder="1"/>
    <xf numFmtId="0" fontId="7" fillId="4" borderId="0" xfId="0" applyFont="1" applyFill="1" applyBorder="1" applyAlignment="1" applyProtection="1">
      <protection hidden="1"/>
    </xf>
    <xf numFmtId="0" fontId="4" fillId="4" borderId="0" xfId="0" applyFont="1" applyFill="1" applyBorder="1" applyAlignment="1" applyProtection="1">
      <protection hidden="1"/>
    </xf>
    <xf numFmtId="0" fontId="6" fillId="2" borderId="3" xfId="0" applyFont="1" applyFill="1" applyBorder="1"/>
    <xf numFmtId="0" fontId="5" fillId="2" borderId="3" xfId="0" applyFont="1" applyFill="1" applyBorder="1"/>
    <xf numFmtId="0" fontId="4" fillId="2" borderId="2" xfId="0" applyFont="1" applyFill="1" applyBorder="1" applyProtection="1">
      <protection hidden="1"/>
    </xf>
    <xf numFmtId="3" fontId="8" fillId="2" borderId="2" xfId="0" applyNumberFormat="1" applyFont="1" applyFill="1" applyBorder="1" applyAlignment="1" applyProtection="1">
      <alignment horizontal="center"/>
      <protection hidden="1"/>
    </xf>
    <xf numFmtId="0" fontId="0" fillId="0" borderId="1" xfId="0" applyFill="1" applyBorder="1"/>
    <xf numFmtId="0" fontId="1" fillId="0" borderId="1" xfId="0" applyFont="1" applyFill="1" applyBorder="1"/>
    <xf numFmtId="0" fontId="0" fillId="4" borderId="0" xfId="0" applyFill="1" applyBorder="1"/>
    <xf numFmtId="0" fontId="0" fillId="4" borderId="0" xfId="0" applyFill="1" applyBorder="1" applyAlignment="1"/>
    <xf numFmtId="0" fontId="12" fillId="4" borderId="0" xfId="0" applyFont="1" applyFill="1" applyBorder="1"/>
    <xf numFmtId="0" fontId="1" fillId="0" borderId="1" xfId="0" applyFont="1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0" fontId="10" fillId="4" borderId="0" xfId="0" applyFont="1" applyFill="1"/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/>
    <xf numFmtId="10" fontId="9" fillId="3" borderId="1" xfId="0" applyNumberFormat="1" applyFont="1" applyFill="1" applyBorder="1"/>
    <xf numFmtId="168" fontId="8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68" fontId="9" fillId="3" borderId="1" xfId="0" applyNumberFormat="1" applyFont="1" applyFill="1" applyBorder="1"/>
    <xf numFmtId="164" fontId="9" fillId="5" borderId="1" xfId="0" applyNumberFormat="1" applyFont="1" applyFill="1" applyBorder="1" applyAlignment="1" applyProtection="1">
      <alignment horizontal="center"/>
      <protection hidden="1"/>
    </xf>
    <xf numFmtId="0" fontId="5" fillId="4" borderId="0" xfId="0" applyFont="1" applyFill="1"/>
    <xf numFmtId="0" fontId="4" fillId="4" borderId="1" xfId="0" applyFont="1" applyFill="1" applyBorder="1" applyAlignment="1" applyProtection="1">
      <protection hidden="1"/>
    </xf>
    <xf numFmtId="0" fontId="9" fillId="4" borderId="1" xfId="0" applyFont="1" applyFill="1" applyBorder="1"/>
    <xf numFmtId="0" fontId="11" fillId="4" borderId="0" xfId="1" applyFill="1"/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6" fontId="3" fillId="4" borderId="1" xfId="0" applyNumberFormat="1" applyFont="1" applyFill="1" applyBorder="1" applyAlignment="1">
      <alignment horizontal="left" vertical="center"/>
    </xf>
    <xf numFmtId="3" fontId="3" fillId="4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10" fontId="3" fillId="4" borderId="1" xfId="0" applyNumberFormat="1" applyFont="1" applyFill="1" applyBorder="1" applyAlignment="1">
      <alignment horizontal="center" vertical="center"/>
    </xf>
    <xf numFmtId="168" fontId="3" fillId="4" borderId="1" xfId="0" applyNumberFormat="1" applyFont="1" applyFill="1" applyBorder="1" applyAlignment="1">
      <alignment horizontal="center" vertical="center"/>
    </xf>
    <xf numFmtId="168" fontId="4" fillId="4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vertical="center"/>
    </xf>
    <xf numFmtId="168" fontId="9" fillId="4" borderId="1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10" fontId="9" fillId="4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3" fontId="5" fillId="4" borderId="0" xfId="0" applyNumberFormat="1" applyFont="1" applyFill="1" applyBorder="1"/>
    <xf numFmtId="0" fontId="13" fillId="2" borderId="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left"/>
    </xf>
    <xf numFmtId="0" fontId="4" fillId="4" borderId="5" xfId="0" applyFont="1" applyFill="1" applyBorder="1" applyAlignment="1" applyProtection="1">
      <protection hidden="1"/>
    </xf>
    <xf numFmtId="0" fontId="4" fillId="4" borderId="6" xfId="0" applyFont="1" applyFill="1" applyBorder="1" applyAlignment="1" applyProtection="1">
      <protection hidden="1"/>
    </xf>
    <xf numFmtId="0" fontId="4" fillId="4" borderId="5" xfId="0" applyFont="1" applyFill="1" applyBorder="1" applyAlignment="1" applyProtection="1">
      <alignment wrapText="1"/>
      <protection hidden="1"/>
    </xf>
    <xf numFmtId="0" fontId="4" fillId="4" borderId="6" xfId="0" applyFont="1" applyFill="1" applyBorder="1" applyAlignment="1" applyProtection="1">
      <alignment wrapText="1"/>
      <protection hidden="1"/>
    </xf>
    <xf numFmtId="0" fontId="9" fillId="3" borderId="5" xfId="0" applyFont="1" applyFill="1" applyBorder="1" applyAlignment="1" applyProtection="1">
      <alignment horizontal="left"/>
      <protection hidden="1"/>
    </xf>
    <xf numFmtId="0" fontId="9" fillId="3" borderId="4" xfId="0" applyFont="1" applyFill="1" applyBorder="1" applyAlignment="1" applyProtection="1">
      <alignment horizontal="left"/>
      <protection hidden="1"/>
    </xf>
    <xf numFmtId="0" fontId="9" fillId="3" borderId="6" xfId="0" applyFont="1" applyFill="1" applyBorder="1" applyAlignment="1" applyProtection="1">
      <alignment horizontal="left"/>
      <protection hidden="1"/>
    </xf>
    <xf numFmtId="0" fontId="8" fillId="2" borderId="2" xfId="0" applyFont="1" applyFill="1" applyBorder="1" applyAlignment="1">
      <alignment horizontal="left"/>
    </xf>
    <xf numFmtId="0" fontId="9" fillId="4" borderId="1" xfId="0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mruColors>
      <color rgb="FF594637"/>
      <color rgb="FFF5E6D3"/>
      <color rgb="FFFF4E18"/>
      <color rgb="FFFC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5861</xdr:colOff>
      <xdr:row>1</xdr:row>
      <xdr:rowOff>4562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41019" cy="10633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1906</xdr:rowOff>
    </xdr:from>
    <xdr:to>
      <xdr:col>4</xdr:col>
      <xdr:colOff>0</xdr:colOff>
      <xdr:row>0</xdr:row>
      <xdr:rowOff>1141408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906"/>
          <a:ext cx="9334500" cy="11395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0</xdr:colOff>
      <xdr:row>1</xdr:row>
      <xdr:rowOff>3402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6840990" cy="833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94637"/>
  </sheetPr>
  <dimension ref="A1:J28"/>
  <sheetViews>
    <sheetView tabSelected="1" zoomScaleNormal="100" workbookViewId="0">
      <selection activeCell="B4" sqref="B4"/>
    </sheetView>
  </sheetViews>
  <sheetFormatPr defaultRowHeight="15" x14ac:dyDescent="0.25"/>
  <cols>
    <col min="1" max="1" width="57" style="20" customWidth="1"/>
    <col min="2" max="2" width="23" style="20" customWidth="1"/>
    <col min="3" max="3" width="26" style="20" customWidth="1"/>
    <col min="4" max="4" width="25" style="20" customWidth="1"/>
    <col min="5" max="5" width="35.85546875" style="20" customWidth="1"/>
    <col min="6" max="16384" width="9.140625" style="20"/>
  </cols>
  <sheetData>
    <row r="1" spans="1:10" ht="83.25" customHeight="1" x14ac:dyDescent="0.25">
      <c r="A1" s="23" t="s">
        <v>0</v>
      </c>
      <c r="B1" s="24"/>
      <c r="C1" s="24"/>
      <c r="D1" s="24"/>
      <c r="E1" s="21"/>
      <c r="F1" s="21"/>
      <c r="G1" s="21"/>
      <c r="H1" s="21"/>
      <c r="I1" s="21"/>
      <c r="J1" s="21"/>
    </row>
    <row r="2" spans="1:10" x14ac:dyDescent="0.25">
      <c r="A2" s="74" t="s">
        <v>1</v>
      </c>
      <c r="B2" s="74"/>
      <c r="C2" s="74"/>
      <c r="D2" s="74"/>
    </row>
    <row r="3" spans="1:10" ht="30" x14ac:dyDescent="0.25">
      <c r="A3" s="25" t="s">
        <v>125</v>
      </c>
      <c r="B3" s="71">
        <v>50</v>
      </c>
      <c r="C3" s="18"/>
      <c r="D3" s="18"/>
    </row>
    <row r="4" spans="1:10" x14ac:dyDescent="0.25">
      <c r="A4" s="18" t="s">
        <v>2</v>
      </c>
      <c r="B4" s="71">
        <v>800</v>
      </c>
      <c r="C4" s="18"/>
      <c r="D4" s="18"/>
    </row>
    <row r="5" spans="1:10" x14ac:dyDescent="0.25">
      <c r="A5" s="18" t="s">
        <v>3</v>
      </c>
      <c r="B5" s="71" t="s">
        <v>143</v>
      </c>
      <c r="C5" s="18"/>
      <c r="D5" s="18"/>
    </row>
    <row r="6" spans="1:10" x14ac:dyDescent="0.25">
      <c r="A6" s="18" t="s">
        <v>5</v>
      </c>
      <c r="B6" s="26"/>
      <c r="C6" s="18"/>
      <c r="D6" s="18"/>
    </row>
    <row r="7" spans="1:10" x14ac:dyDescent="0.25">
      <c r="A7" s="18" t="s">
        <v>134</v>
      </c>
      <c r="B7" s="26">
        <f>IF(B3&lt;40,"ОШИБКА",IF(B3&lt;50,4,IF(B3&lt;61,5,IF(B3&lt;81,6,"ОШИБКА"))))</f>
        <v>5</v>
      </c>
      <c r="C7" s="18"/>
      <c r="D7" s="18"/>
    </row>
    <row r="8" spans="1:10" x14ac:dyDescent="0.25">
      <c r="A8" s="18" t="s">
        <v>135</v>
      </c>
      <c r="B8" s="26">
        <f>IF(B3&lt;40,"ОШИБКА",IF(B3&lt;60,1,IF(B3&lt;81,2,"ОШИБКА")))</f>
        <v>1</v>
      </c>
      <c r="C8" s="18"/>
      <c r="D8" s="18"/>
    </row>
    <row r="9" spans="1:10" x14ac:dyDescent="0.25">
      <c r="A9" s="18" t="s">
        <v>105</v>
      </c>
      <c r="B9" s="26">
        <f>IF(B3&lt;40,"ОШИБКА",IF(B3&lt;65,1,IF(B3&lt;81,2,"ОШИБКА")))</f>
        <v>1</v>
      </c>
      <c r="C9" s="18"/>
      <c r="D9" s="18"/>
    </row>
    <row r="10" spans="1:10" x14ac:dyDescent="0.25">
      <c r="A10" s="18"/>
      <c r="B10" s="26"/>
      <c r="C10" s="18"/>
      <c r="D10" s="18"/>
    </row>
    <row r="11" spans="1:10" x14ac:dyDescent="0.25">
      <c r="A11" s="74" t="s">
        <v>7</v>
      </c>
      <c r="B11" s="74"/>
      <c r="C11" s="74"/>
      <c r="D11" s="74"/>
    </row>
    <row r="12" spans="1:10" x14ac:dyDescent="0.25">
      <c r="A12" s="18" t="s">
        <v>8</v>
      </c>
      <c r="B12" s="71">
        <v>900</v>
      </c>
      <c r="C12" s="18" t="s">
        <v>9</v>
      </c>
      <c r="D12" s="18"/>
    </row>
    <row r="13" spans="1:10" x14ac:dyDescent="0.25">
      <c r="A13" s="18"/>
      <c r="B13" s="26"/>
      <c r="C13" s="18"/>
      <c r="D13" s="18"/>
    </row>
    <row r="14" spans="1:10" x14ac:dyDescent="0.25">
      <c r="A14" s="18" t="s">
        <v>10</v>
      </c>
      <c r="B14" s="27">
        <f>INT(B12/25)</f>
        <v>36</v>
      </c>
      <c r="C14" s="18"/>
      <c r="D14" s="18"/>
    </row>
    <row r="15" spans="1:10" x14ac:dyDescent="0.25">
      <c r="A15" s="19" t="s">
        <v>11</v>
      </c>
      <c r="B15" s="28">
        <f>SUM('Расходы и доходы'!N31:Z31)*B14</f>
        <v>200468808</v>
      </c>
      <c r="C15" s="18"/>
      <c r="D15" s="18"/>
    </row>
    <row r="16" spans="1:10" ht="15" customHeight="1" x14ac:dyDescent="0.25">
      <c r="A16" s="19" t="s">
        <v>130</v>
      </c>
      <c r="B16" s="28">
        <f>'Расходы и доходы'!B15*12*'Введите свои данные'!B14</f>
        <v>46875888</v>
      </c>
      <c r="C16" s="18"/>
      <c r="D16" s="18"/>
    </row>
    <row r="17" spans="1:4" ht="15" customHeight="1" x14ac:dyDescent="0.25">
      <c r="A17" s="19"/>
      <c r="B17" s="28"/>
      <c r="C17" s="18"/>
      <c r="D17" s="18"/>
    </row>
    <row r="18" spans="1:4" ht="15" customHeight="1" x14ac:dyDescent="0.25">
      <c r="A18" s="74" t="s">
        <v>127</v>
      </c>
      <c r="B18" s="74"/>
      <c r="C18" s="74"/>
      <c r="D18" s="74"/>
    </row>
    <row r="19" spans="1:4" ht="15" customHeight="1" x14ac:dyDescent="0.25">
      <c r="A19" s="18" t="s">
        <v>128</v>
      </c>
      <c r="B19" s="72">
        <v>3</v>
      </c>
      <c r="C19" s="18"/>
      <c r="D19" s="18"/>
    </row>
    <row r="20" spans="1:4" ht="15" customHeight="1" x14ac:dyDescent="0.25">
      <c r="A20" s="19" t="s">
        <v>129</v>
      </c>
      <c r="B20" s="28">
        <f>SUM('Расходы и доходы'!N31:Z31)*B19</f>
        <v>16705734</v>
      </c>
      <c r="C20" s="18"/>
      <c r="D20" s="18"/>
    </row>
    <row r="21" spans="1:4" ht="15" customHeight="1" x14ac:dyDescent="0.25">
      <c r="A21" s="19" t="s">
        <v>131</v>
      </c>
      <c r="B21" s="28">
        <f>'Расходы и доходы'!B15*12*'Введите свои данные'!B19</f>
        <v>3906324</v>
      </c>
      <c r="C21" s="18"/>
      <c r="D21" s="18"/>
    </row>
    <row r="22" spans="1:4" ht="15" customHeight="1" x14ac:dyDescent="0.25"/>
    <row r="23" spans="1:4" ht="15" customHeight="1" x14ac:dyDescent="0.25"/>
    <row r="24" spans="1:4" x14ac:dyDescent="0.25">
      <c r="A24" s="22"/>
    </row>
    <row r="25" spans="1:4" ht="15" customHeight="1" x14ac:dyDescent="0.25"/>
    <row r="26" spans="1:4" ht="15" customHeight="1" x14ac:dyDescent="0.25"/>
    <row r="27" spans="1:4" ht="15" customHeight="1" x14ac:dyDescent="0.25"/>
    <row r="28" spans="1:4" ht="15" customHeight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password="CF0E" sqref="A3:A10 B6:B10 C3:D10 A11 A12:A17 B13:B17 C12:D17 A18 A19:A21 B20:D21 C19:D19 A2" name="Диапазон1"/>
  </protectedRanges>
  <mergeCells count="3">
    <mergeCell ref="A18:D18"/>
    <mergeCell ref="A11:D11"/>
    <mergeCell ref="A2:D2"/>
  </mergeCells>
  <dataValidations count="1">
    <dataValidation type="list" allowBlank="1" showInputMessage="1" showErrorMessage="1" sqref="B5">
      <formula1>"Косметический ремонт,Капитальный ремонт"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E6D3"/>
  </sheetPr>
  <dimension ref="A1:J68"/>
  <sheetViews>
    <sheetView zoomScaleNormal="100" workbookViewId="0">
      <selection activeCell="B43" sqref="B43"/>
    </sheetView>
  </sheetViews>
  <sheetFormatPr defaultRowHeight="12.75" outlineLevelRow="1" x14ac:dyDescent="0.2"/>
  <cols>
    <col min="1" max="1" width="51.140625" style="11" customWidth="1"/>
    <col min="2" max="2" width="33.85546875" style="11" customWidth="1"/>
    <col min="3" max="3" width="29.28515625" style="11" customWidth="1"/>
    <col min="4" max="4" width="25.85546875" style="11" customWidth="1"/>
    <col min="5" max="16384" width="9.140625" style="11"/>
  </cols>
  <sheetData>
    <row r="1" spans="1:10" ht="90.75" customHeight="1" x14ac:dyDescent="0.2">
      <c r="A1" s="14"/>
      <c r="B1" s="15"/>
      <c r="C1" s="15"/>
      <c r="D1" s="15"/>
    </row>
    <row r="2" spans="1:10" x14ac:dyDescent="0.2">
      <c r="A2" s="16"/>
      <c r="B2" s="17" t="s">
        <v>13</v>
      </c>
      <c r="C2" s="17" t="s">
        <v>14</v>
      </c>
      <c r="D2" s="17" t="s">
        <v>15</v>
      </c>
      <c r="F2" s="73"/>
      <c r="I2" s="12"/>
      <c r="J2" s="12"/>
    </row>
    <row r="3" spans="1:10" x14ac:dyDescent="0.2">
      <c r="A3" s="5" t="s">
        <v>16</v>
      </c>
      <c r="B3" s="6"/>
      <c r="C3" s="6"/>
      <c r="D3" s="7">
        <f>SUM(D4:D13)</f>
        <v>50481</v>
      </c>
    </row>
    <row r="4" spans="1:10" hidden="1" outlineLevel="1" x14ac:dyDescent="0.2">
      <c r="A4" s="1" t="s">
        <v>17</v>
      </c>
      <c r="B4" s="3">
        <v>7500</v>
      </c>
      <c r="C4" s="3">
        <v>1</v>
      </c>
      <c r="D4" s="2">
        <f t="shared" ref="D4:D13" si="0">B4*C4</f>
        <v>7500</v>
      </c>
    </row>
    <row r="5" spans="1:10" hidden="1" outlineLevel="1" x14ac:dyDescent="0.2">
      <c r="A5" s="1" t="s">
        <v>18</v>
      </c>
      <c r="B5" s="3">
        <v>2080</v>
      </c>
      <c r="C5" s="3">
        <v>1</v>
      </c>
      <c r="D5" s="2">
        <f t="shared" si="0"/>
        <v>2080</v>
      </c>
    </row>
    <row r="6" spans="1:10" hidden="1" outlineLevel="1" x14ac:dyDescent="0.2">
      <c r="A6" s="1" t="s">
        <v>19</v>
      </c>
      <c r="B6" s="3">
        <v>6588</v>
      </c>
      <c r="C6" s="3">
        <v>1</v>
      </c>
      <c r="D6" s="2">
        <f t="shared" si="0"/>
        <v>6588</v>
      </c>
    </row>
    <row r="7" spans="1:10" hidden="1" outlineLevel="1" x14ac:dyDescent="0.2">
      <c r="A7" s="1" t="s">
        <v>20</v>
      </c>
      <c r="B7" s="3">
        <v>1580</v>
      </c>
      <c r="C7" s="3">
        <v>1</v>
      </c>
      <c r="D7" s="2">
        <f t="shared" si="0"/>
        <v>1580</v>
      </c>
    </row>
    <row r="8" spans="1:10" hidden="1" outlineLevel="1" x14ac:dyDescent="0.2">
      <c r="A8" s="1" t="s">
        <v>21</v>
      </c>
      <c r="B8" s="3">
        <v>7389</v>
      </c>
      <c r="C8" s="3">
        <v>1</v>
      </c>
      <c r="D8" s="2">
        <f t="shared" si="0"/>
        <v>7389</v>
      </c>
    </row>
    <row r="9" spans="1:10" hidden="1" outlineLevel="1" x14ac:dyDescent="0.2">
      <c r="A9" s="1" t="s">
        <v>22</v>
      </c>
      <c r="B9" s="3">
        <v>5000</v>
      </c>
      <c r="C9" s="3">
        <v>2</v>
      </c>
      <c r="D9" s="2">
        <f t="shared" si="0"/>
        <v>10000</v>
      </c>
    </row>
    <row r="10" spans="1:10" hidden="1" outlineLevel="1" x14ac:dyDescent="0.2">
      <c r="A10" s="1" t="s">
        <v>23</v>
      </c>
      <c r="B10" s="3">
        <v>950</v>
      </c>
      <c r="C10" s="3">
        <v>2</v>
      </c>
      <c r="D10" s="2">
        <f t="shared" si="0"/>
        <v>1900</v>
      </c>
    </row>
    <row r="11" spans="1:10" hidden="1" outlineLevel="1" x14ac:dyDescent="0.2">
      <c r="A11" s="1" t="s">
        <v>24</v>
      </c>
      <c r="B11" s="3">
        <v>5000</v>
      </c>
      <c r="C11" s="3">
        <v>1</v>
      </c>
      <c r="D11" s="2">
        <f t="shared" si="0"/>
        <v>5000</v>
      </c>
    </row>
    <row r="12" spans="1:10" hidden="1" outlineLevel="1" x14ac:dyDescent="0.2">
      <c r="A12" s="1" t="s">
        <v>25</v>
      </c>
      <c r="B12" s="3">
        <v>3444</v>
      </c>
      <c r="C12" s="3">
        <v>1</v>
      </c>
      <c r="D12" s="2">
        <f t="shared" si="0"/>
        <v>3444</v>
      </c>
    </row>
    <row r="13" spans="1:10" hidden="1" outlineLevel="1" x14ac:dyDescent="0.2">
      <c r="A13" s="1" t="s">
        <v>132</v>
      </c>
      <c r="B13" s="3">
        <v>5000</v>
      </c>
      <c r="C13" s="3">
        <v>1</v>
      </c>
      <c r="D13" s="2">
        <f t="shared" si="0"/>
        <v>5000</v>
      </c>
    </row>
    <row r="14" spans="1:10" collapsed="1" x14ac:dyDescent="0.2">
      <c r="A14" s="5" t="s">
        <v>4</v>
      </c>
      <c r="B14" s="6"/>
      <c r="C14" s="6"/>
      <c r="D14" s="7">
        <f>SUM(D15:D24)</f>
        <v>166424</v>
      </c>
      <c r="F14" s="73"/>
    </row>
    <row r="15" spans="1:10" hidden="1" outlineLevel="1" x14ac:dyDescent="0.2">
      <c r="A15" s="1" t="s">
        <v>26</v>
      </c>
      <c r="B15" s="3">
        <v>10467</v>
      </c>
      <c r="C15" s="3">
        <f>'Введите свои данные'!B7</f>
        <v>5</v>
      </c>
      <c r="D15" s="2">
        <f t="shared" ref="D15:D24" si="1">B15*C15</f>
        <v>52335</v>
      </c>
    </row>
    <row r="16" spans="1:10" hidden="1" outlineLevel="1" x14ac:dyDescent="0.2">
      <c r="A16" s="1" t="s">
        <v>133</v>
      </c>
      <c r="B16" s="3">
        <v>17108</v>
      </c>
      <c r="C16" s="3">
        <f>IF('Введите свои данные'!B7=5,1,IF('Введите свои данные'!B7=6,2,))</f>
        <v>1</v>
      </c>
      <c r="D16" s="2">
        <f t="shared" si="1"/>
        <v>17108</v>
      </c>
    </row>
    <row r="17" spans="1:4" hidden="1" outlineLevel="1" x14ac:dyDescent="0.2">
      <c r="A17" s="1" t="s">
        <v>27</v>
      </c>
      <c r="B17" s="3">
        <v>3666</v>
      </c>
      <c r="C17" s="3">
        <f>C15/2</f>
        <v>2.5</v>
      </c>
      <c r="D17" s="2">
        <f t="shared" si="1"/>
        <v>9165</v>
      </c>
    </row>
    <row r="18" spans="1:4" hidden="1" outlineLevel="1" x14ac:dyDescent="0.2">
      <c r="A18" s="1" t="s">
        <v>28</v>
      </c>
      <c r="B18" s="3">
        <v>5794</v>
      </c>
      <c r="C18" s="3">
        <v>1</v>
      </c>
      <c r="D18" s="2">
        <f t="shared" si="1"/>
        <v>5794</v>
      </c>
    </row>
    <row r="19" spans="1:4" hidden="1" outlineLevel="1" x14ac:dyDescent="0.2">
      <c r="A19" s="1" t="s">
        <v>29</v>
      </c>
      <c r="B19" s="3">
        <v>2976</v>
      </c>
      <c r="C19" s="3">
        <v>1</v>
      </c>
      <c r="D19" s="2">
        <f t="shared" si="1"/>
        <v>2976</v>
      </c>
    </row>
    <row r="20" spans="1:4" hidden="1" outlineLevel="1" x14ac:dyDescent="0.2">
      <c r="A20" s="1" t="s">
        <v>30</v>
      </c>
      <c r="B20" s="3">
        <v>2714</v>
      </c>
      <c r="C20" s="3">
        <v>3</v>
      </c>
      <c r="D20" s="2">
        <f t="shared" si="1"/>
        <v>8142</v>
      </c>
    </row>
    <row r="21" spans="1:4" hidden="1" outlineLevel="1" x14ac:dyDescent="0.2">
      <c r="A21" s="1" t="s">
        <v>31</v>
      </c>
      <c r="B21" s="3">
        <v>2210</v>
      </c>
      <c r="C21" s="3">
        <v>1</v>
      </c>
      <c r="D21" s="2">
        <f t="shared" si="1"/>
        <v>2210</v>
      </c>
    </row>
    <row r="22" spans="1:4" hidden="1" outlineLevel="1" x14ac:dyDescent="0.2">
      <c r="A22" s="1" t="s">
        <v>141</v>
      </c>
      <c r="B22" s="3">
        <v>35153</v>
      </c>
      <c r="C22" s="3">
        <v>1</v>
      </c>
      <c r="D22" s="2">
        <f>B22*C22</f>
        <v>35153</v>
      </c>
    </row>
    <row r="23" spans="1:4" hidden="1" outlineLevel="1" x14ac:dyDescent="0.2">
      <c r="A23" s="1" t="s">
        <v>142</v>
      </c>
      <c r="B23" s="3">
        <v>21828</v>
      </c>
      <c r="C23" s="3">
        <v>1</v>
      </c>
      <c r="D23" s="2">
        <f t="shared" si="1"/>
        <v>21828</v>
      </c>
    </row>
    <row r="24" spans="1:4" hidden="1" outlineLevel="1" x14ac:dyDescent="0.2">
      <c r="A24" s="1" t="s">
        <v>32</v>
      </c>
      <c r="B24" s="3">
        <v>11713</v>
      </c>
      <c r="C24" s="3">
        <v>1</v>
      </c>
      <c r="D24" s="2">
        <f t="shared" si="1"/>
        <v>11713</v>
      </c>
    </row>
    <row r="25" spans="1:4" collapsed="1" x14ac:dyDescent="0.2">
      <c r="A25" s="5" t="s">
        <v>33</v>
      </c>
      <c r="B25" s="6"/>
      <c r="C25" s="6"/>
      <c r="D25" s="7">
        <f>SUM(D26:D32)</f>
        <v>60420</v>
      </c>
    </row>
    <row r="26" spans="1:4" hidden="1" outlineLevel="1" x14ac:dyDescent="0.2">
      <c r="A26" s="1" t="s">
        <v>34</v>
      </c>
      <c r="B26" s="3">
        <v>6950</v>
      </c>
      <c r="C26" s="3">
        <f>'Введите свои данные'!B8</f>
        <v>1</v>
      </c>
      <c r="D26" s="2">
        <f t="shared" ref="D26:D32" si="2">B26*C26</f>
        <v>6950</v>
      </c>
    </row>
    <row r="27" spans="1:4" hidden="1" outlineLevel="1" x14ac:dyDescent="0.2">
      <c r="A27" s="1" t="s">
        <v>35</v>
      </c>
      <c r="B27" s="3">
        <v>27000</v>
      </c>
      <c r="C27" s="3">
        <v>1</v>
      </c>
      <c r="D27" s="2">
        <f t="shared" si="2"/>
        <v>27000</v>
      </c>
    </row>
    <row r="28" spans="1:4" hidden="1" outlineLevel="1" x14ac:dyDescent="0.2">
      <c r="A28" s="1" t="s">
        <v>36</v>
      </c>
      <c r="B28" s="3">
        <v>4900</v>
      </c>
      <c r="C28" s="3">
        <f>'Введите свои данные'!B8</f>
        <v>1</v>
      </c>
      <c r="D28" s="2">
        <f t="shared" si="2"/>
        <v>4900</v>
      </c>
    </row>
    <row r="29" spans="1:4" hidden="1" outlineLevel="1" x14ac:dyDescent="0.2">
      <c r="A29" s="1" t="s">
        <v>37</v>
      </c>
      <c r="B29" s="3">
        <v>400</v>
      </c>
      <c r="C29" s="3">
        <f>'Введите свои данные'!B8</f>
        <v>1</v>
      </c>
      <c r="D29" s="2">
        <f t="shared" si="2"/>
        <v>400</v>
      </c>
    </row>
    <row r="30" spans="1:4" hidden="1" outlineLevel="1" x14ac:dyDescent="0.2">
      <c r="A30" s="1" t="s">
        <v>38</v>
      </c>
      <c r="B30" s="3">
        <v>600</v>
      </c>
      <c r="C30" s="3">
        <f>'Введите свои данные'!B8</f>
        <v>1</v>
      </c>
      <c r="D30" s="2">
        <f t="shared" si="2"/>
        <v>600</v>
      </c>
    </row>
    <row r="31" spans="1:4" hidden="1" outlineLevel="1" x14ac:dyDescent="0.2">
      <c r="A31" s="1" t="s">
        <v>39</v>
      </c>
      <c r="B31" s="3">
        <v>6000</v>
      </c>
      <c r="C31" s="3">
        <f>'Введите свои данные'!B8</f>
        <v>1</v>
      </c>
      <c r="D31" s="2">
        <f t="shared" si="2"/>
        <v>6000</v>
      </c>
    </row>
    <row r="32" spans="1:4" hidden="1" outlineLevel="1" x14ac:dyDescent="0.2">
      <c r="A32" s="1" t="s">
        <v>40</v>
      </c>
      <c r="B32" s="3">
        <v>14570</v>
      </c>
      <c r="C32" s="3">
        <f>'Введите свои данные'!B8</f>
        <v>1</v>
      </c>
      <c r="D32" s="2">
        <f t="shared" si="2"/>
        <v>14570</v>
      </c>
    </row>
    <row r="33" spans="1:4" collapsed="1" x14ac:dyDescent="0.2">
      <c r="A33" s="5" t="s">
        <v>6</v>
      </c>
      <c r="B33" s="6"/>
      <c r="C33" s="6"/>
      <c r="D33" s="7">
        <f>SUM(D34:D38)</f>
        <v>91682</v>
      </c>
    </row>
    <row r="34" spans="1:4" hidden="1" outlineLevel="1" x14ac:dyDescent="0.2">
      <c r="A34" s="1" t="s">
        <v>41</v>
      </c>
      <c r="B34" s="3">
        <v>80000</v>
      </c>
      <c r="C34" s="3">
        <f>'Введите свои данные'!B9</f>
        <v>1</v>
      </c>
      <c r="D34" s="3">
        <f>B34*C34</f>
        <v>80000</v>
      </c>
    </row>
    <row r="35" spans="1:4" hidden="1" outlineLevel="1" x14ac:dyDescent="0.2">
      <c r="A35" s="1" t="s">
        <v>42</v>
      </c>
      <c r="B35" s="3">
        <v>9432</v>
      </c>
      <c r="C35" s="3">
        <v>1</v>
      </c>
      <c r="D35" s="3">
        <f>B35*C35</f>
        <v>9432</v>
      </c>
    </row>
    <row r="36" spans="1:4" hidden="1" outlineLevel="1" x14ac:dyDescent="0.2">
      <c r="A36" s="1" t="s">
        <v>43</v>
      </c>
      <c r="B36" s="3">
        <v>400</v>
      </c>
      <c r="C36" s="3">
        <f>'Введите свои данные'!B9</f>
        <v>1</v>
      </c>
      <c r="D36" s="3">
        <f>B36*C36</f>
        <v>400</v>
      </c>
    </row>
    <row r="37" spans="1:4" hidden="1" outlineLevel="1" x14ac:dyDescent="0.2">
      <c r="A37" s="1" t="s">
        <v>44</v>
      </c>
      <c r="B37" s="3">
        <v>1350</v>
      </c>
      <c r="C37" s="3">
        <f>'Введите свои данные'!B9</f>
        <v>1</v>
      </c>
      <c r="D37" s="3">
        <f>B37*C37</f>
        <v>1350</v>
      </c>
    </row>
    <row r="38" spans="1:4" hidden="1" outlineLevel="1" x14ac:dyDescent="0.2">
      <c r="A38" s="1" t="s">
        <v>45</v>
      </c>
      <c r="B38" s="3">
        <v>500</v>
      </c>
      <c r="C38" s="3">
        <f>'Введите свои данные'!B9</f>
        <v>1</v>
      </c>
      <c r="D38" s="3">
        <f>B38*C38</f>
        <v>500</v>
      </c>
    </row>
    <row r="39" spans="1:4" collapsed="1" x14ac:dyDescent="0.2">
      <c r="A39" s="1" t="s">
        <v>46</v>
      </c>
      <c r="B39" s="3"/>
      <c r="C39" s="3">
        <v>1</v>
      </c>
      <c r="D39" s="2">
        <v>16400</v>
      </c>
    </row>
    <row r="40" spans="1:4" x14ac:dyDescent="0.2">
      <c r="A40" s="1" t="s">
        <v>139</v>
      </c>
      <c r="B40" s="3"/>
      <c r="C40" s="3">
        <v>1</v>
      </c>
      <c r="D40" s="2">
        <v>13779</v>
      </c>
    </row>
    <row r="41" spans="1:4" x14ac:dyDescent="0.2">
      <c r="A41" s="1" t="s">
        <v>47</v>
      </c>
      <c r="B41" s="3"/>
      <c r="C41" s="3">
        <v>1</v>
      </c>
      <c r="D41" s="2">
        <f>IF('Введите свои данные'!B3&lt;40,"ОШИБКА",IF('Введите свои данные'!B3&lt;60,15000,IF('Введите свои данные'!B3&lt;81,30000,"ОШИБКА")))</f>
        <v>15000</v>
      </c>
    </row>
    <row r="42" spans="1:4" x14ac:dyDescent="0.2">
      <c r="A42" s="1" t="s">
        <v>48</v>
      </c>
      <c r="B42" s="3">
        <f>IF('Введите свои данные'!B5="Косметический ремонт",1800,2500)</f>
        <v>2500</v>
      </c>
      <c r="C42" s="3">
        <f>'Введите свои данные'!B3</f>
        <v>50</v>
      </c>
      <c r="D42" s="2">
        <f>B42*C42</f>
        <v>125000</v>
      </c>
    </row>
    <row r="43" spans="1:4" x14ac:dyDescent="0.2">
      <c r="A43" s="1" t="s">
        <v>140</v>
      </c>
      <c r="B43" s="3">
        <f>'Введите свои данные'!B4</f>
        <v>800</v>
      </c>
      <c r="C43" s="3">
        <f>'Введите свои данные'!B3</f>
        <v>50</v>
      </c>
      <c r="D43" s="2">
        <f>B43*C43</f>
        <v>40000</v>
      </c>
    </row>
    <row r="44" spans="1:4" x14ac:dyDescent="0.2">
      <c r="A44" s="1" t="s">
        <v>49</v>
      </c>
      <c r="B44" s="3">
        <f>IF('Введите свои данные'!B12&lt;200,180000,IF('Введите свои данные'!B12&gt;200,250000,250000))</f>
        <v>250000</v>
      </c>
      <c r="C44" s="3">
        <v>1</v>
      </c>
      <c r="D44" s="2">
        <f>B44*C44</f>
        <v>250000</v>
      </c>
    </row>
    <row r="45" spans="1:4" x14ac:dyDescent="0.2">
      <c r="A45" s="1"/>
      <c r="B45" s="3"/>
      <c r="C45" s="3"/>
      <c r="D45" s="3"/>
    </row>
    <row r="46" spans="1:4" ht="27.75" customHeight="1" x14ac:dyDescent="0.2">
      <c r="A46" s="4" t="s">
        <v>50</v>
      </c>
      <c r="B46" s="3"/>
      <c r="C46" s="3"/>
      <c r="D46" s="3"/>
    </row>
    <row r="47" spans="1:4" x14ac:dyDescent="0.2">
      <c r="A47" s="1" t="s">
        <v>51</v>
      </c>
      <c r="B47" s="3">
        <v>38000</v>
      </c>
      <c r="C47" s="3">
        <v>1</v>
      </c>
      <c r="D47" s="3">
        <v>1</v>
      </c>
    </row>
    <row r="48" spans="1:4" x14ac:dyDescent="0.2">
      <c r="A48" s="1" t="s">
        <v>52</v>
      </c>
      <c r="B48" s="3">
        <v>60000</v>
      </c>
      <c r="C48" s="3">
        <v>1</v>
      </c>
      <c r="D48" s="3">
        <f>B48*C48</f>
        <v>60000</v>
      </c>
    </row>
    <row r="49" spans="1:4" x14ac:dyDescent="0.2">
      <c r="A49" s="1" t="s">
        <v>53</v>
      </c>
      <c r="B49" s="3">
        <v>70000</v>
      </c>
      <c r="C49" s="3">
        <v>1</v>
      </c>
      <c r="D49" s="3">
        <f>B49*C49</f>
        <v>70000</v>
      </c>
    </row>
    <row r="50" spans="1:4" x14ac:dyDescent="0.2">
      <c r="A50" s="1" t="s">
        <v>54</v>
      </c>
      <c r="B50" s="3">
        <v>150000</v>
      </c>
      <c r="C50" s="3">
        <v>1</v>
      </c>
      <c r="D50" s="3">
        <f>B50*C50</f>
        <v>150000</v>
      </c>
    </row>
    <row r="51" spans="1:4" x14ac:dyDescent="0.2">
      <c r="A51" s="8" t="s">
        <v>120</v>
      </c>
      <c r="B51" s="9"/>
      <c r="C51" s="9"/>
      <c r="D51" s="10">
        <f>D3+D14+D25+D33+D40+D39+D41+D42+D44+D43</f>
        <v>829186</v>
      </c>
    </row>
    <row r="53" spans="1:4" x14ac:dyDescent="0.2">
      <c r="C53" s="12"/>
    </row>
    <row r="54" spans="1:4" x14ac:dyDescent="0.2">
      <c r="C54" s="13"/>
    </row>
    <row r="55" spans="1:4" x14ac:dyDescent="0.2">
      <c r="C55" s="13"/>
    </row>
    <row r="56" spans="1:4" x14ac:dyDescent="0.2">
      <c r="C56" s="13"/>
    </row>
    <row r="57" spans="1:4" x14ac:dyDescent="0.2">
      <c r="C57" s="13"/>
    </row>
    <row r="58" spans="1:4" x14ac:dyDescent="0.2">
      <c r="C58" s="13"/>
    </row>
    <row r="59" spans="1:4" x14ac:dyDescent="0.2">
      <c r="C59" s="13"/>
    </row>
    <row r="60" spans="1:4" x14ac:dyDescent="0.2">
      <c r="C60" s="13"/>
    </row>
    <row r="61" spans="1:4" x14ac:dyDescent="0.2">
      <c r="C61" s="12"/>
    </row>
    <row r="62" spans="1:4" x14ac:dyDescent="0.2">
      <c r="C62" s="13"/>
    </row>
    <row r="63" spans="1:4" x14ac:dyDescent="0.2">
      <c r="C63" s="13"/>
    </row>
    <row r="64" spans="1:4" x14ac:dyDescent="0.2">
      <c r="C64" s="13"/>
    </row>
    <row r="65" spans="3:3" x14ac:dyDescent="0.2">
      <c r="C65" s="13"/>
    </row>
    <row r="66" spans="3:3" x14ac:dyDescent="0.2">
      <c r="C66" s="12"/>
    </row>
    <row r="67" spans="3:3" x14ac:dyDescent="0.2">
      <c r="C67" s="13"/>
    </row>
    <row r="68" spans="3:3" x14ac:dyDescent="0.2">
      <c r="C68" s="13"/>
    </row>
  </sheetData>
  <sheetProtection formatCells="0" formatColumns="0" formatRows="0" insertColumns="0" insertRows="0" insertHyperlinks="0" deleteColumns="0" deleteRows="0" sort="0" autoFilter="0" pivotTables="0"/>
  <protectedRanges>
    <protectedRange password="C2BA" sqref="A14:A40" name="Косм ремонт_1_1"/>
  </protectedRange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E18"/>
  </sheetPr>
  <dimension ref="A1:Z71"/>
  <sheetViews>
    <sheetView zoomScaleNormal="100" workbookViewId="0">
      <selection activeCell="E18" sqref="E18"/>
    </sheetView>
  </sheetViews>
  <sheetFormatPr defaultRowHeight="12.75" x14ac:dyDescent="0.2"/>
  <cols>
    <col min="1" max="1" width="42.85546875" style="43" customWidth="1"/>
    <col min="2" max="2" width="14.5703125" style="43" customWidth="1"/>
    <col min="3" max="3" width="11.85546875" style="43" customWidth="1"/>
    <col min="4" max="4" width="21.5703125" style="43" customWidth="1"/>
    <col min="5" max="26" width="11.7109375" style="43" bestFit="1" customWidth="1"/>
    <col min="27" max="16384" width="9.140625" style="43"/>
  </cols>
  <sheetData>
    <row r="1" spans="1:5" ht="65.25" customHeight="1" x14ac:dyDescent="0.2">
      <c r="A1" s="75"/>
      <c r="B1" s="75"/>
      <c r="C1" s="75"/>
      <c r="D1" s="75"/>
      <c r="E1" s="75"/>
    </row>
    <row r="2" spans="1:5" ht="15" customHeight="1" x14ac:dyDescent="0.2">
      <c r="A2" s="84" t="s">
        <v>136</v>
      </c>
      <c r="B2" s="84"/>
      <c r="C2" s="84"/>
      <c r="D2" s="84"/>
      <c r="E2" s="84"/>
    </row>
    <row r="3" spans="1:5" ht="15" customHeight="1" x14ac:dyDescent="0.2">
      <c r="A3" s="81" t="s">
        <v>55</v>
      </c>
      <c r="B3" s="83"/>
      <c r="C3" s="81" t="s">
        <v>63</v>
      </c>
      <c r="D3" s="82"/>
      <c r="E3" s="83"/>
    </row>
    <row r="4" spans="1:5" ht="15" customHeight="1" x14ac:dyDescent="0.2">
      <c r="A4" s="44" t="s">
        <v>56</v>
      </c>
      <c r="B4" s="42">
        <v>250</v>
      </c>
      <c r="C4" s="77" t="s">
        <v>64</v>
      </c>
      <c r="D4" s="78"/>
      <c r="E4" s="42">
        <v>199</v>
      </c>
    </row>
    <row r="5" spans="1:5" ht="15" customHeight="1" x14ac:dyDescent="0.2">
      <c r="A5" s="44" t="s">
        <v>57</v>
      </c>
      <c r="B5" s="42">
        <v>300</v>
      </c>
      <c r="C5" s="77" t="s">
        <v>65</v>
      </c>
      <c r="D5" s="78"/>
      <c r="E5" s="42">
        <v>700</v>
      </c>
    </row>
    <row r="6" spans="1:5" ht="15" customHeight="1" x14ac:dyDescent="0.2">
      <c r="A6" s="44" t="s">
        <v>58</v>
      </c>
      <c r="B6" s="42">
        <v>700</v>
      </c>
      <c r="C6" s="77" t="s">
        <v>66</v>
      </c>
      <c r="D6" s="78"/>
      <c r="E6" s="42">
        <v>599</v>
      </c>
    </row>
    <row r="7" spans="1:5" ht="15" customHeight="1" x14ac:dyDescent="0.2">
      <c r="A7" s="44" t="s">
        <v>59</v>
      </c>
      <c r="B7" s="42">
        <v>900</v>
      </c>
      <c r="C7" s="77" t="s">
        <v>67</v>
      </c>
      <c r="D7" s="78"/>
      <c r="E7" s="42">
        <v>500</v>
      </c>
    </row>
    <row r="8" spans="1:5" ht="15" customHeight="1" x14ac:dyDescent="0.2">
      <c r="A8" s="44" t="s">
        <v>60</v>
      </c>
      <c r="B8" s="42">
        <v>800</v>
      </c>
      <c r="C8" s="81" t="s">
        <v>68</v>
      </c>
      <c r="D8" s="82"/>
      <c r="E8" s="83"/>
    </row>
    <row r="9" spans="1:5" ht="15" customHeight="1" x14ac:dyDescent="0.2">
      <c r="A9" s="44" t="s">
        <v>61</v>
      </c>
      <c r="B9" s="42">
        <v>150</v>
      </c>
      <c r="C9" s="77" t="s">
        <v>69</v>
      </c>
      <c r="D9" s="78"/>
      <c r="E9" s="42">
        <v>80</v>
      </c>
    </row>
    <row r="10" spans="1:5" ht="15.75" customHeight="1" x14ac:dyDescent="0.2">
      <c r="A10" s="44" t="s">
        <v>62</v>
      </c>
      <c r="B10" s="42">
        <v>190</v>
      </c>
      <c r="C10" s="79" t="s">
        <v>70</v>
      </c>
      <c r="D10" s="80"/>
      <c r="E10" s="42">
        <v>100</v>
      </c>
    </row>
    <row r="13" spans="1:5" x14ac:dyDescent="0.2">
      <c r="A13" s="76" t="s">
        <v>137</v>
      </c>
      <c r="B13" s="76"/>
    </row>
    <row r="14" spans="1:5" x14ac:dyDescent="0.2">
      <c r="A14" s="45" t="s">
        <v>12</v>
      </c>
      <c r="B14" s="41">
        <f>'Инвестиции на открытие'!D51</f>
        <v>829186</v>
      </c>
    </row>
    <row r="15" spans="1:5" ht="25.5" x14ac:dyDescent="0.2">
      <c r="A15" s="85" t="s">
        <v>85</v>
      </c>
      <c r="B15" s="41">
        <f>INT(SUM(I66:Z66)/18)</f>
        <v>108509</v>
      </c>
    </row>
    <row r="16" spans="1:5" ht="15" x14ac:dyDescent="0.25">
      <c r="A16" s="45" t="s">
        <v>121</v>
      </c>
      <c r="B16" s="38">
        <f>SUM(C67:Z67)/24</f>
        <v>0.23760417864796277</v>
      </c>
      <c r="D16" s="46"/>
    </row>
    <row r="17" spans="1:26" x14ac:dyDescent="0.2">
      <c r="A17" s="45" t="s">
        <v>126</v>
      </c>
      <c r="B17" s="41">
        <f>SUM(C31:Z31)</f>
        <v>9582302</v>
      </c>
    </row>
    <row r="18" spans="1:26" x14ac:dyDescent="0.2">
      <c r="A18" s="45" t="s">
        <v>86</v>
      </c>
      <c r="B18" s="41">
        <f>SUM(C66:Z66)</f>
        <v>2331506</v>
      </c>
    </row>
    <row r="19" spans="1:26" ht="13.5" customHeight="1" x14ac:dyDescent="0.2">
      <c r="A19" s="45" t="s">
        <v>87</v>
      </c>
      <c r="B19" s="38">
        <f>Z69/B14</f>
        <v>1.8118009710728353</v>
      </c>
    </row>
    <row r="20" spans="1:26" x14ac:dyDescent="0.2">
      <c r="A20" s="45" t="s">
        <v>124</v>
      </c>
      <c r="B20" s="37">
        <f>COUNTIF($C$69:$Z$69,"&lt;0")</f>
        <v>10</v>
      </c>
    </row>
    <row r="23" spans="1:26" s="29" customFormat="1" x14ac:dyDescent="0.2">
      <c r="A23" s="30" t="s">
        <v>71</v>
      </c>
      <c r="B23" s="31"/>
      <c r="C23" s="31">
        <v>1</v>
      </c>
      <c r="D23" s="31">
        <v>2</v>
      </c>
      <c r="E23" s="31">
        <v>3</v>
      </c>
      <c r="F23" s="31">
        <v>4</v>
      </c>
      <c r="G23" s="31">
        <v>5</v>
      </c>
      <c r="H23" s="31">
        <v>6</v>
      </c>
      <c r="I23" s="31">
        <v>7</v>
      </c>
      <c r="J23" s="31">
        <v>8</v>
      </c>
      <c r="K23" s="31">
        <v>9</v>
      </c>
      <c r="L23" s="31">
        <v>10</v>
      </c>
      <c r="M23" s="31">
        <v>11</v>
      </c>
      <c r="N23" s="31">
        <v>12</v>
      </c>
      <c r="O23" s="31">
        <v>13</v>
      </c>
      <c r="P23" s="31">
        <v>14</v>
      </c>
      <c r="Q23" s="31">
        <v>15</v>
      </c>
      <c r="R23" s="31">
        <v>16</v>
      </c>
      <c r="S23" s="31">
        <v>17</v>
      </c>
      <c r="T23" s="31">
        <v>18</v>
      </c>
      <c r="U23" s="31">
        <v>19</v>
      </c>
      <c r="V23" s="31">
        <v>20</v>
      </c>
      <c r="W23" s="31">
        <v>21</v>
      </c>
      <c r="X23" s="31">
        <v>22</v>
      </c>
      <c r="Y23" s="31">
        <v>23</v>
      </c>
      <c r="Z23" s="31">
        <v>24</v>
      </c>
    </row>
    <row r="24" spans="1:26" x14ac:dyDescent="0.2">
      <c r="A24" s="47" t="s">
        <v>72</v>
      </c>
      <c r="B24" s="48"/>
      <c r="C24" s="49">
        <f t="shared" ref="C24:I24" si="0">SUM(C28:C30)</f>
        <v>760</v>
      </c>
      <c r="D24" s="49">
        <f t="shared" si="0"/>
        <v>920</v>
      </c>
      <c r="E24" s="49">
        <f t="shared" si="0"/>
        <v>1020</v>
      </c>
      <c r="F24" s="49">
        <f t="shared" si="0"/>
        <v>1150</v>
      </c>
      <c r="G24" s="49">
        <f t="shared" si="0"/>
        <v>1305</v>
      </c>
      <c r="H24" s="49">
        <f t="shared" si="0"/>
        <v>1375</v>
      </c>
      <c r="I24" s="49">
        <f t="shared" si="0"/>
        <v>1445</v>
      </c>
      <c r="J24" s="49">
        <f t="shared" ref="J24:Z24" si="1">SUM(J28:J30)</f>
        <v>1413</v>
      </c>
      <c r="K24" s="49">
        <f t="shared" si="1"/>
        <v>1530</v>
      </c>
      <c r="L24" s="49">
        <f t="shared" si="1"/>
        <v>1415</v>
      </c>
      <c r="M24" s="49">
        <f t="shared" si="1"/>
        <v>1485</v>
      </c>
      <c r="N24" s="49">
        <f t="shared" si="1"/>
        <v>1390</v>
      </c>
      <c r="O24" s="49">
        <f t="shared" si="1"/>
        <v>1395</v>
      </c>
      <c r="P24" s="49">
        <f t="shared" si="1"/>
        <v>1550</v>
      </c>
      <c r="Q24" s="49">
        <f t="shared" si="1"/>
        <v>1533</v>
      </c>
      <c r="R24" s="49">
        <f t="shared" si="1"/>
        <v>1512</v>
      </c>
      <c r="S24" s="49">
        <f t="shared" si="1"/>
        <v>1455</v>
      </c>
      <c r="T24" s="49">
        <f t="shared" si="1"/>
        <v>1485</v>
      </c>
      <c r="U24" s="49">
        <f t="shared" si="1"/>
        <v>1318</v>
      </c>
      <c r="V24" s="49">
        <f t="shared" si="1"/>
        <v>1430</v>
      </c>
      <c r="W24" s="49">
        <f t="shared" si="1"/>
        <v>1517</v>
      </c>
      <c r="X24" s="49">
        <f t="shared" si="1"/>
        <v>1367</v>
      </c>
      <c r="Y24" s="49">
        <f t="shared" si="1"/>
        <v>1476</v>
      </c>
      <c r="Z24" s="49">
        <f t="shared" si="1"/>
        <v>1545</v>
      </c>
    </row>
    <row r="25" spans="1:26" x14ac:dyDescent="0.2">
      <c r="A25" s="47" t="s">
        <v>73</v>
      </c>
      <c r="B25" s="48"/>
      <c r="C25" s="50">
        <v>0.05</v>
      </c>
      <c r="D25" s="50">
        <v>0.25</v>
      </c>
      <c r="E25" s="50">
        <v>0.28999999999999998</v>
      </c>
      <c r="F25" s="50">
        <v>0.31</v>
      </c>
      <c r="G25" s="50">
        <v>0.36</v>
      </c>
      <c r="H25" s="50">
        <v>0.4</v>
      </c>
      <c r="I25" s="50">
        <v>0.46</v>
      </c>
      <c r="J25" s="50">
        <v>0.44</v>
      </c>
      <c r="K25" s="50">
        <v>0.52</v>
      </c>
      <c r="L25" s="50">
        <v>0.59</v>
      </c>
      <c r="M25" s="50">
        <v>0.62</v>
      </c>
      <c r="N25" s="50">
        <v>0.68</v>
      </c>
      <c r="O25" s="50">
        <v>0.67</v>
      </c>
      <c r="P25" s="50">
        <v>0.7</v>
      </c>
      <c r="Q25" s="50">
        <v>0.72</v>
      </c>
      <c r="R25" s="50">
        <v>0.7</v>
      </c>
      <c r="S25" s="50">
        <v>0.69</v>
      </c>
      <c r="T25" s="50">
        <v>0.71</v>
      </c>
      <c r="U25" s="50">
        <v>0.7</v>
      </c>
      <c r="V25" s="50">
        <v>0.72</v>
      </c>
      <c r="W25" s="50">
        <v>0.69</v>
      </c>
      <c r="X25" s="50">
        <v>0.7</v>
      </c>
      <c r="Y25" s="50">
        <v>0.73</v>
      </c>
      <c r="Z25" s="50">
        <v>0.71</v>
      </c>
    </row>
    <row r="26" spans="1:26" x14ac:dyDescent="0.2">
      <c r="A26" s="47" t="s">
        <v>74</v>
      </c>
      <c r="B26" s="48"/>
      <c r="C26" s="49">
        <f t="shared" ref="C26" si="2">C24*C25</f>
        <v>38</v>
      </c>
      <c r="D26" s="49">
        <f t="shared" ref="D26:F26" si="3">D24*D25</f>
        <v>230</v>
      </c>
      <c r="E26" s="49">
        <f t="shared" si="3"/>
        <v>295.79999999999995</v>
      </c>
      <c r="F26" s="49">
        <f t="shared" si="3"/>
        <v>356.5</v>
      </c>
      <c r="G26" s="49">
        <f t="shared" ref="G26:H26" si="4">G24*G25</f>
        <v>469.79999999999995</v>
      </c>
      <c r="H26" s="49">
        <f t="shared" si="4"/>
        <v>550</v>
      </c>
      <c r="I26" s="49">
        <f t="shared" ref="I26:Z26" si="5">I24*I25</f>
        <v>664.7</v>
      </c>
      <c r="J26" s="49">
        <f t="shared" si="5"/>
        <v>621.72</v>
      </c>
      <c r="K26" s="49">
        <f t="shared" si="5"/>
        <v>795.6</v>
      </c>
      <c r="L26" s="49">
        <f t="shared" si="5"/>
        <v>834.84999999999991</v>
      </c>
      <c r="M26" s="49">
        <f t="shared" si="5"/>
        <v>920.7</v>
      </c>
      <c r="N26" s="49">
        <f t="shared" si="5"/>
        <v>945.2</v>
      </c>
      <c r="O26" s="49">
        <f t="shared" si="5"/>
        <v>934.65000000000009</v>
      </c>
      <c r="P26" s="49">
        <f t="shared" si="5"/>
        <v>1085</v>
      </c>
      <c r="Q26" s="49">
        <f t="shared" si="5"/>
        <v>1103.76</v>
      </c>
      <c r="R26" s="49">
        <f t="shared" si="5"/>
        <v>1058.3999999999999</v>
      </c>
      <c r="S26" s="49">
        <f t="shared" si="5"/>
        <v>1003.9499999999999</v>
      </c>
      <c r="T26" s="49">
        <f t="shared" si="5"/>
        <v>1054.3499999999999</v>
      </c>
      <c r="U26" s="49">
        <f t="shared" si="5"/>
        <v>922.59999999999991</v>
      </c>
      <c r="V26" s="49">
        <f t="shared" si="5"/>
        <v>1029.5999999999999</v>
      </c>
      <c r="W26" s="49">
        <f t="shared" si="5"/>
        <v>1046.73</v>
      </c>
      <c r="X26" s="49">
        <f t="shared" si="5"/>
        <v>956.9</v>
      </c>
      <c r="Y26" s="49">
        <f t="shared" si="5"/>
        <v>1077.48</v>
      </c>
      <c r="Z26" s="49">
        <f t="shared" si="5"/>
        <v>1096.95</v>
      </c>
    </row>
    <row r="27" spans="1:26" x14ac:dyDescent="0.2">
      <c r="A27" s="47" t="s">
        <v>75</v>
      </c>
      <c r="B27" s="48"/>
      <c r="C27" s="51">
        <f t="shared" ref="C27" si="6">C24/30</f>
        <v>25.333333333333332</v>
      </c>
      <c r="D27" s="51">
        <f t="shared" ref="D27:F27" si="7">D24/30</f>
        <v>30.666666666666668</v>
      </c>
      <c r="E27" s="51">
        <f t="shared" si="7"/>
        <v>34</v>
      </c>
      <c r="F27" s="51">
        <f t="shared" si="7"/>
        <v>38.333333333333336</v>
      </c>
      <c r="G27" s="51">
        <f t="shared" ref="G27:H27" si="8">G24/30</f>
        <v>43.5</v>
      </c>
      <c r="H27" s="51">
        <f t="shared" si="8"/>
        <v>45.833333333333336</v>
      </c>
      <c r="I27" s="51">
        <f t="shared" ref="I27:Y27" si="9">I24/30</f>
        <v>48.166666666666664</v>
      </c>
      <c r="J27" s="51">
        <f t="shared" si="9"/>
        <v>47.1</v>
      </c>
      <c r="K27" s="51">
        <f t="shared" si="9"/>
        <v>51</v>
      </c>
      <c r="L27" s="51">
        <f t="shared" si="9"/>
        <v>47.166666666666664</v>
      </c>
      <c r="M27" s="51">
        <f t="shared" si="9"/>
        <v>49.5</v>
      </c>
      <c r="N27" s="51">
        <f t="shared" si="9"/>
        <v>46.333333333333336</v>
      </c>
      <c r="O27" s="51">
        <f t="shared" si="9"/>
        <v>46.5</v>
      </c>
      <c r="P27" s="51">
        <f t="shared" si="9"/>
        <v>51.666666666666664</v>
      </c>
      <c r="Q27" s="51">
        <f t="shared" si="9"/>
        <v>51.1</v>
      </c>
      <c r="R27" s="51">
        <f t="shared" si="9"/>
        <v>50.4</v>
      </c>
      <c r="S27" s="51">
        <f t="shared" si="9"/>
        <v>48.5</v>
      </c>
      <c r="T27" s="51">
        <f t="shared" si="9"/>
        <v>49.5</v>
      </c>
      <c r="U27" s="51">
        <f t="shared" si="9"/>
        <v>43.93333333333333</v>
      </c>
      <c r="V27" s="51">
        <f t="shared" si="9"/>
        <v>47.666666666666664</v>
      </c>
      <c r="W27" s="51">
        <f t="shared" si="9"/>
        <v>50.56666666666667</v>
      </c>
      <c r="X27" s="51">
        <f t="shared" si="9"/>
        <v>45.56666666666667</v>
      </c>
      <c r="Y27" s="51">
        <f t="shared" si="9"/>
        <v>49.2</v>
      </c>
      <c r="Z27" s="51">
        <f>Z24/30</f>
        <v>51.5</v>
      </c>
    </row>
    <row r="28" spans="1:26" x14ac:dyDescent="0.2">
      <c r="A28" s="47" t="s">
        <v>88</v>
      </c>
      <c r="B28" s="48"/>
      <c r="C28" s="49">
        <f>130*'Введите свои данные'!B7</f>
        <v>650</v>
      </c>
      <c r="D28" s="49">
        <f>150*'Введите свои данные'!B7</f>
        <v>750</v>
      </c>
      <c r="E28" s="49">
        <f>160*'Введите свои данные'!B7</f>
        <v>800</v>
      </c>
      <c r="F28" s="49">
        <f>180*'Введите свои данные'!$B$7</f>
        <v>900</v>
      </c>
      <c r="G28" s="49">
        <f>205*'Введите свои данные'!$B$7</f>
        <v>1025</v>
      </c>
      <c r="H28" s="49">
        <f>215*'Введите свои данные'!$B$7</f>
        <v>1075</v>
      </c>
      <c r="I28" s="49">
        <f>225*'Введите свои данные'!$B$7</f>
        <v>1125</v>
      </c>
      <c r="J28" s="49">
        <f>220*'Введите свои данные'!$B$7</f>
        <v>1100</v>
      </c>
      <c r="K28" s="49">
        <f>235*'Введите свои данные'!$B$7</f>
        <v>1175</v>
      </c>
      <c r="L28" s="49">
        <f>205*'Введите свои данные'!$B$7</f>
        <v>1025</v>
      </c>
      <c r="M28" s="49">
        <f>229*'Введите свои данные'!$B$7</f>
        <v>1145</v>
      </c>
      <c r="N28" s="49">
        <f>210*'Введите свои данные'!$B$7</f>
        <v>1050</v>
      </c>
      <c r="O28" s="49">
        <f>210*'Введите свои данные'!$B$7</f>
        <v>1050</v>
      </c>
      <c r="P28" s="49">
        <f>240*'Введите свои данные'!$B$7</f>
        <v>1200</v>
      </c>
      <c r="Q28" s="49">
        <f>237*'Введите свои данные'!$B$7</f>
        <v>1185</v>
      </c>
      <c r="R28" s="49">
        <f>238*'Введите свои данные'!$B$7</f>
        <v>1190</v>
      </c>
      <c r="S28" s="49">
        <f>221*'Введите свои данные'!$B$7</f>
        <v>1105</v>
      </c>
      <c r="T28" s="49">
        <f>227*'Введите свои данные'!$B$7</f>
        <v>1135</v>
      </c>
      <c r="U28" s="49">
        <f>207*'Введите свои данные'!$B$7</f>
        <v>1035</v>
      </c>
      <c r="V28" s="49">
        <f>222*'Введите свои данные'!$B$7</f>
        <v>1110</v>
      </c>
      <c r="W28" s="49">
        <f>245*'Введите свои данные'!$B$7</f>
        <v>1225</v>
      </c>
      <c r="X28" s="49">
        <f>204*'Введите свои данные'!$B$7</f>
        <v>1020</v>
      </c>
      <c r="Y28" s="49">
        <f>227*'Введите свои данные'!$B$7</f>
        <v>1135</v>
      </c>
      <c r="Z28" s="49">
        <f>245*'Введите свои данные'!$B$7</f>
        <v>1225</v>
      </c>
    </row>
    <row r="29" spans="1:26" ht="16.5" customHeight="1" x14ac:dyDescent="0.2">
      <c r="A29" s="47" t="s">
        <v>89</v>
      </c>
      <c r="B29" s="48"/>
      <c r="C29" s="49">
        <f>30*'Введите свои данные'!B8</f>
        <v>30</v>
      </c>
      <c r="D29" s="49">
        <f>50*'Введите свои данные'!B8</f>
        <v>50</v>
      </c>
      <c r="E29" s="49">
        <f>80*'Введите свои данные'!B8</f>
        <v>80</v>
      </c>
      <c r="F29" s="49">
        <f>100*'Введите свои данные'!$B$8</f>
        <v>100</v>
      </c>
      <c r="G29" s="49">
        <f>120*'Введите свои данные'!$B$8</f>
        <v>120</v>
      </c>
      <c r="H29" s="49">
        <f>130*'Введите свои данные'!$B$8</f>
        <v>130</v>
      </c>
      <c r="I29" s="49">
        <f>140*'Введите свои данные'!$B$8</f>
        <v>140</v>
      </c>
      <c r="J29" s="49">
        <f>138*'Введите свои данные'!$B$8</f>
        <v>138</v>
      </c>
      <c r="K29" s="49">
        <f>170*'Введите свои данные'!$B$8</f>
        <v>170</v>
      </c>
      <c r="L29" s="49">
        <f>190*'Введите свои данные'!$B$8</f>
        <v>190</v>
      </c>
      <c r="M29" s="49">
        <f>160*'Введите свои данные'!$B$8</f>
        <v>160</v>
      </c>
      <c r="N29" s="49">
        <f>150*'Введите свои данные'!$B$8</f>
        <v>150</v>
      </c>
      <c r="O29" s="49">
        <f>160*'Введите свои данные'!$B$8</f>
        <v>160</v>
      </c>
      <c r="P29" s="49">
        <f>165*'Введите свои данные'!$B$8</f>
        <v>165</v>
      </c>
      <c r="Q29" s="49">
        <f>158*'Введите свои данные'!$B$8</f>
        <v>158</v>
      </c>
      <c r="R29" s="49">
        <f>147*'Введите свои данные'!$B$8</f>
        <v>147</v>
      </c>
      <c r="S29" s="49">
        <f>180*'Введите свои данные'!$B$8</f>
        <v>180</v>
      </c>
      <c r="T29" s="49">
        <f>140*'Введите свои данные'!$B$8</f>
        <v>140</v>
      </c>
      <c r="U29" s="49">
        <f>126*'Введите свои данные'!$B$8</f>
        <v>126</v>
      </c>
      <c r="V29" s="49">
        <f>138*'Введите свои данные'!$B$8</f>
        <v>138</v>
      </c>
      <c r="W29" s="49">
        <f>150*'Введите свои данные'!$B$8</f>
        <v>150</v>
      </c>
      <c r="X29" s="49">
        <f>156*'Введите свои данные'!$B$8</f>
        <v>156</v>
      </c>
      <c r="Y29" s="49">
        <f>167*'Введите свои данные'!$B$8</f>
        <v>167</v>
      </c>
      <c r="Z29" s="49">
        <f>174*'Введите свои данные'!$B$8</f>
        <v>174</v>
      </c>
    </row>
    <row r="30" spans="1:26" x14ac:dyDescent="0.2">
      <c r="A30" s="47" t="s">
        <v>90</v>
      </c>
      <c r="B30" s="52"/>
      <c r="C30" s="53">
        <f>80*'Введите свои данные'!B9</f>
        <v>80</v>
      </c>
      <c r="D30" s="53">
        <f>120*'Введите свои данные'!B9</f>
        <v>120</v>
      </c>
      <c r="E30" s="53">
        <f>140*'Введите свои данные'!B9</f>
        <v>140</v>
      </c>
      <c r="F30" s="53">
        <f>150*'Введите свои данные'!$B$9</f>
        <v>150</v>
      </c>
      <c r="G30" s="53">
        <f>160*'Введите свои данные'!$B$9</f>
        <v>160</v>
      </c>
      <c r="H30" s="53">
        <f>170*'Введите свои данные'!$B$9</f>
        <v>170</v>
      </c>
      <c r="I30" s="53">
        <f>180*'Введите свои данные'!$B$9</f>
        <v>180</v>
      </c>
      <c r="J30" s="53">
        <f>175*'Введите свои данные'!$B$9</f>
        <v>175</v>
      </c>
      <c r="K30" s="53">
        <f>185*'Введите свои данные'!$B$9</f>
        <v>185</v>
      </c>
      <c r="L30" s="53">
        <f>200*'Введите свои данные'!$B$9</f>
        <v>200</v>
      </c>
      <c r="M30" s="53">
        <f>180*'Введите свои данные'!$B$9</f>
        <v>180</v>
      </c>
      <c r="N30" s="53">
        <f>190*'Введите свои данные'!$B$9</f>
        <v>190</v>
      </c>
      <c r="O30" s="53">
        <f>185*'Введите свои данные'!$B$9</f>
        <v>185</v>
      </c>
      <c r="P30" s="53">
        <f>185*'Введите свои данные'!$B$9</f>
        <v>185</v>
      </c>
      <c r="Q30" s="53">
        <f>190*'Введите свои данные'!$B$9</f>
        <v>190</v>
      </c>
      <c r="R30" s="53">
        <f>175*'Введите свои данные'!$B$9</f>
        <v>175</v>
      </c>
      <c r="S30" s="53">
        <f>170*'Введите свои данные'!$B$9</f>
        <v>170</v>
      </c>
      <c r="T30" s="53">
        <f>210*'Введите свои данные'!$B$9</f>
        <v>210</v>
      </c>
      <c r="U30" s="53">
        <f>157*'Введите свои данные'!$B$9</f>
        <v>157</v>
      </c>
      <c r="V30" s="53">
        <f>182*'Введите свои данные'!$B$9</f>
        <v>182</v>
      </c>
      <c r="W30" s="53">
        <f>142*'Введите свои данные'!$B$9</f>
        <v>142</v>
      </c>
      <c r="X30" s="53">
        <f>191*'Введите свои данные'!$B$9</f>
        <v>191</v>
      </c>
      <c r="Y30" s="53">
        <f>174*'Введите свои данные'!$B$9</f>
        <v>174</v>
      </c>
      <c r="Z30" s="53">
        <f>146*'Введите свои данные'!$B$9</f>
        <v>146</v>
      </c>
    </row>
    <row r="31" spans="1:26" s="29" customFormat="1" x14ac:dyDescent="0.2">
      <c r="A31" s="30" t="s">
        <v>91</v>
      </c>
      <c r="B31" s="32"/>
      <c r="C31" s="39">
        <f t="shared" ref="C31:I31" si="10">C32+C41+C46</f>
        <v>214536</v>
      </c>
      <c r="D31" s="39">
        <f t="shared" si="10"/>
        <v>258310</v>
      </c>
      <c r="E31" s="39">
        <f t="shared" si="10"/>
        <v>291456</v>
      </c>
      <c r="F31" s="39">
        <f t="shared" si="10"/>
        <v>332230</v>
      </c>
      <c r="G31" s="39">
        <f t="shared" si="10"/>
        <v>378294</v>
      </c>
      <c r="H31" s="39">
        <f t="shared" si="10"/>
        <v>400256</v>
      </c>
      <c r="I31" s="39">
        <f t="shared" si="10"/>
        <v>420068</v>
      </c>
      <c r="J31" s="39">
        <f t="shared" ref="J31:Z31" si="11">J32+J41+J46</f>
        <v>412280</v>
      </c>
      <c r="K31" s="39">
        <f t="shared" si="11"/>
        <v>451714</v>
      </c>
      <c r="L31" s="39">
        <f t="shared" si="11"/>
        <v>417938</v>
      </c>
      <c r="M31" s="39">
        <f t="shared" si="11"/>
        <v>436642</v>
      </c>
      <c r="N31" s="39">
        <f t="shared" si="11"/>
        <v>405000</v>
      </c>
      <c r="O31" s="39">
        <f t="shared" si="11"/>
        <v>409592</v>
      </c>
      <c r="P31" s="39">
        <f t="shared" si="11"/>
        <v>457348</v>
      </c>
      <c r="Q31" s="39">
        <f t="shared" si="11"/>
        <v>447114</v>
      </c>
      <c r="R31" s="39">
        <f t="shared" si="11"/>
        <v>440924</v>
      </c>
      <c r="S31" s="39">
        <f t="shared" si="11"/>
        <v>434896</v>
      </c>
      <c r="T31" s="39">
        <f t="shared" si="11"/>
        <v>427208</v>
      </c>
      <c r="U31" s="39">
        <f t="shared" si="11"/>
        <v>384430</v>
      </c>
      <c r="V31" s="39">
        <f t="shared" si="11"/>
        <v>414780</v>
      </c>
      <c r="W31" s="39">
        <f t="shared" si="11"/>
        <v>450950</v>
      </c>
      <c r="X31" s="39">
        <f t="shared" si="11"/>
        <v>397916</v>
      </c>
      <c r="Y31" s="39">
        <f t="shared" si="11"/>
        <v>436088</v>
      </c>
      <c r="Z31" s="39">
        <f t="shared" si="11"/>
        <v>462332</v>
      </c>
    </row>
    <row r="32" spans="1:26" x14ac:dyDescent="0.2">
      <c r="A32" s="33" t="s">
        <v>107</v>
      </c>
      <c r="B32" s="34"/>
      <c r="C32" s="40">
        <f t="shared" ref="C32:I32" si="12">SUM(C33:C40)</f>
        <v>191260</v>
      </c>
      <c r="D32" s="40">
        <f t="shared" si="12"/>
        <v>220850</v>
      </c>
      <c r="E32" s="40">
        <f t="shared" si="12"/>
        <v>236720</v>
      </c>
      <c r="F32" s="40">
        <f t="shared" si="12"/>
        <v>266310</v>
      </c>
      <c r="G32" s="40">
        <f t="shared" si="12"/>
        <v>301190</v>
      </c>
      <c r="H32" s="40">
        <f t="shared" si="12"/>
        <v>317060</v>
      </c>
      <c r="I32" s="40">
        <f t="shared" si="12"/>
        <v>330780</v>
      </c>
      <c r="J32" s="40">
        <f t="shared" ref="J32:Z32" si="13">SUM(J33:J40)</f>
        <v>325490</v>
      </c>
      <c r="K32" s="40">
        <f t="shared" si="13"/>
        <v>346650</v>
      </c>
      <c r="L32" s="40">
        <f t="shared" si="13"/>
        <v>301190</v>
      </c>
      <c r="M32" s="40">
        <f t="shared" si="13"/>
        <v>337170</v>
      </c>
      <c r="N32" s="40">
        <f t="shared" si="13"/>
        <v>309620</v>
      </c>
      <c r="O32" s="40">
        <f t="shared" si="13"/>
        <v>309620</v>
      </c>
      <c r="P32" s="40">
        <f t="shared" si="13"/>
        <v>355080</v>
      </c>
      <c r="Q32" s="40">
        <f t="shared" si="13"/>
        <v>348640</v>
      </c>
      <c r="R32" s="40">
        <f t="shared" si="13"/>
        <v>349840</v>
      </c>
      <c r="S32" s="40">
        <f t="shared" si="13"/>
        <v>326240</v>
      </c>
      <c r="T32" s="40">
        <f t="shared" si="13"/>
        <v>334920</v>
      </c>
      <c r="U32" s="40">
        <f t="shared" si="13"/>
        <v>305330</v>
      </c>
      <c r="V32" s="40">
        <f t="shared" si="13"/>
        <v>327290</v>
      </c>
      <c r="W32" s="40">
        <f t="shared" si="13"/>
        <v>360370</v>
      </c>
      <c r="X32" s="40">
        <f t="shared" si="13"/>
        <v>300140</v>
      </c>
      <c r="Y32" s="40">
        <f t="shared" si="13"/>
        <v>334920</v>
      </c>
      <c r="Z32" s="40">
        <f t="shared" si="13"/>
        <v>360370</v>
      </c>
    </row>
    <row r="33" spans="1:26" x14ac:dyDescent="0.2">
      <c r="A33" s="47" t="s">
        <v>92</v>
      </c>
      <c r="B33" s="55"/>
      <c r="C33" s="56">
        <f>INT(C28*0.6)*B4</f>
        <v>97500</v>
      </c>
      <c r="D33" s="56">
        <f>INT(D28*0.6)*B4</f>
        <v>112500</v>
      </c>
      <c r="E33" s="56">
        <f>INT(E28*0.6)*B4</f>
        <v>120000</v>
      </c>
      <c r="F33" s="56">
        <f>INT(F28*0.6)*$B$4</f>
        <v>135000</v>
      </c>
      <c r="G33" s="56">
        <f>INT(G28*0.6)*$B$4</f>
        <v>153750</v>
      </c>
      <c r="H33" s="56">
        <f>INT(H28*0.6)*$B$4</f>
        <v>161250</v>
      </c>
      <c r="I33" s="56">
        <f>INT(I28*0.6)*$B$4</f>
        <v>168750</v>
      </c>
      <c r="J33" s="56">
        <f t="shared" ref="J33:Z33" si="14">INT(J28*0.6)*$B$4</f>
        <v>165000</v>
      </c>
      <c r="K33" s="56">
        <f t="shared" si="14"/>
        <v>176250</v>
      </c>
      <c r="L33" s="56">
        <f t="shared" si="14"/>
        <v>153750</v>
      </c>
      <c r="M33" s="56">
        <f t="shared" si="14"/>
        <v>171750</v>
      </c>
      <c r="N33" s="56">
        <f t="shared" si="14"/>
        <v>157500</v>
      </c>
      <c r="O33" s="56">
        <f t="shared" si="14"/>
        <v>157500</v>
      </c>
      <c r="P33" s="56">
        <f t="shared" si="14"/>
        <v>180000</v>
      </c>
      <c r="Q33" s="56">
        <f t="shared" si="14"/>
        <v>177750</v>
      </c>
      <c r="R33" s="56">
        <f t="shared" si="14"/>
        <v>178500</v>
      </c>
      <c r="S33" s="56">
        <f t="shared" si="14"/>
        <v>165750</v>
      </c>
      <c r="T33" s="56">
        <f t="shared" si="14"/>
        <v>170250</v>
      </c>
      <c r="U33" s="56">
        <f t="shared" si="14"/>
        <v>155250</v>
      </c>
      <c r="V33" s="56">
        <f t="shared" si="14"/>
        <v>166500</v>
      </c>
      <c r="W33" s="56">
        <f t="shared" si="14"/>
        <v>183750</v>
      </c>
      <c r="X33" s="56">
        <f t="shared" si="14"/>
        <v>153000</v>
      </c>
      <c r="Y33" s="56">
        <f t="shared" si="14"/>
        <v>170250</v>
      </c>
      <c r="Z33" s="56">
        <f t="shared" si="14"/>
        <v>183750</v>
      </c>
    </row>
    <row r="34" spans="1:26" x14ac:dyDescent="0.2">
      <c r="A34" s="47" t="s">
        <v>93</v>
      </c>
      <c r="B34" s="55"/>
      <c r="C34" s="56">
        <f>INT(C28*0.16)*$B$5</f>
        <v>31200</v>
      </c>
      <c r="D34" s="56">
        <f>INT(D28*0.16)*$B$5</f>
        <v>36000</v>
      </c>
      <c r="E34" s="56">
        <f>INT(E28*0.16)*$B$5</f>
        <v>38400</v>
      </c>
      <c r="F34" s="56">
        <f t="shared" ref="F34:Z34" si="15">INT(F28*0.16)*$B$5</f>
        <v>43200</v>
      </c>
      <c r="G34" s="56">
        <f t="shared" si="15"/>
        <v>49200</v>
      </c>
      <c r="H34" s="56">
        <f t="shared" si="15"/>
        <v>51600</v>
      </c>
      <c r="I34" s="56">
        <f t="shared" si="15"/>
        <v>54000</v>
      </c>
      <c r="J34" s="56">
        <f t="shared" si="15"/>
        <v>52800</v>
      </c>
      <c r="K34" s="56">
        <f t="shared" si="15"/>
        <v>56400</v>
      </c>
      <c r="L34" s="56">
        <f t="shared" si="15"/>
        <v>49200</v>
      </c>
      <c r="M34" s="56">
        <f t="shared" si="15"/>
        <v>54900</v>
      </c>
      <c r="N34" s="56">
        <f t="shared" si="15"/>
        <v>50400</v>
      </c>
      <c r="O34" s="56">
        <f t="shared" si="15"/>
        <v>50400</v>
      </c>
      <c r="P34" s="56">
        <f t="shared" si="15"/>
        <v>57600</v>
      </c>
      <c r="Q34" s="56">
        <f t="shared" si="15"/>
        <v>56700</v>
      </c>
      <c r="R34" s="56">
        <f t="shared" si="15"/>
        <v>57000</v>
      </c>
      <c r="S34" s="56">
        <f t="shared" si="15"/>
        <v>52800</v>
      </c>
      <c r="T34" s="56">
        <f t="shared" si="15"/>
        <v>54300</v>
      </c>
      <c r="U34" s="56">
        <f t="shared" si="15"/>
        <v>49500</v>
      </c>
      <c r="V34" s="56">
        <f t="shared" si="15"/>
        <v>53100</v>
      </c>
      <c r="W34" s="56">
        <f t="shared" si="15"/>
        <v>58800</v>
      </c>
      <c r="X34" s="56">
        <f t="shared" si="15"/>
        <v>48900</v>
      </c>
      <c r="Y34" s="56">
        <f t="shared" si="15"/>
        <v>54300</v>
      </c>
      <c r="Z34" s="56">
        <f t="shared" si="15"/>
        <v>58800</v>
      </c>
    </row>
    <row r="35" spans="1:26" ht="25.5" x14ac:dyDescent="0.2">
      <c r="A35" s="47" t="s">
        <v>94</v>
      </c>
      <c r="B35" s="55"/>
      <c r="C35" s="56">
        <f>INT(C28*0.03)*$B$6</f>
        <v>13300</v>
      </c>
      <c r="D35" s="56">
        <f>INT(D28*0.03)*$B$6</f>
        <v>15400</v>
      </c>
      <c r="E35" s="56">
        <f>INT(E28*0.03)*$B$6</f>
        <v>16800</v>
      </c>
      <c r="F35" s="56">
        <f t="shared" ref="F35:Z35" si="16">INT(F28*0.03)*$B$6</f>
        <v>18900</v>
      </c>
      <c r="G35" s="56">
        <f t="shared" si="16"/>
        <v>21000</v>
      </c>
      <c r="H35" s="56">
        <f t="shared" si="16"/>
        <v>22400</v>
      </c>
      <c r="I35" s="56">
        <f t="shared" si="16"/>
        <v>23100</v>
      </c>
      <c r="J35" s="56">
        <f t="shared" si="16"/>
        <v>23100</v>
      </c>
      <c r="K35" s="56">
        <f t="shared" si="16"/>
        <v>24500</v>
      </c>
      <c r="L35" s="56">
        <f t="shared" si="16"/>
        <v>21000</v>
      </c>
      <c r="M35" s="56">
        <f t="shared" si="16"/>
        <v>23800</v>
      </c>
      <c r="N35" s="56">
        <f t="shared" si="16"/>
        <v>21700</v>
      </c>
      <c r="O35" s="56">
        <f t="shared" si="16"/>
        <v>21700</v>
      </c>
      <c r="P35" s="56">
        <f t="shared" si="16"/>
        <v>25200</v>
      </c>
      <c r="Q35" s="56">
        <f t="shared" si="16"/>
        <v>24500</v>
      </c>
      <c r="R35" s="56">
        <f t="shared" si="16"/>
        <v>24500</v>
      </c>
      <c r="S35" s="56">
        <f t="shared" si="16"/>
        <v>23100</v>
      </c>
      <c r="T35" s="56">
        <f t="shared" si="16"/>
        <v>23800</v>
      </c>
      <c r="U35" s="56">
        <f t="shared" si="16"/>
        <v>21700</v>
      </c>
      <c r="V35" s="56">
        <f t="shared" si="16"/>
        <v>23100</v>
      </c>
      <c r="W35" s="56">
        <f t="shared" si="16"/>
        <v>25200</v>
      </c>
      <c r="X35" s="56">
        <f t="shared" si="16"/>
        <v>21000</v>
      </c>
      <c r="Y35" s="56">
        <f t="shared" si="16"/>
        <v>23800</v>
      </c>
      <c r="Z35" s="56">
        <f t="shared" si="16"/>
        <v>25200</v>
      </c>
    </row>
    <row r="36" spans="1:26" ht="25.5" x14ac:dyDescent="0.2">
      <c r="A36" s="47" t="s">
        <v>95</v>
      </c>
      <c r="B36" s="55"/>
      <c r="C36" s="56">
        <f>INT(C28*0.03)*$B$7</f>
        <v>17100</v>
      </c>
      <c r="D36" s="56">
        <f>INT(D28*0.03)*$B$7</f>
        <v>19800</v>
      </c>
      <c r="E36" s="56">
        <f>INT(E28*0.03)*$B$7</f>
        <v>21600</v>
      </c>
      <c r="F36" s="56">
        <f t="shared" ref="F36:Z36" si="17">INT(F28*0.03)*$B$7</f>
        <v>24300</v>
      </c>
      <c r="G36" s="56">
        <f t="shared" si="17"/>
        <v>27000</v>
      </c>
      <c r="H36" s="56">
        <f t="shared" si="17"/>
        <v>28800</v>
      </c>
      <c r="I36" s="56">
        <f t="shared" si="17"/>
        <v>29700</v>
      </c>
      <c r="J36" s="56">
        <f t="shared" si="17"/>
        <v>29700</v>
      </c>
      <c r="K36" s="56">
        <f t="shared" si="17"/>
        <v>31500</v>
      </c>
      <c r="L36" s="56">
        <f t="shared" si="17"/>
        <v>27000</v>
      </c>
      <c r="M36" s="56">
        <f t="shared" si="17"/>
        <v>30600</v>
      </c>
      <c r="N36" s="56">
        <f t="shared" si="17"/>
        <v>27900</v>
      </c>
      <c r="O36" s="56">
        <f t="shared" si="17"/>
        <v>27900</v>
      </c>
      <c r="P36" s="56">
        <f t="shared" si="17"/>
        <v>32400</v>
      </c>
      <c r="Q36" s="56">
        <f t="shared" si="17"/>
        <v>31500</v>
      </c>
      <c r="R36" s="56">
        <f t="shared" si="17"/>
        <v>31500</v>
      </c>
      <c r="S36" s="56">
        <f t="shared" si="17"/>
        <v>29700</v>
      </c>
      <c r="T36" s="56">
        <f t="shared" si="17"/>
        <v>30600</v>
      </c>
      <c r="U36" s="56">
        <f t="shared" si="17"/>
        <v>27900</v>
      </c>
      <c r="V36" s="56">
        <f t="shared" si="17"/>
        <v>29700</v>
      </c>
      <c r="W36" s="56">
        <f t="shared" si="17"/>
        <v>32400</v>
      </c>
      <c r="X36" s="56">
        <f t="shared" si="17"/>
        <v>27000</v>
      </c>
      <c r="Y36" s="56">
        <f t="shared" si="17"/>
        <v>30600</v>
      </c>
      <c r="Z36" s="56">
        <f t="shared" si="17"/>
        <v>32400</v>
      </c>
    </row>
    <row r="37" spans="1:26" x14ac:dyDescent="0.2">
      <c r="A37" s="47" t="s">
        <v>96</v>
      </c>
      <c r="B37" s="55"/>
      <c r="C37" s="56">
        <f>INT(C28*0.02)*B8</f>
        <v>10400</v>
      </c>
      <c r="D37" s="56">
        <f>INT(D28*0.02)*B8</f>
        <v>12000</v>
      </c>
      <c r="E37" s="56">
        <f>INT(E28*0.02)*B8</f>
        <v>12800</v>
      </c>
      <c r="F37" s="56">
        <f>INT(F28*0.02)*$B$8</f>
        <v>14400</v>
      </c>
      <c r="G37" s="56">
        <f>INT(G28*0.02)*$B$8</f>
        <v>16000</v>
      </c>
      <c r="H37" s="56">
        <f>INT(H28*0.02)*$B$8</f>
        <v>16800</v>
      </c>
      <c r="I37" s="56">
        <f>INT(I28*0.02)*$B$8</f>
        <v>17600</v>
      </c>
      <c r="J37" s="56">
        <f t="shared" ref="J37:Z37" si="18">INT(J28*0.02)*$B$8</f>
        <v>17600</v>
      </c>
      <c r="K37" s="56">
        <f t="shared" si="18"/>
        <v>18400</v>
      </c>
      <c r="L37" s="56">
        <f t="shared" si="18"/>
        <v>16000</v>
      </c>
      <c r="M37" s="56">
        <f t="shared" si="18"/>
        <v>17600</v>
      </c>
      <c r="N37" s="56">
        <f t="shared" si="18"/>
        <v>16800</v>
      </c>
      <c r="O37" s="56">
        <f t="shared" si="18"/>
        <v>16800</v>
      </c>
      <c r="P37" s="56">
        <f t="shared" si="18"/>
        <v>19200</v>
      </c>
      <c r="Q37" s="56">
        <f t="shared" si="18"/>
        <v>18400</v>
      </c>
      <c r="R37" s="56">
        <f t="shared" si="18"/>
        <v>18400</v>
      </c>
      <c r="S37" s="56">
        <f t="shared" si="18"/>
        <v>17600</v>
      </c>
      <c r="T37" s="56">
        <f t="shared" si="18"/>
        <v>17600</v>
      </c>
      <c r="U37" s="56">
        <f t="shared" si="18"/>
        <v>16000</v>
      </c>
      <c r="V37" s="56">
        <f t="shared" si="18"/>
        <v>17600</v>
      </c>
      <c r="W37" s="56">
        <f t="shared" si="18"/>
        <v>19200</v>
      </c>
      <c r="X37" s="56">
        <f t="shared" si="18"/>
        <v>16000</v>
      </c>
      <c r="Y37" s="56">
        <f t="shared" si="18"/>
        <v>17600</v>
      </c>
      <c r="Z37" s="56">
        <f t="shared" si="18"/>
        <v>19200</v>
      </c>
    </row>
    <row r="38" spans="1:26" x14ac:dyDescent="0.2">
      <c r="A38" s="47" t="s">
        <v>97</v>
      </c>
      <c r="B38" s="55"/>
      <c r="C38" s="56">
        <f>INT(C28*0.07)*B9</f>
        <v>6750</v>
      </c>
      <c r="D38" s="56">
        <f>INT(D28*0.07)*B9</f>
        <v>7800</v>
      </c>
      <c r="E38" s="56">
        <f>INT(E28*0.07)*B9</f>
        <v>8400</v>
      </c>
      <c r="F38" s="56">
        <f>INT(F28*0.07)*$B$9</f>
        <v>9450</v>
      </c>
      <c r="G38" s="56">
        <f>INT(G28*0.07)*$B$9</f>
        <v>10650</v>
      </c>
      <c r="H38" s="56">
        <f>INT(H28*0.07)*$B$9</f>
        <v>11250</v>
      </c>
      <c r="I38" s="56">
        <f>INT(I28*0.07)*$B$9</f>
        <v>11700</v>
      </c>
      <c r="J38" s="56">
        <f t="shared" ref="J38:Z38" si="19">INT(J28*0.07)*$B$9</f>
        <v>11550</v>
      </c>
      <c r="K38" s="56">
        <f t="shared" si="19"/>
        <v>12300</v>
      </c>
      <c r="L38" s="56">
        <f t="shared" si="19"/>
        <v>10650</v>
      </c>
      <c r="M38" s="56">
        <f t="shared" si="19"/>
        <v>12000</v>
      </c>
      <c r="N38" s="56">
        <f t="shared" si="19"/>
        <v>10950</v>
      </c>
      <c r="O38" s="56">
        <f t="shared" si="19"/>
        <v>10950</v>
      </c>
      <c r="P38" s="56">
        <f t="shared" si="19"/>
        <v>12600</v>
      </c>
      <c r="Q38" s="56">
        <f t="shared" si="19"/>
        <v>12300</v>
      </c>
      <c r="R38" s="56">
        <f t="shared" si="19"/>
        <v>12450</v>
      </c>
      <c r="S38" s="56">
        <f t="shared" si="19"/>
        <v>11550</v>
      </c>
      <c r="T38" s="56">
        <f t="shared" si="19"/>
        <v>11850</v>
      </c>
      <c r="U38" s="56">
        <f t="shared" si="19"/>
        <v>10800</v>
      </c>
      <c r="V38" s="56">
        <f t="shared" si="19"/>
        <v>11550</v>
      </c>
      <c r="W38" s="56">
        <f t="shared" si="19"/>
        <v>12750</v>
      </c>
      <c r="X38" s="56">
        <f t="shared" si="19"/>
        <v>10650</v>
      </c>
      <c r="Y38" s="56">
        <f t="shared" si="19"/>
        <v>11850</v>
      </c>
      <c r="Z38" s="56">
        <f t="shared" si="19"/>
        <v>12750</v>
      </c>
    </row>
    <row r="39" spans="1:26" x14ac:dyDescent="0.2">
      <c r="A39" s="47" t="s">
        <v>98</v>
      </c>
      <c r="B39" s="55"/>
      <c r="C39" s="56">
        <f>INT(C28*0.06)*B10</f>
        <v>7410</v>
      </c>
      <c r="D39" s="56">
        <f>INT(D28*0.06)*B10</f>
        <v>8550</v>
      </c>
      <c r="E39" s="56">
        <f>INT(E28*0.06)*B10</f>
        <v>9120</v>
      </c>
      <c r="F39" s="56">
        <f>INT(F28*0.06)*$B$10</f>
        <v>10260</v>
      </c>
      <c r="G39" s="56">
        <f>INT(G28*0.06)*$B$10</f>
        <v>11590</v>
      </c>
      <c r="H39" s="56">
        <f>INT(H28*0.06)*$B$10</f>
        <v>12160</v>
      </c>
      <c r="I39" s="56">
        <f>INT(I28*0.06)*$B$10</f>
        <v>12730</v>
      </c>
      <c r="J39" s="56">
        <f t="shared" ref="J39:Z39" si="20">INT(J28*0.06)*$B$10</f>
        <v>12540</v>
      </c>
      <c r="K39" s="56">
        <f t="shared" si="20"/>
        <v>13300</v>
      </c>
      <c r="L39" s="56">
        <f t="shared" si="20"/>
        <v>11590</v>
      </c>
      <c r="M39" s="56">
        <f t="shared" si="20"/>
        <v>12920</v>
      </c>
      <c r="N39" s="56">
        <f t="shared" si="20"/>
        <v>11970</v>
      </c>
      <c r="O39" s="56">
        <f t="shared" si="20"/>
        <v>11970</v>
      </c>
      <c r="P39" s="56">
        <f t="shared" si="20"/>
        <v>13680</v>
      </c>
      <c r="Q39" s="56">
        <f t="shared" si="20"/>
        <v>13490</v>
      </c>
      <c r="R39" s="56">
        <f t="shared" si="20"/>
        <v>13490</v>
      </c>
      <c r="S39" s="56">
        <f t="shared" si="20"/>
        <v>12540</v>
      </c>
      <c r="T39" s="56">
        <f t="shared" si="20"/>
        <v>12920</v>
      </c>
      <c r="U39" s="56">
        <f t="shared" si="20"/>
        <v>11780</v>
      </c>
      <c r="V39" s="56">
        <f t="shared" si="20"/>
        <v>12540</v>
      </c>
      <c r="W39" s="56">
        <f t="shared" si="20"/>
        <v>13870</v>
      </c>
      <c r="X39" s="56">
        <f t="shared" si="20"/>
        <v>11590</v>
      </c>
      <c r="Y39" s="56">
        <f t="shared" si="20"/>
        <v>12920</v>
      </c>
      <c r="Z39" s="56">
        <f t="shared" si="20"/>
        <v>13870</v>
      </c>
    </row>
    <row r="40" spans="1:26" x14ac:dyDescent="0.2">
      <c r="A40" s="47" t="s">
        <v>99</v>
      </c>
      <c r="B40" s="55"/>
      <c r="C40" s="56">
        <f t="shared" ref="C40:I40" si="21">INT(C28*0.03)*400</f>
        <v>7600</v>
      </c>
      <c r="D40" s="56">
        <f t="shared" si="21"/>
        <v>8800</v>
      </c>
      <c r="E40" s="56">
        <f t="shared" si="21"/>
        <v>9600</v>
      </c>
      <c r="F40" s="56">
        <f t="shared" si="21"/>
        <v>10800</v>
      </c>
      <c r="G40" s="56">
        <f t="shared" si="21"/>
        <v>12000</v>
      </c>
      <c r="H40" s="56">
        <f t="shared" si="21"/>
        <v>12800</v>
      </c>
      <c r="I40" s="56">
        <f t="shared" si="21"/>
        <v>13200</v>
      </c>
      <c r="J40" s="56">
        <f t="shared" ref="J40:Z40" si="22">INT(J28*0.03)*400</f>
        <v>13200</v>
      </c>
      <c r="K40" s="56">
        <f t="shared" si="22"/>
        <v>14000</v>
      </c>
      <c r="L40" s="56">
        <f t="shared" si="22"/>
        <v>12000</v>
      </c>
      <c r="M40" s="56">
        <f t="shared" si="22"/>
        <v>13600</v>
      </c>
      <c r="N40" s="56">
        <f t="shared" si="22"/>
        <v>12400</v>
      </c>
      <c r="O40" s="56">
        <f t="shared" si="22"/>
        <v>12400</v>
      </c>
      <c r="P40" s="56">
        <f t="shared" si="22"/>
        <v>14400</v>
      </c>
      <c r="Q40" s="56">
        <f t="shared" si="22"/>
        <v>14000</v>
      </c>
      <c r="R40" s="56">
        <f t="shared" si="22"/>
        <v>14000</v>
      </c>
      <c r="S40" s="56">
        <f t="shared" si="22"/>
        <v>13200</v>
      </c>
      <c r="T40" s="56">
        <f t="shared" si="22"/>
        <v>13600</v>
      </c>
      <c r="U40" s="56">
        <f t="shared" si="22"/>
        <v>12400</v>
      </c>
      <c r="V40" s="56">
        <f t="shared" si="22"/>
        <v>13200</v>
      </c>
      <c r="W40" s="56">
        <f t="shared" si="22"/>
        <v>14400</v>
      </c>
      <c r="X40" s="56">
        <f t="shared" si="22"/>
        <v>12000</v>
      </c>
      <c r="Y40" s="56">
        <f t="shared" si="22"/>
        <v>13600</v>
      </c>
      <c r="Z40" s="56">
        <f t="shared" si="22"/>
        <v>14400</v>
      </c>
    </row>
    <row r="41" spans="1:26" x14ac:dyDescent="0.2">
      <c r="A41" s="33" t="s">
        <v>108</v>
      </c>
      <c r="B41" s="34"/>
      <c r="C41" s="40">
        <f t="shared" ref="C41:I41" si="23">SUM(C42:C45)</f>
        <v>15276</v>
      </c>
      <c r="D41" s="40">
        <f t="shared" si="23"/>
        <v>25460</v>
      </c>
      <c r="E41" s="40">
        <f t="shared" si="23"/>
        <v>40736</v>
      </c>
      <c r="F41" s="40">
        <f t="shared" si="23"/>
        <v>50920</v>
      </c>
      <c r="G41" s="40">
        <f t="shared" si="23"/>
        <v>61104</v>
      </c>
      <c r="H41" s="40">
        <f t="shared" si="23"/>
        <v>66196</v>
      </c>
      <c r="I41" s="40">
        <f t="shared" si="23"/>
        <v>71288</v>
      </c>
      <c r="J41" s="40">
        <f t="shared" ref="J41:Z41" si="24">SUM(J42:J45)</f>
        <v>69290</v>
      </c>
      <c r="K41" s="40">
        <f t="shared" si="24"/>
        <v>86564</v>
      </c>
      <c r="L41" s="40">
        <f t="shared" si="24"/>
        <v>96748</v>
      </c>
      <c r="M41" s="40">
        <f t="shared" si="24"/>
        <v>81472</v>
      </c>
      <c r="N41" s="40">
        <f t="shared" si="24"/>
        <v>76380</v>
      </c>
      <c r="O41" s="40">
        <f t="shared" si="24"/>
        <v>81472</v>
      </c>
      <c r="P41" s="40">
        <f t="shared" si="24"/>
        <v>83768</v>
      </c>
      <c r="Q41" s="40">
        <f t="shared" si="24"/>
        <v>79474</v>
      </c>
      <c r="R41" s="40">
        <f t="shared" si="24"/>
        <v>73584</v>
      </c>
      <c r="S41" s="40">
        <f t="shared" si="24"/>
        <v>91656</v>
      </c>
      <c r="T41" s="40">
        <f t="shared" si="24"/>
        <v>71288</v>
      </c>
      <c r="U41" s="40">
        <f t="shared" si="24"/>
        <v>63400</v>
      </c>
      <c r="V41" s="40">
        <f t="shared" si="24"/>
        <v>69290</v>
      </c>
      <c r="W41" s="40">
        <f t="shared" si="24"/>
        <v>76380</v>
      </c>
      <c r="X41" s="40">
        <f t="shared" si="24"/>
        <v>78676</v>
      </c>
      <c r="Y41" s="40">
        <f t="shared" si="24"/>
        <v>83768</v>
      </c>
      <c r="Z41" s="40">
        <f t="shared" si="24"/>
        <v>87362</v>
      </c>
    </row>
    <row r="42" spans="1:26" x14ac:dyDescent="0.2">
      <c r="A42" s="47" t="s">
        <v>100</v>
      </c>
      <c r="B42" s="57"/>
      <c r="C42" s="56">
        <f>INT(C29*0.4)*$E$4</f>
        <v>2388</v>
      </c>
      <c r="D42" s="56">
        <f>INT(D29*0.4)*$E$4</f>
        <v>3980</v>
      </c>
      <c r="E42" s="56">
        <f>INT(E29*0.4)*$E$4</f>
        <v>6368</v>
      </c>
      <c r="F42" s="56">
        <f t="shared" ref="F42:Z42" si="25">INT(F29*0.4)*$E$4</f>
        <v>7960</v>
      </c>
      <c r="G42" s="56">
        <f t="shared" si="25"/>
        <v>9552</v>
      </c>
      <c r="H42" s="56">
        <f t="shared" si="25"/>
        <v>10348</v>
      </c>
      <c r="I42" s="56">
        <f t="shared" si="25"/>
        <v>11144</v>
      </c>
      <c r="J42" s="56">
        <f t="shared" si="25"/>
        <v>10945</v>
      </c>
      <c r="K42" s="56">
        <f t="shared" si="25"/>
        <v>13532</v>
      </c>
      <c r="L42" s="56">
        <f t="shared" si="25"/>
        <v>15124</v>
      </c>
      <c r="M42" s="56">
        <f t="shared" si="25"/>
        <v>12736</v>
      </c>
      <c r="N42" s="56">
        <f t="shared" si="25"/>
        <v>11940</v>
      </c>
      <c r="O42" s="56">
        <f t="shared" si="25"/>
        <v>12736</v>
      </c>
      <c r="P42" s="56">
        <f t="shared" si="25"/>
        <v>13134</v>
      </c>
      <c r="Q42" s="56">
        <f t="shared" si="25"/>
        <v>12537</v>
      </c>
      <c r="R42" s="56">
        <f t="shared" si="25"/>
        <v>11542</v>
      </c>
      <c r="S42" s="56">
        <f t="shared" si="25"/>
        <v>14328</v>
      </c>
      <c r="T42" s="56">
        <f t="shared" si="25"/>
        <v>11144</v>
      </c>
      <c r="U42" s="56">
        <f t="shared" si="25"/>
        <v>9950</v>
      </c>
      <c r="V42" s="56">
        <f t="shared" si="25"/>
        <v>10945</v>
      </c>
      <c r="W42" s="56">
        <f t="shared" si="25"/>
        <v>11940</v>
      </c>
      <c r="X42" s="56">
        <f t="shared" si="25"/>
        <v>12338</v>
      </c>
      <c r="Y42" s="56">
        <f t="shared" si="25"/>
        <v>13134</v>
      </c>
      <c r="Z42" s="56">
        <f t="shared" si="25"/>
        <v>13731</v>
      </c>
    </row>
    <row r="43" spans="1:26" x14ac:dyDescent="0.2">
      <c r="A43" s="47" t="s">
        <v>101</v>
      </c>
      <c r="B43" s="57"/>
      <c r="C43" s="56">
        <f>INT(C29*0.2)*$E$5</f>
        <v>4200</v>
      </c>
      <c r="D43" s="56">
        <f>INT(D29*0.2)*$E$5</f>
        <v>7000</v>
      </c>
      <c r="E43" s="56">
        <f>INT(E29*0.2)*$E$5</f>
        <v>11200</v>
      </c>
      <c r="F43" s="56">
        <f t="shared" ref="F43:Z43" si="26">INT(F29*0.2)*$E$5</f>
        <v>14000</v>
      </c>
      <c r="G43" s="56">
        <f t="shared" si="26"/>
        <v>16800</v>
      </c>
      <c r="H43" s="56">
        <f t="shared" si="26"/>
        <v>18200</v>
      </c>
      <c r="I43" s="56">
        <f t="shared" si="26"/>
        <v>19600</v>
      </c>
      <c r="J43" s="56">
        <f t="shared" si="26"/>
        <v>18900</v>
      </c>
      <c r="K43" s="56">
        <f t="shared" si="26"/>
        <v>23800</v>
      </c>
      <c r="L43" s="56">
        <f t="shared" si="26"/>
        <v>26600</v>
      </c>
      <c r="M43" s="56">
        <f t="shared" si="26"/>
        <v>22400</v>
      </c>
      <c r="N43" s="56">
        <f t="shared" si="26"/>
        <v>21000</v>
      </c>
      <c r="O43" s="56">
        <f t="shared" si="26"/>
        <v>22400</v>
      </c>
      <c r="P43" s="56">
        <f t="shared" si="26"/>
        <v>23100</v>
      </c>
      <c r="Q43" s="56">
        <f t="shared" si="26"/>
        <v>21700</v>
      </c>
      <c r="R43" s="56">
        <f t="shared" si="26"/>
        <v>20300</v>
      </c>
      <c r="S43" s="56">
        <f t="shared" si="26"/>
        <v>25200</v>
      </c>
      <c r="T43" s="56">
        <f t="shared" si="26"/>
        <v>19600</v>
      </c>
      <c r="U43" s="56">
        <f t="shared" si="26"/>
        <v>17500</v>
      </c>
      <c r="V43" s="56">
        <f t="shared" si="26"/>
        <v>18900</v>
      </c>
      <c r="W43" s="56">
        <f t="shared" si="26"/>
        <v>21000</v>
      </c>
      <c r="X43" s="56">
        <f t="shared" si="26"/>
        <v>21700</v>
      </c>
      <c r="Y43" s="56">
        <f t="shared" si="26"/>
        <v>23100</v>
      </c>
      <c r="Z43" s="56">
        <f t="shared" si="26"/>
        <v>23800</v>
      </c>
    </row>
    <row r="44" spans="1:26" x14ac:dyDescent="0.2">
      <c r="A44" s="47" t="s">
        <v>102</v>
      </c>
      <c r="B44" s="57"/>
      <c r="C44" s="56">
        <f>INT(C29*0.4)*$E$6</f>
        <v>7188</v>
      </c>
      <c r="D44" s="56">
        <f>INT(D29*0.4)*$E$6</f>
        <v>11980</v>
      </c>
      <c r="E44" s="56">
        <f>INT(E29*0.4)*$E$6</f>
        <v>19168</v>
      </c>
      <c r="F44" s="56">
        <f t="shared" ref="F44:Z44" si="27">INT(F29*0.4)*$E$6</f>
        <v>23960</v>
      </c>
      <c r="G44" s="56">
        <f t="shared" si="27"/>
        <v>28752</v>
      </c>
      <c r="H44" s="56">
        <f t="shared" si="27"/>
        <v>31148</v>
      </c>
      <c r="I44" s="56">
        <f t="shared" si="27"/>
        <v>33544</v>
      </c>
      <c r="J44" s="56">
        <f t="shared" si="27"/>
        <v>32945</v>
      </c>
      <c r="K44" s="56">
        <f t="shared" si="27"/>
        <v>40732</v>
      </c>
      <c r="L44" s="56">
        <f t="shared" si="27"/>
        <v>45524</v>
      </c>
      <c r="M44" s="56">
        <f t="shared" si="27"/>
        <v>38336</v>
      </c>
      <c r="N44" s="56">
        <f t="shared" si="27"/>
        <v>35940</v>
      </c>
      <c r="O44" s="56">
        <f t="shared" si="27"/>
        <v>38336</v>
      </c>
      <c r="P44" s="56">
        <f t="shared" si="27"/>
        <v>39534</v>
      </c>
      <c r="Q44" s="56">
        <f t="shared" si="27"/>
        <v>37737</v>
      </c>
      <c r="R44" s="56">
        <f t="shared" si="27"/>
        <v>34742</v>
      </c>
      <c r="S44" s="56">
        <f t="shared" si="27"/>
        <v>43128</v>
      </c>
      <c r="T44" s="56">
        <f t="shared" si="27"/>
        <v>33544</v>
      </c>
      <c r="U44" s="56">
        <f t="shared" si="27"/>
        <v>29950</v>
      </c>
      <c r="V44" s="56">
        <f t="shared" si="27"/>
        <v>32945</v>
      </c>
      <c r="W44" s="56">
        <f t="shared" si="27"/>
        <v>35940</v>
      </c>
      <c r="X44" s="56">
        <f t="shared" si="27"/>
        <v>37138</v>
      </c>
      <c r="Y44" s="56">
        <f t="shared" si="27"/>
        <v>39534</v>
      </c>
      <c r="Z44" s="56">
        <f t="shared" si="27"/>
        <v>41331</v>
      </c>
    </row>
    <row r="45" spans="1:26" x14ac:dyDescent="0.2">
      <c r="A45" s="47" t="s">
        <v>103</v>
      </c>
      <c r="B45" s="57"/>
      <c r="C45" s="56">
        <f>INT(C29*0.1)*$E$7</f>
        <v>1500</v>
      </c>
      <c r="D45" s="56">
        <f>INT(D29*0.1)*$E$7</f>
        <v>2500</v>
      </c>
      <c r="E45" s="56">
        <f>INT(E29*0.1)*$E$7</f>
        <v>4000</v>
      </c>
      <c r="F45" s="56">
        <f t="shared" ref="F45:Z45" si="28">INT(F29*0.1)*$E$7</f>
        <v>5000</v>
      </c>
      <c r="G45" s="56">
        <f t="shared" si="28"/>
        <v>6000</v>
      </c>
      <c r="H45" s="56">
        <f t="shared" si="28"/>
        <v>6500</v>
      </c>
      <c r="I45" s="56">
        <f t="shared" si="28"/>
        <v>7000</v>
      </c>
      <c r="J45" s="56">
        <f t="shared" si="28"/>
        <v>6500</v>
      </c>
      <c r="K45" s="56">
        <f t="shared" si="28"/>
        <v>8500</v>
      </c>
      <c r="L45" s="56">
        <f t="shared" si="28"/>
        <v>9500</v>
      </c>
      <c r="M45" s="56">
        <f t="shared" si="28"/>
        <v>8000</v>
      </c>
      <c r="N45" s="56">
        <f t="shared" si="28"/>
        <v>7500</v>
      </c>
      <c r="O45" s="56">
        <f t="shared" si="28"/>
        <v>8000</v>
      </c>
      <c r="P45" s="56">
        <f t="shared" si="28"/>
        <v>8000</v>
      </c>
      <c r="Q45" s="56">
        <f t="shared" si="28"/>
        <v>7500</v>
      </c>
      <c r="R45" s="56">
        <f t="shared" si="28"/>
        <v>7000</v>
      </c>
      <c r="S45" s="56">
        <f t="shared" si="28"/>
        <v>9000</v>
      </c>
      <c r="T45" s="56">
        <f t="shared" si="28"/>
        <v>7000</v>
      </c>
      <c r="U45" s="56">
        <f t="shared" si="28"/>
        <v>6000</v>
      </c>
      <c r="V45" s="56">
        <f t="shared" si="28"/>
        <v>6500</v>
      </c>
      <c r="W45" s="56">
        <f t="shared" si="28"/>
        <v>7500</v>
      </c>
      <c r="X45" s="56">
        <f t="shared" si="28"/>
        <v>7500</v>
      </c>
      <c r="Y45" s="56">
        <f t="shared" si="28"/>
        <v>8000</v>
      </c>
      <c r="Z45" s="56">
        <f t="shared" si="28"/>
        <v>8500</v>
      </c>
    </row>
    <row r="46" spans="1:26" x14ac:dyDescent="0.2">
      <c r="A46" s="33" t="s">
        <v>122</v>
      </c>
      <c r="B46" s="34"/>
      <c r="C46" s="40">
        <f t="shared" ref="C46:I46" si="29">SUM(C47:C48)</f>
        <v>8000</v>
      </c>
      <c r="D46" s="40">
        <f t="shared" si="29"/>
        <v>12000</v>
      </c>
      <c r="E46" s="40">
        <f t="shared" si="29"/>
        <v>14000</v>
      </c>
      <c r="F46" s="40">
        <f t="shared" si="29"/>
        <v>15000</v>
      </c>
      <c r="G46" s="40">
        <f t="shared" si="29"/>
        <v>16000</v>
      </c>
      <c r="H46" s="40">
        <f t="shared" si="29"/>
        <v>17000</v>
      </c>
      <c r="I46" s="40">
        <f t="shared" si="29"/>
        <v>18000</v>
      </c>
      <c r="J46" s="40">
        <f t="shared" ref="J46:Z46" si="30">SUM(J47:J48)</f>
        <v>17500</v>
      </c>
      <c r="K46" s="40">
        <f t="shared" si="30"/>
        <v>18500</v>
      </c>
      <c r="L46" s="40">
        <f t="shared" si="30"/>
        <v>20000</v>
      </c>
      <c r="M46" s="40">
        <f t="shared" si="30"/>
        <v>18000</v>
      </c>
      <c r="N46" s="40">
        <f t="shared" si="30"/>
        <v>19000</v>
      </c>
      <c r="O46" s="40">
        <f t="shared" si="30"/>
        <v>18500</v>
      </c>
      <c r="P46" s="40">
        <f t="shared" si="30"/>
        <v>18500</v>
      </c>
      <c r="Q46" s="40">
        <f t="shared" si="30"/>
        <v>19000</v>
      </c>
      <c r="R46" s="40">
        <f t="shared" si="30"/>
        <v>17500</v>
      </c>
      <c r="S46" s="40">
        <f t="shared" si="30"/>
        <v>17000</v>
      </c>
      <c r="T46" s="40">
        <f t="shared" si="30"/>
        <v>21000</v>
      </c>
      <c r="U46" s="40">
        <f t="shared" si="30"/>
        <v>15700</v>
      </c>
      <c r="V46" s="40">
        <f t="shared" si="30"/>
        <v>18200</v>
      </c>
      <c r="W46" s="40">
        <f t="shared" si="30"/>
        <v>14200</v>
      </c>
      <c r="X46" s="40">
        <f t="shared" si="30"/>
        <v>19100</v>
      </c>
      <c r="Y46" s="40">
        <f t="shared" si="30"/>
        <v>17400</v>
      </c>
      <c r="Z46" s="40">
        <f t="shared" si="30"/>
        <v>14600</v>
      </c>
    </row>
    <row r="47" spans="1:26" x14ac:dyDescent="0.2">
      <c r="A47" s="47" t="s">
        <v>105</v>
      </c>
      <c r="B47" s="57"/>
      <c r="C47" s="56">
        <f>C30*E9</f>
        <v>6400</v>
      </c>
      <c r="D47" s="56">
        <f>D30*E9</f>
        <v>9600</v>
      </c>
      <c r="E47" s="56">
        <f>E30*E9</f>
        <v>11200</v>
      </c>
      <c r="F47" s="56">
        <f>F30*$E$9</f>
        <v>12000</v>
      </c>
      <c r="G47" s="56">
        <f>G30*$E$9</f>
        <v>12800</v>
      </c>
      <c r="H47" s="56">
        <f>H30*$E$9</f>
        <v>13600</v>
      </c>
      <c r="I47" s="56">
        <f>I30*$E$9</f>
        <v>14400</v>
      </c>
      <c r="J47" s="56">
        <f t="shared" ref="J47:Z47" si="31">J30*$E$9</f>
        <v>14000</v>
      </c>
      <c r="K47" s="56">
        <f t="shared" si="31"/>
        <v>14800</v>
      </c>
      <c r="L47" s="56">
        <f t="shared" si="31"/>
        <v>16000</v>
      </c>
      <c r="M47" s="56">
        <f t="shared" si="31"/>
        <v>14400</v>
      </c>
      <c r="N47" s="56">
        <f t="shared" si="31"/>
        <v>15200</v>
      </c>
      <c r="O47" s="56">
        <f t="shared" si="31"/>
        <v>14800</v>
      </c>
      <c r="P47" s="56">
        <f t="shared" si="31"/>
        <v>14800</v>
      </c>
      <c r="Q47" s="56">
        <f t="shared" si="31"/>
        <v>15200</v>
      </c>
      <c r="R47" s="56">
        <f t="shared" si="31"/>
        <v>14000</v>
      </c>
      <c r="S47" s="56">
        <f t="shared" si="31"/>
        <v>13600</v>
      </c>
      <c r="T47" s="56">
        <f t="shared" si="31"/>
        <v>16800</v>
      </c>
      <c r="U47" s="56">
        <f t="shared" si="31"/>
        <v>12560</v>
      </c>
      <c r="V47" s="56">
        <f t="shared" si="31"/>
        <v>14560</v>
      </c>
      <c r="W47" s="56">
        <f t="shared" si="31"/>
        <v>11360</v>
      </c>
      <c r="X47" s="56">
        <f t="shared" si="31"/>
        <v>15280</v>
      </c>
      <c r="Y47" s="56">
        <f t="shared" si="31"/>
        <v>13920</v>
      </c>
      <c r="Z47" s="56">
        <f t="shared" si="31"/>
        <v>11680</v>
      </c>
    </row>
    <row r="48" spans="1:26" x14ac:dyDescent="0.2">
      <c r="A48" s="47" t="s">
        <v>104</v>
      </c>
      <c r="B48" s="57"/>
      <c r="C48" s="56">
        <f>(C30*0.2)*E10</f>
        <v>1600</v>
      </c>
      <c r="D48" s="56">
        <f>(D30*0.2)*E10</f>
        <v>2400</v>
      </c>
      <c r="E48" s="56">
        <f>(E30*0.2)*E10</f>
        <v>2800</v>
      </c>
      <c r="F48" s="56">
        <f>(F30*0.2)*$E$10</f>
        <v>3000</v>
      </c>
      <c r="G48" s="56">
        <f>(G30*0.2)*$E$10</f>
        <v>3200</v>
      </c>
      <c r="H48" s="56">
        <f>(H30*0.2)*$E$10</f>
        <v>3400</v>
      </c>
      <c r="I48" s="56">
        <f>(I30*0.2)*$E$10</f>
        <v>3600</v>
      </c>
      <c r="J48" s="56">
        <f t="shared" ref="J48:Z48" si="32">(J30*0.2)*$E$10</f>
        <v>3500</v>
      </c>
      <c r="K48" s="56">
        <f t="shared" si="32"/>
        <v>3700</v>
      </c>
      <c r="L48" s="56">
        <f t="shared" si="32"/>
        <v>4000</v>
      </c>
      <c r="M48" s="56">
        <f t="shared" si="32"/>
        <v>3600</v>
      </c>
      <c r="N48" s="56">
        <f t="shared" si="32"/>
        <v>3800</v>
      </c>
      <c r="O48" s="56">
        <f t="shared" si="32"/>
        <v>3700</v>
      </c>
      <c r="P48" s="56">
        <f t="shared" si="32"/>
        <v>3700</v>
      </c>
      <c r="Q48" s="56">
        <f t="shared" si="32"/>
        <v>3800</v>
      </c>
      <c r="R48" s="56">
        <f t="shared" si="32"/>
        <v>3500</v>
      </c>
      <c r="S48" s="56">
        <f t="shared" si="32"/>
        <v>3400</v>
      </c>
      <c r="T48" s="56">
        <f t="shared" si="32"/>
        <v>4200</v>
      </c>
      <c r="U48" s="56">
        <f t="shared" si="32"/>
        <v>3140</v>
      </c>
      <c r="V48" s="56">
        <f t="shared" si="32"/>
        <v>3640</v>
      </c>
      <c r="W48" s="56">
        <f t="shared" si="32"/>
        <v>2840</v>
      </c>
      <c r="X48" s="56">
        <f t="shared" si="32"/>
        <v>3820.0000000000005</v>
      </c>
      <c r="Y48" s="56">
        <f t="shared" si="32"/>
        <v>3480.0000000000005</v>
      </c>
      <c r="Z48" s="56">
        <f t="shared" si="32"/>
        <v>2920.0000000000005</v>
      </c>
    </row>
    <row r="49" spans="1:26" s="29" customFormat="1" x14ac:dyDescent="0.2">
      <c r="A49" s="30" t="s">
        <v>76</v>
      </c>
      <c r="B49" s="32"/>
      <c r="C49" s="39">
        <f t="shared" ref="C49:I49" si="33">C50+C56</f>
        <v>189017.36</v>
      </c>
      <c r="D49" s="39">
        <f t="shared" si="33"/>
        <v>211365.6</v>
      </c>
      <c r="E49" s="39">
        <f t="shared" si="33"/>
        <v>238563.84</v>
      </c>
      <c r="F49" s="39">
        <f t="shared" si="33"/>
        <v>274955.3</v>
      </c>
      <c r="G49" s="39">
        <f t="shared" si="33"/>
        <v>285256.26</v>
      </c>
      <c r="H49" s="39">
        <f t="shared" si="33"/>
        <v>297588.24</v>
      </c>
      <c r="I49" s="39">
        <f t="shared" si="33"/>
        <v>324737.71999999997</v>
      </c>
      <c r="J49" s="39">
        <f t="shared" ref="J49:Z49" si="34">J50+J56</f>
        <v>304404.59999999998</v>
      </c>
      <c r="K49" s="39">
        <f t="shared" si="34"/>
        <v>328051.65999999997</v>
      </c>
      <c r="L49" s="39">
        <f t="shared" si="34"/>
        <v>326210.62</v>
      </c>
      <c r="M49" s="39">
        <f t="shared" si="34"/>
        <v>319279.18000000005</v>
      </c>
      <c r="N49" s="39">
        <f t="shared" si="34"/>
        <v>300703.2</v>
      </c>
      <c r="O49" s="39">
        <f t="shared" si="34"/>
        <v>320171.68000000005</v>
      </c>
      <c r="P49" s="39">
        <f t="shared" si="34"/>
        <v>330758.92</v>
      </c>
      <c r="Q49" s="39">
        <f t="shared" si="34"/>
        <v>324299.06</v>
      </c>
      <c r="R49" s="39">
        <f t="shared" si="34"/>
        <v>336759.95999999996</v>
      </c>
      <c r="S49" s="39">
        <f t="shared" si="34"/>
        <v>320204.63999999996</v>
      </c>
      <c r="T49" s="39">
        <f t="shared" si="34"/>
        <v>311284.71999999997</v>
      </c>
      <c r="U49" s="39">
        <f t="shared" si="34"/>
        <v>305090.5</v>
      </c>
      <c r="V49" s="39">
        <f t="shared" si="34"/>
        <v>305457.59999999998</v>
      </c>
      <c r="W49" s="39">
        <f t="shared" si="34"/>
        <v>328183.7</v>
      </c>
      <c r="X49" s="39">
        <f t="shared" si="34"/>
        <v>313082.44</v>
      </c>
      <c r="Y49" s="39">
        <f t="shared" si="34"/>
        <v>319571.92</v>
      </c>
      <c r="Z49" s="39">
        <f t="shared" si="34"/>
        <v>335797.28000000009</v>
      </c>
    </row>
    <row r="50" spans="1:26" x14ac:dyDescent="0.2">
      <c r="A50" s="33" t="s">
        <v>77</v>
      </c>
      <c r="B50" s="36"/>
      <c r="C50" s="35">
        <f>SUM(C51:C55)</f>
        <v>49000</v>
      </c>
      <c r="D50" s="35">
        <f>SUM(D51:D55)</f>
        <v>49000</v>
      </c>
      <c r="E50" s="35">
        <f>SUM(E51:E55)</f>
        <v>49000</v>
      </c>
      <c r="F50" s="35">
        <f>SUM(F51:F54)</f>
        <v>50000</v>
      </c>
      <c r="G50" s="35">
        <f>SUM(G51:G54)</f>
        <v>46000</v>
      </c>
      <c r="H50" s="35">
        <f>SUM(H51:H54)</f>
        <v>46000</v>
      </c>
      <c r="I50" s="35">
        <f>SUM(I51:I54)</f>
        <v>50000</v>
      </c>
      <c r="J50" s="35">
        <f t="shared" ref="J50:Z50" si="35">SUM(J51:J54)</f>
        <v>46000</v>
      </c>
      <c r="K50" s="35">
        <f t="shared" si="35"/>
        <v>46000</v>
      </c>
      <c r="L50" s="35">
        <f t="shared" si="35"/>
        <v>50000</v>
      </c>
      <c r="M50" s="35">
        <f t="shared" si="35"/>
        <v>46000</v>
      </c>
      <c r="N50" s="35">
        <f t="shared" si="35"/>
        <v>46000</v>
      </c>
      <c r="O50" s="35">
        <f t="shared" si="35"/>
        <v>50000</v>
      </c>
      <c r="P50" s="35">
        <f t="shared" si="35"/>
        <v>46000</v>
      </c>
      <c r="Q50" s="35">
        <f t="shared" si="35"/>
        <v>46000</v>
      </c>
      <c r="R50" s="35">
        <f t="shared" si="35"/>
        <v>50000</v>
      </c>
      <c r="S50" s="35">
        <f t="shared" si="35"/>
        <v>46000</v>
      </c>
      <c r="T50" s="35">
        <f t="shared" si="35"/>
        <v>46000</v>
      </c>
      <c r="U50" s="35">
        <f t="shared" si="35"/>
        <v>50000</v>
      </c>
      <c r="V50" s="35">
        <f t="shared" si="35"/>
        <v>46000</v>
      </c>
      <c r="W50" s="35">
        <f t="shared" si="35"/>
        <v>46000</v>
      </c>
      <c r="X50" s="35">
        <f t="shared" si="35"/>
        <v>50000</v>
      </c>
      <c r="Y50" s="35">
        <f t="shared" si="35"/>
        <v>46000</v>
      </c>
      <c r="Z50" s="35">
        <f t="shared" si="35"/>
        <v>46000</v>
      </c>
    </row>
    <row r="51" spans="1:26" x14ac:dyDescent="0.2">
      <c r="A51" s="47" t="s">
        <v>106</v>
      </c>
      <c r="B51" s="58"/>
      <c r="C51" s="59">
        <f>'Введите свои данные'!B3*'Введите свои данные'!B4</f>
        <v>40000</v>
      </c>
      <c r="D51" s="59">
        <f>'Введите свои данные'!B3*'Введите свои данные'!B4</f>
        <v>40000</v>
      </c>
      <c r="E51" s="59">
        <f>'Введите свои данные'!B3*'Введите свои данные'!B4</f>
        <v>40000</v>
      </c>
      <c r="F51" s="59">
        <f>'Введите свои данные'!$B$3*'Введите свои данные'!$B$4</f>
        <v>40000</v>
      </c>
      <c r="G51" s="59">
        <f>'Введите свои данные'!$B$3*'Введите свои данные'!$B$4</f>
        <v>40000</v>
      </c>
      <c r="H51" s="59">
        <f>'Введите свои данные'!$B$3*'Введите свои данные'!$B$4</f>
        <v>40000</v>
      </c>
      <c r="I51" s="59">
        <f>'Введите свои данные'!$B$3*'Введите свои данные'!$B$4</f>
        <v>40000</v>
      </c>
      <c r="J51" s="59">
        <f>'Введите свои данные'!$B$3*'Введите свои данные'!$B$4</f>
        <v>40000</v>
      </c>
      <c r="K51" s="59">
        <f>'Введите свои данные'!$B$3*'Введите свои данные'!$B$4</f>
        <v>40000</v>
      </c>
      <c r="L51" s="59">
        <f>'Введите свои данные'!$B$3*'Введите свои данные'!$B$4</f>
        <v>40000</v>
      </c>
      <c r="M51" s="59">
        <f>'Введите свои данные'!$B$3*'Введите свои данные'!$B$4</f>
        <v>40000</v>
      </c>
      <c r="N51" s="59">
        <f>'Введите свои данные'!$B$3*'Введите свои данные'!$B$4</f>
        <v>40000</v>
      </c>
      <c r="O51" s="59">
        <f>'Введите свои данные'!$B$3*'Введите свои данные'!$B$4</f>
        <v>40000</v>
      </c>
      <c r="P51" s="59">
        <f>'Введите свои данные'!$B$3*'Введите свои данные'!$B$4</f>
        <v>40000</v>
      </c>
      <c r="Q51" s="59">
        <f>'Введите свои данные'!$B$3*'Введите свои данные'!$B$4</f>
        <v>40000</v>
      </c>
      <c r="R51" s="59">
        <f>'Введите свои данные'!$B$3*'Введите свои данные'!$B$4</f>
        <v>40000</v>
      </c>
      <c r="S51" s="59">
        <f>'Введите свои данные'!$B$3*'Введите свои данные'!$B$4</f>
        <v>40000</v>
      </c>
      <c r="T51" s="59">
        <f>'Введите свои данные'!$B$3*'Введите свои данные'!$B$4</f>
        <v>40000</v>
      </c>
      <c r="U51" s="59">
        <f>'Введите свои данные'!$B$3*'Введите свои данные'!$B$4</f>
        <v>40000</v>
      </c>
      <c r="V51" s="59">
        <f>'Введите свои данные'!$B$3*'Введите свои данные'!$B$4</f>
        <v>40000</v>
      </c>
      <c r="W51" s="59">
        <f>'Введите свои данные'!$B$3*'Введите свои данные'!$B$4</f>
        <v>40000</v>
      </c>
      <c r="X51" s="59">
        <f>'Введите свои данные'!$B$3*'Введите свои данные'!$B$4</f>
        <v>40000</v>
      </c>
      <c r="Y51" s="59">
        <f>'Введите свои данные'!$B$3*'Введите свои данные'!$B$4</f>
        <v>40000</v>
      </c>
      <c r="Z51" s="59">
        <f>'Введите свои данные'!$B$3*'Введите свои данные'!$B$4</f>
        <v>40000</v>
      </c>
    </row>
    <row r="52" spans="1:26" x14ac:dyDescent="0.2">
      <c r="A52" s="47" t="s">
        <v>109</v>
      </c>
      <c r="B52" s="58"/>
      <c r="C52" s="59"/>
      <c r="D52" s="59"/>
      <c r="E52" s="59"/>
      <c r="F52" s="59">
        <v>4000</v>
      </c>
      <c r="G52" s="59"/>
      <c r="H52" s="59"/>
      <c r="I52" s="59">
        <v>4000</v>
      </c>
      <c r="J52" s="59"/>
      <c r="K52" s="59"/>
      <c r="L52" s="59">
        <v>4000</v>
      </c>
      <c r="M52" s="59"/>
      <c r="N52" s="59"/>
      <c r="O52" s="59">
        <v>4000</v>
      </c>
      <c r="P52" s="59"/>
      <c r="Q52" s="59"/>
      <c r="R52" s="59">
        <v>4000</v>
      </c>
      <c r="S52" s="59"/>
      <c r="T52" s="59"/>
      <c r="U52" s="59">
        <v>4000</v>
      </c>
      <c r="V52" s="59"/>
      <c r="W52" s="59"/>
      <c r="X52" s="59">
        <v>4000</v>
      </c>
      <c r="Y52" s="59"/>
      <c r="Z52" s="59"/>
    </row>
    <row r="53" spans="1:26" x14ac:dyDescent="0.2">
      <c r="A53" s="47" t="s">
        <v>110</v>
      </c>
      <c r="B53" s="58"/>
      <c r="C53" s="59">
        <v>1000</v>
      </c>
      <c r="D53" s="59">
        <v>1000</v>
      </c>
      <c r="E53" s="59">
        <v>1000</v>
      </c>
      <c r="F53" s="59">
        <v>1000</v>
      </c>
      <c r="G53" s="59">
        <v>1000</v>
      </c>
      <c r="H53" s="59">
        <v>1000</v>
      </c>
      <c r="I53" s="59">
        <v>1000</v>
      </c>
      <c r="J53" s="59">
        <v>1000</v>
      </c>
      <c r="K53" s="59">
        <v>1000</v>
      </c>
      <c r="L53" s="59">
        <v>1000</v>
      </c>
      <c r="M53" s="59">
        <v>1000</v>
      </c>
      <c r="N53" s="59">
        <v>1000</v>
      </c>
      <c r="O53" s="59">
        <v>1000</v>
      </c>
      <c r="P53" s="59">
        <v>1000</v>
      </c>
      <c r="Q53" s="59">
        <v>1000</v>
      </c>
      <c r="R53" s="59">
        <v>1000</v>
      </c>
      <c r="S53" s="59">
        <v>1000</v>
      </c>
      <c r="T53" s="59">
        <v>1000</v>
      </c>
      <c r="U53" s="59">
        <v>1000</v>
      </c>
      <c r="V53" s="59">
        <v>1000</v>
      </c>
      <c r="W53" s="59">
        <v>1000</v>
      </c>
      <c r="X53" s="59">
        <v>1000</v>
      </c>
      <c r="Y53" s="59">
        <v>1000</v>
      </c>
      <c r="Z53" s="59">
        <v>1000</v>
      </c>
    </row>
    <row r="54" spans="1:26" x14ac:dyDescent="0.2">
      <c r="A54" s="47" t="s">
        <v>111</v>
      </c>
      <c r="B54" s="60"/>
      <c r="C54" s="59">
        <v>5000</v>
      </c>
      <c r="D54" s="59">
        <v>5000</v>
      </c>
      <c r="E54" s="59">
        <v>5000</v>
      </c>
      <c r="F54" s="59">
        <v>5000</v>
      </c>
      <c r="G54" s="59">
        <v>5000</v>
      </c>
      <c r="H54" s="59">
        <v>5000</v>
      </c>
      <c r="I54" s="59">
        <v>5000</v>
      </c>
      <c r="J54" s="59">
        <v>5000</v>
      </c>
      <c r="K54" s="59">
        <v>5000</v>
      </c>
      <c r="L54" s="59">
        <v>5000</v>
      </c>
      <c r="M54" s="59">
        <v>5000</v>
      </c>
      <c r="N54" s="59">
        <v>5000</v>
      </c>
      <c r="O54" s="59">
        <v>5000</v>
      </c>
      <c r="P54" s="59">
        <v>5000</v>
      </c>
      <c r="Q54" s="59">
        <v>5000</v>
      </c>
      <c r="R54" s="59">
        <v>5000</v>
      </c>
      <c r="S54" s="59">
        <v>5000</v>
      </c>
      <c r="T54" s="59">
        <v>5000</v>
      </c>
      <c r="U54" s="59">
        <v>5000</v>
      </c>
      <c r="V54" s="59">
        <v>5000</v>
      </c>
      <c r="W54" s="59">
        <v>5000</v>
      </c>
      <c r="X54" s="59">
        <v>5000</v>
      </c>
      <c r="Y54" s="59">
        <v>5000</v>
      </c>
      <c r="Z54" s="59">
        <v>5000</v>
      </c>
    </row>
    <row r="55" spans="1:26" x14ac:dyDescent="0.2">
      <c r="A55" s="47" t="s">
        <v>112</v>
      </c>
      <c r="B55" s="60"/>
      <c r="C55" s="59">
        <v>3000</v>
      </c>
      <c r="D55" s="59">
        <f t="shared" ref="D55" si="36">C55</f>
        <v>3000</v>
      </c>
      <c r="E55" s="59">
        <v>3000</v>
      </c>
      <c r="F55" s="59">
        <v>3000</v>
      </c>
      <c r="G55" s="59">
        <v>3000</v>
      </c>
      <c r="H55" s="59">
        <v>3000</v>
      </c>
      <c r="I55" s="59">
        <v>3000</v>
      </c>
      <c r="J55" s="59">
        <v>3000</v>
      </c>
      <c r="K55" s="59">
        <v>3000</v>
      </c>
      <c r="L55" s="59">
        <v>3000</v>
      </c>
      <c r="M55" s="59">
        <v>3000</v>
      </c>
      <c r="N55" s="59">
        <v>3000</v>
      </c>
      <c r="O55" s="59">
        <v>3000</v>
      </c>
      <c r="P55" s="59">
        <v>3000</v>
      </c>
      <c r="Q55" s="59">
        <v>3000</v>
      </c>
      <c r="R55" s="59">
        <v>3000</v>
      </c>
      <c r="S55" s="59">
        <v>3000</v>
      </c>
      <c r="T55" s="59">
        <v>3000</v>
      </c>
      <c r="U55" s="59">
        <v>3000</v>
      </c>
      <c r="V55" s="59">
        <v>3000</v>
      </c>
      <c r="W55" s="59">
        <v>3000</v>
      </c>
      <c r="X55" s="59">
        <v>3000</v>
      </c>
      <c r="Y55" s="59">
        <v>3000</v>
      </c>
      <c r="Z55" s="59">
        <v>3000</v>
      </c>
    </row>
    <row r="56" spans="1:26" x14ac:dyDescent="0.2">
      <c r="A56" s="33" t="s">
        <v>78</v>
      </c>
      <c r="B56" s="36"/>
      <c r="C56" s="35">
        <f t="shared" ref="C56:I56" si="37">C57+C61+C62+C63+C64+C65</f>
        <v>140017.35999999999</v>
      </c>
      <c r="D56" s="35">
        <f t="shared" si="37"/>
        <v>162365.6</v>
      </c>
      <c r="E56" s="35">
        <f t="shared" si="37"/>
        <v>189563.84</v>
      </c>
      <c r="F56" s="35">
        <f t="shared" si="37"/>
        <v>224955.3</v>
      </c>
      <c r="G56" s="35">
        <f t="shared" si="37"/>
        <v>239256.26</v>
      </c>
      <c r="H56" s="35">
        <f t="shared" si="37"/>
        <v>251588.24</v>
      </c>
      <c r="I56" s="35">
        <f t="shared" si="37"/>
        <v>274737.71999999997</v>
      </c>
      <c r="J56" s="35">
        <f t="shared" ref="J56:Z56" si="38">J57+J61+J62+J63+J64+J65</f>
        <v>258404.59999999998</v>
      </c>
      <c r="K56" s="35">
        <f t="shared" si="38"/>
        <v>282051.65999999997</v>
      </c>
      <c r="L56" s="35">
        <f t="shared" si="38"/>
        <v>276210.62</v>
      </c>
      <c r="M56" s="35">
        <f t="shared" si="38"/>
        <v>273279.18000000005</v>
      </c>
      <c r="N56" s="35">
        <f t="shared" si="38"/>
        <v>254703.2</v>
      </c>
      <c r="O56" s="35">
        <f t="shared" si="38"/>
        <v>270171.68000000005</v>
      </c>
      <c r="P56" s="35">
        <f t="shared" si="38"/>
        <v>284758.92</v>
      </c>
      <c r="Q56" s="35">
        <f t="shared" si="38"/>
        <v>278299.06</v>
      </c>
      <c r="R56" s="35">
        <f t="shared" si="38"/>
        <v>286759.95999999996</v>
      </c>
      <c r="S56" s="35">
        <f t="shared" si="38"/>
        <v>274204.63999999996</v>
      </c>
      <c r="T56" s="35">
        <f t="shared" si="38"/>
        <v>265284.71999999997</v>
      </c>
      <c r="U56" s="35">
        <f t="shared" si="38"/>
        <v>255090.5</v>
      </c>
      <c r="V56" s="35">
        <f t="shared" si="38"/>
        <v>259457.59999999998</v>
      </c>
      <c r="W56" s="35">
        <f t="shared" si="38"/>
        <v>282183.7</v>
      </c>
      <c r="X56" s="35">
        <f t="shared" si="38"/>
        <v>263082.44</v>
      </c>
      <c r="Y56" s="35">
        <f t="shared" si="38"/>
        <v>273571.92</v>
      </c>
      <c r="Z56" s="35">
        <f t="shared" si="38"/>
        <v>289797.28000000009</v>
      </c>
    </row>
    <row r="57" spans="1:26" x14ac:dyDescent="0.2">
      <c r="A57" s="47" t="s">
        <v>113</v>
      </c>
      <c r="B57" s="58"/>
      <c r="C57" s="59">
        <f t="shared" ref="C57:I57" si="39">SUM(C58:C60)</f>
        <v>127145.20000000001</v>
      </c>
      <c r="D57" s="59">
        <f t="shared" si="39"/>
        <v>146867</v>
      </c>
      <c r="E57" s="59">
        <f t="shared" si="39"/>
        <v>163332.80000000002</v>
      </c>
      <c r="F57" s="59">
        <f t="shared" si="39"/>
        <v>183054.6</v>
      </c>
      <c r="G57" s="59">
        <f t="shared" si="39"/>
        <v>205209.8</v>
      </c>
      <c r="H57" s="59">
        <f t="shared" si="39"/>
        <v>215565.2</v>
      </c>
      <c r="I57" s="59">
        <f t="shared" si="39"/>
        <v>224931.6</v>
      </c>
      <c r="J57" s="59">
        <f t="shared" ref="J57:Z57" si="40">SUM(J58:J60)</f>
        <v>221299.4</v>
      </c>
      <c r="K57" s="59">
        <f t="shared" si="40"/>
        <v>241397.4</v>
      </c>
      <c r="L57" s="59">
        <f t="shared" si="40"/>
        <v>226596.19999999998</v>
      </c>
      <c r="M57" s="59">
        <f t="shared" si="40"/>
        <v>233981.40000000002</v>
      </c>
      <c r="N57" s="59">
        <f t="shared" si="40"/>
        <v>218253.2</v>
      </c>
      <c r="O57" s="59">
        <f t="shared" si="40"/>
        <v>221308.40000000002</v>
      </c>
      <c r="P57" s="59">
        <f t="shared" si="40"/>
        <v>243597.6</v>
      </c>
      <c r="Q57" s="59">
        <f t="shared" si="40"/>
        <v>238058.8</v>
      </c>
      <c r="R57" s="59">
        <f t="shared" si="40"/>
        <v>235076.8</v>
      </c>
      <c r="S57" s="59">
        <f t="shared" si="40"/>
        <v>235064</v>
      </c>
      <c r="T57" s="59">
        <f t="shared" si="40"/>
        <v>226836</v>
      </c>
      <c r="U57" s="59">
        <f t="shared" si="40"/>
        <v>208491.80000000002</v>
      </c>
      <c r="V57" s="59">
        <f t="shared" si="40"/>
        <v>222127.4</v>
      </c>
      <c r="W57" s="59">
        <f t="shared" si="40"/>
        <v>241598.2</v>
      </c>
      <c r="X57" s="59">
        <f t="shared" si="40"/>
        <v>215270</v>
      </c>
      <c r="Y57" s="59">
        <f t="shared" si="40"/>
        <v>234324</v>
      </c>
      <c r="Z57" s="59">
        <f t="shared" si="40"/>
        <v>248187.40000000002</v>
      </c>
    </row>
    <row r="58" spans="1:26" x14ac:dyDescent="0.2">
      <c r="A58" s="47" t="s">
        <v>114</v>
      </c>
      <c r="B58" s="58">
        <v>0.46</v>
      </c>
      <c r="C58" s="59">
        <f>C32*B58</f>
        <v>87979.6</v>
      </c>
      <c r="D58" s="59">
        <f>D32*B58</f>
        <v>101591</v>
      </c>
      <c r="E58" s="59">
        <f>E32*B58</f>
        <v>108891.20000000001</v>
      </c>
      <c r="F58" s="59">
        <f>F32*$B$58</f>
        <v>122502.6</v>
      </c>
      <c r="G58" s="59">
        <f>G32*$B$58</f>
        <v>138547.4</v>
      </c>
      <c r="H58" s="59">
        <f>H32*$B$58</f>
        <v>145847.6</v>
      </c>
      <c r="I58" s="59">
        <f>I32*$B$58</f>
        <v>152158.80000000002</v>
      </c>
      <c r="J58" s="59">
        <f t="shared" ref="J58:Z58" si="41">J32*$B$58</f>
        <v>149725.4</v>
      </c>
      <c r="K58" s="59">
        <f t="shared" si="41"/>
        <v>159459</v>
      </c>
      <c r="L58" s="59">
        <f t="shared" si="41"/>
        <v>138547.4</v>
      </c>
      <c r="M58" s="59">
        <f t="shared" si="41"/>
        <v>155098.20000000001</v>
      </c>
      <c r="N58" s="59">
        <f t="shared" si="41"/>
        <v>142425.20000000001</v>
      </c>
      <c r="O58" s="59">
        <f t="shared" si="41"/>
        <v>142425.20000000001</v>
      </c>
      <c r="P58" s="59">
        <f t="shared" si="41"/>
        <v>163336.80000000002</v>
      </c>
      <c r="Q58" s="59">
        <f t="shared" si="41"/>
        <v>160374.39999999999</v>
      </c>
      <c r="R58" s="59">
        <f t="shared" si="41"/>
        <v>160926.39999999999</v>
      </c>
      <c r="S58" s="59">
        <f t="shared" si="41"/>
        <v>150070.39999999999</v>
      </c>
      <c r="T58" s="59">
        <f t="shared" si="41"/>
        <v>154063.20000000001</v>
      </c>
      <c r="U58" s="59">
        <f t="shared" si="41"/>
        <v>140451.80000000002</v>
      </c>
      <c r="V58" s="59">
        <f t="shared" si="41"/>
        <v>150553.4</v>
      </c>
      <c r="W58" s="59">
        <f t="shared" si="41"/>
        <v>165770.20000000001</v>
      </c>
      <c r="X58" s="59">
        <f t="shared" si="41"/>
        <v>138064.4</v>
      </c>
      <c r="Y58" s="59">
        <f t="shared" si="41"/>
        <v>154063.20000000001</v>
      </c>
      <c r="Z58" s="59">
        <f t="shared" si="41"/>
        <v>165770.20000000001</v>
      </c>
    </row>
    <row r="59" spans="1:26" x14ac:dyDescent="0.2">
      <c r="A59" s="47" t="s">
        <v>115</v>
      </c>
      <c r="B59" s="58">
        <v>0.6</v>
      </c>
      <c r="C59" s="59">
        <f>C41*B59</f>
        <v>9165.6</v>
      </c>
      <c r="D59" s="59">
        <f>D41*B59</f>
        <v>15276</v>
      </c>
      <c r="E59" s="59">
        <f>E41*B59</f>
        <v>24441.599999999999</v>
      </c>
      <c r="F59" s="59">
        <f>F41*$B$59</f>
        <v>30552</v>
      </c>
      <c r="G59" s="59">
        <f>G41*$B$59</f>
        <v>36662.400000000001</v>
      </c>
      <c r="H59" s="59">
        <f>H41*$B$59</f>
        <v>39717.599999999999</v>
      </c>
      <c r="I59" s="59">
        <f>I41*$B$59</f>
        <v>42772.799999999996</v>
      </c>
      <c r="J59" s="59">
        <f t="shared" ref="J59:Z59" si="42">J41*$B$59</f>
        <v>41574</v>
      </c>
      <c r="K59" s="59">
        <f t="shared" si="42"/>
        <v>51938.400000000001</v>
      </c>
      <c r="L59" s="59">
        <f t="shared" si="42"/>
        <v>58048.799999999996</v>
      </c>
      <c r="M59" s="59">
        <f t="shared" si="42"/>
        <v>48883.199999999997</v>
      </c>
      <c r="N59" s="59">
        <f t="shared" si="42"/>
        <v>45828</v>
      </c>
      <c r="O59" s="59">
        <f t="shared" si="42"/>
        <v>48883.199999999997</v>
      </c>
      <c r="P59" s="59">
        <f t="shared" si="42"/>
        <v>50260.799999999996</v>
      </c>
      <c r="Q59" s="59">
        <f t="shared" si="42"/>
        <v>47684.4</v>
      </c>
      <c r="R59" s="59">
        <f t="shared" si="42"/>
        <v>44150.400000000001</v>
      </c>
      <c r="S59" s="59">
        <f t="shared" si="42"/>
        <v>54993.599999999999</v>
      </c>
      <c r="T59" s="59">
        <f t="shared" si="42"/>
        <v>42772.799999999996</v>
      </c>
      <c r="U59" s="59">
        <f t="shared" si="42"/>
        <v>38040</v>
      </c>
      <c r="V59" s="59">
        <f t="shared" si="42"/>
        <v>41574</v>
      </c>
      <c r="W59" s="59">
        <f t="shared" si="42"/>
        <v>45828</v>
      </c>
      <c r="X59" s="59">
        <f t="shared" si="42"/>
        <v>47205.599999999999</v>
      </c>
      <c r="Y59" s="59">
        <f t="shared" si="42"/>
        <v>50260.799999999996</v>
      </c>
      <c r="Z59" s="59">
        <f t="shared" si="42"/>
        <v>52417.2</v>
      </c>
    </row>
    <row r="60" spans="1:26" ht="14.25" customHeight="1" x14ac:dyDescent="0.2">
      <c r="A60" s="47" t="s">
        <v>138</v>
      </c>
      <c r="B60" s="58"/>
      <c r="C60" s="59">
        <v>30000</v>
      </c>
      <c r="D60" s="59">
        <v>30000</v>
      </c>
      <c r="E60" s="59">
        <v>30000</v>
      </c>
      <c r="F60" s="59">
        <v>30000</v>
      </c>
      <c r="G60" s="59">
        <v>30000</v>
      </c>
      <c r="H60" s="59">
        <v>30000</v>
      </c>
      <c r="I60" s="59">
        <v>30000</v>
      </c>
      <c r="J60" s="59">
        <v>30000</v>
      </c>
      <c r="K60" s="59">
        <v>30000</v>
      </c>
      <c r="L60" s="59">
        <v>30000</v>
      </c>
      <c r="M60" s="59">
        <v>30000</v>
      </c>
      <c r="N60" s="59">
        <v>30000</v>
      </c>
      <c r="O60" s="59">
        <v>30000</v>
      </c>
      <c r="P60" s="59">
        <v>30000</v>
      </c>
      <c r="Q60" s="59">
        <v>30000</v>
      </c>
      <c r="R60" s="59">
        <v>30000</v>
      </c>
      <c r="S60" s="59">
        <v>30000</v>
      </c>
      <c r="T60" s="59">
        <v>30000</v>
      </c>
      <c r="U60" s="59">
        <v>30000</v>
      </c>
      <c r="V60" s="59">
        <v>30000</v>
      </c>
      <c r="W60" s="59">
        <v>30000</v>
      </c>
      <c r="X60" s="59">
        <v>30000</v>
      </c>
      <c r="Y60" s="59">
        <v>30000</v>
      </c>
      <c r="Z60" s="59">
        <v>30000</v>
      </c>
    </row>
    <row r="61" spans="1:26" x14ac:dyDescent="0.2">
      <c r="A61" s="47" t="s">
        <v>116</v>
      </c>
      <c r="B61" s="58">
        <v>0.04</v>
      </c>
      <c r="C61" s="59">
        <f>C31*B61</f>
        <v>8581.44</v>
      </c>
      <c r="D61" s="59">
        <f>D31*B61</f>
        <v>10332.4</v>
      </c>
      <c r="E61" s="59">
        <f>E31*B61</f>
        <v>11658.24</v>
      </c>
      <c r="F61" s="59">
        <f>F31*$B$61</f>
        <v>13289.2</v>
      </c>
      <c r="G61" s="59">
        <f>G31*$B$61</f>
        <v>15131.76</v>
      </c>
      <c r="H61" s="59">
        <f>H31*$B$61</f>
        <v>16010.24</v>
      </c>
      <c r="I61" s="59">
        <f>I31*$B$61</f>
        <v>16802.72</v>
      </c>
      <c r="J61" s="59">
        <f t="shared" ref="J61:Z61" si="43">J31*$B$61</f>
        <v>16491.2</v>
      </c>
      <c r="K61" s="59">
        <f t="shared" si="43"/>
        <v>18068.560000000001</v>
      </c>
      <c r="L61" s="59">
        <f t="shared" si="43"/>
        <v>16717.52</v>
      </c>
      <c r="M61" s="59">
        <f t="shared" si="43"/>
        <v>17465.68</v>
      </c>
      <c r="N61" s="59">
        <f t="shared" si="43"/>
        <v>16200</v>
      </c>
      <c r="O61" s="59">
        <f t="shared" si="43"/>
        <v>16383.68</v>
      </c>
      <c r="P61" s="59">
        <f t="shared" si="43"/>
        <v>18293.920000000002</v>
      </c>
      <c r="Q61" s="59">
        <f t="shared" si="43"/>
        <v>17884.560000000001</v>
      </c>
      <c r="R61" s="59">
        <f t="shared" si="43"/>
        <v>17636.96</v>
      </c>
      <c r="S61" s="59">
        <f t="shared" si="43"/>
        <v>17395.84</v>
      </c>
      <c r="T61" s="59">
        <f t="shared" si="43"/>
        <v>17088.32</v>
      </c>
      <c r="U61" s="59">
        <f t="shared" si="43"/>
        <v>15377.2</v>
      </c>
      <c r="V61" s="59">
        <f t="shared" si="43"/>
        <v>16591.2</v>
      </c>
      <c r="W61" s="59">
        <f t="shared" si="43"/>
        <v>18038</v>
      </c>
      <c r="X61" s="59">
        <f t="shared" si="43"/>
        <v>15916.640000000001</v>
      </c>
      <c r="Y61" s="59">
        <f t="shared" si="43"/>
        <v>17443.52</v>
      </c>
      <c r="Z61" s="59">
        <f t="shared" si="43"/>
        <v>18493.28</v>
      </c>
    </row>
    <row r="62" spans="1:26" x14ac:dyDescent="0.2">
      <c r="A62" s="47" t="s">
        <v>123</v>
      </c>
      <c r="B62" s="58">
        <v>0.01</v>
      </c>
      <c r="C62" s="59">
        <f>C31*B62</f>
        <v>2145.36</v>
      </c>
      <c r="D62" s="59">
        <f>D31*B62</f>
        <v>2583.1</v>
      </c>
      <c r="E62" s="59">
        <f>E31*B62</f>
        <v>2914.56</v>
      </c>
      <c r="F62" s="59">
        <f>F31*$B$62</f>
        <v>3322.3</v>
      </c>
      <c r="G62" s="59">
        <f>G31*$B$62</f>
        <v>3782.94</v>
      </c>
      <c r="H62" s="59">
        <f>H31*$B$62</f>
        <v>4002.56</v>
      </c>
      <c r="I62" s="59">
        <f>I31*$B$62</f>
        <v>4200.68</v>
      </c>
      <c r="J62" s="59">
        <f t="shared" ref="J62:Z62" si="44">J31*$B$62</f>
        <v>4122.8</v>
      </c>
      <c r="K62" s="59">
        <f t="shared" si="44"/>
        <v>4517.1400000000003</v>
      </c>
      <c r="L62" s="59">
        <f t="shared" si="44"/>
        <v>4179.38</v>
      </c>
      <c r="M62" s="59">
        <f t="shared" si="44"/>
        <v>4366.42</v>
      </c>
      <c r="N62" s="59">
        <f t="shared" si="44"/>
        <v>4050</v>
      </c>
      <c r="O62" s="59">
        <f t="shared" si="44"/>
        <v>4095.92</v>
      </c>
      <c r="P62" s="59">
        <f t="shared" si="44"/>
        <v>4573.4800000000005</v>
      </c>
      <c r="Q62" s="59">
        <f t="shared" si="44"/>
        <v>4471.1400000000003</v>
      </c>
      <c r="R62" s="59">
        <f t="shared" si="44"/>
        <v>4409.24</v>
      </c>
      <c r="S62" s="59">
        <f t="shared" si="44"/>
        <v>4348.96</v>
      </c>
      <c r="T62" s="59">
        <f t="shared" si="44"/>
        <v>4272.08</v>
      </c>
      <c r="U62" s="59">
        <f t="shared" si="44"/>
        <v>3844.3</v>
      </c>
      <c r="V62" s="59">
        <f t="shared" si="44"/>
        <v>4147.8</v>
      </c>
      <c r="W62" s="59">
        <f t="shared" si="44"/>
        <v>4509.5</v>
      </c>
      <c r="X62" s="59">
        <f t="shared" si="44"/>
        <v>3979.1600000000003</v>
      </c>
      <c r="Y62" s="59">
        <f t="shared" si="44"/>
        <v>4360.88</v>
      </c>
      <c r="Z62" s="59">
        <f t="shared" si="44"/>
        <v>4623.32</v>
      </c>
    </row>
    <row r="63" spans="1:26" x14ac:dyDescent="0.2">
      <c r="A63" s="47" t="s">
        <v>117</v>
      </c>
      <c r="B63" s="58">
        <v>0.01</v>
      </c>
      <c r="C63" s="59">
        <f>C31*B63</f>
        <v>2145.36</v>
      </c>
      <c r="D63" s="59">
        <f>D31*B63</f>
        <v>2583.1</v>
      </c>
      <c r="E63" s="59">
        <f>E31*B63</f>
        <v>2914.56</v>
      </c>
      <c r="F63" s="59">
        <f>F31*$B$63</f>
        <v>3322.3</v>
      </c>
      <c r="G63" s="59">
        <f>G31*$B$63</f>
        <v>3782.94</v>
      </c>
      <c r="H63" s="59">
        <f>H31*$B$63</f>
        <v>4002.56</v>
      </c>
      <c r="I63" s="59">
        <f>I31*$B$63</f>
        <v>4200.68</v>
      </c>
      <c r="J63" s="59">
        <f t="shared" ref="J63:Z63" si="45">J31*$B$63</f>
        <v>4122.8</v>
      </c>
      <c r="K63" s="59">
        <f t="shared" si="45"/>
        <v>4517.1400000000003</v>
      </c>
      <c r="L63" s="59">
        <f t="shared" si="45"/>
        <v>4179.38</v>
      </c>
      <c r="M63" s="59">
        <f t="shared" si="45"/>
        <v>4366.42</v>
      </c>
      <c r="N63" s="59">
        <f t="shared" si="45"/>
        <v>4050</v>
      </c>
      <c r="O63" s="59">
        <f t="shared" si="45"/>
        <v>4095.92</v>
      </c>
      <c r="P63" s="59">
        <f t="shared" si="45"/>
        <v>4573.4800000000005</v>
      </c>
      <c r="Q63" s="59">
        <f t="shared" si="45"/>
        <v>4471.1400000000003</v>
      </c>
      <c r="R63" s="59">
        <f t="shared" si="45"/>
        <v>4409.24</v>
      </c>
      <c r="S63" s="59">
        <f t="shared" si="45"/>
        <v>4348.96</v>
      </c>
      <c r="T63" s="59">
        <f t="shared" si="45"/>
        <v>4272.08</v>
      </c>
      <c r="U63" s="59">
        <f t="shared" si="45"/>
        <v>3844.3</v>
      </c>
      <c r="V63" s="59">
        <f t="shared" si="45"/>
        <v>4147.8</v>
      </c>
      <c r="W63" s="59">
        <f t="shared" si="45"/>
        <v>4509.5</v>
      </c>
      <c r="X63" s="59">
        <f t="shared" si="45"/>
        <v>3979.1600000000003</v>
      </c>
      <c r="Y63" s="59">
        <f t="shared" si="45"/>
        <v>4360.88</v>
      </c>
      <c r="Z63" s="59">
        <f t="shared" si="45"/>
        <v>4623.32</v>
      </c>
    </row>
    <row r="64" spans="1:26" x14ac:dyDescent="0.2">
      <c r="A64" s="47" t="s">
        <v>118</v>
      </c>
      <c r="B64" s="58"/>
      <c r="C64" s="59"/>
      <c r="D64" s="59"/>
      <c r="E64" s="59"/>
      <c r="F64" s="59">
        <v>12000</v>
      </c>
      <c r="G64" s="59"/>
      <c r="H64" s="59"/>
      <c r="I64" s="59">
        <v>12000</v>
      </c>
      <c r="J64" s="59"/>
      <c r="K64" s="59"/>
      <c r="L64" s="59">
        <v>12000</v>
      </c>
      <c r="M64" s="59"/>
      <c r="N64" s="59"/>
      <c r="O64" s="59">
        <v>12000</v>
      </c>
      <c r="P64" s="59"/>
      <c r="Q64" s="59"/>
      <c r="R64" s="59">
        <v>12000</v>
      </c>
      <c r="S64" s="59"/>
      <c r="T64" s="59"/>
      <c r="U64" s="59">
        <v>12000</v>
      </c>
      <c r="V64" s="59"/>
      <c r="W64" s="59"/>
      <c r="X64" s="59">
        <v>12000</v>
      </c>
      <c r="Y64" s="59"/>
      <c r="Z64" s="59"/>
    </row>
    <row r="65" spans="1:26" x14ac:dyDescent="0.2">
      <c r="A65" s="47" t="s">
        <v>119</v>
      </c>
      <c r="B65" s="58">
        <v>0.03</v>
      </c>
      <c r="C65" s="59"/>
      <c r="D65" s="59"/>
      <c r="E65" s="59">
        <f>E31*$B$65</f>
        <v>8743.68</v>
      </c>
      <c r="F65" s="59">
        <f>F31*$B$65</f>
        <v>9966.9</v>
      </c>
      <c r="G65" s="59">
        <f>G31*$B$65</f>
        <v>11348.82</v>
      </c>
      <c r="H65" s="59">
        <f>H31*$B$65</f>
        <v>12007.68</v>
      </c>
      <c r="I65" s="59">
        <f>I31*$B$65</f>
        <v>12602.039999999999</v>
      </c>
      <c r="J65" s="59">
        <f t="shared" ref="J65:Z65" si="46">J31*$B$65</f>
        <v>12368.4</v>
      </c>
      <c r="K65" s="59">
        <f t="shared" si="46"/>
        <v>13551.42</v>
      </c>
      <c r="L65" s="59">
        <f t="shared" si="46"/>
        <v>12538.14</v>
      </c>
      <c r="M65" s="59">
        <f t="shared" si="46"/>
        <v>13099.26</v>
      </c>
      <c r="N65" s="59">
        <f t="shared" si="46"/>
        <v>12150</v>
      </c>
      <c r="O65" s="59">
        <f t="shared" si="46"/>
        <v>12287.76</v>
      </c>
      <c r="P65" s="59">
        <f t="shared" si="46"/>
        <v>13720.439999999999</v>
      </c>
      <c r="Q65" s="59">
        <f t="shared" si="46"/>
        <v>13413.42</v>
      </c>
      <c r="R65" s="59">
        <f t="shared" si="46"/>
        <v>13227.72</v>
      </c>
      <c r="S65" s="59">
        <f t="shared" si="46"/>
        <v>13046.88</v>
      </c>
      <c r="T65" s="59">
        <f t="shared" si="46"/>
        <v>12816.24</v>
      </c>
      <c r="U65" s="59">
        <f t="shared" si="46"/>
        <v>11532.9</v>
      </c>
      <c r="V65" s="59">
        <f t="shared" si="46"/>
        <v>12443.4</v>
      </c>
      <c r="W65" s="59">
        <f t="shared" si="46"/>
        <v>13528.5</v>
      </c>
      <c r="X65" s="59">
        <f t="shared" si="46"/>
        <v>11937.48</v>
      </c>
      <c r="Y65" s="59">
        <f t="shared" si="46"/>
        <v>13082.64</v>
      </c>
      <c r="Z65" s="59">
        <f t="shared" si="46"/>
        <v>13869.96</v>
      </c>
    </row>
    <row r="66" spans="1:26" s="29" customFormat="1" x14ac:dyDescent="0.2">
      <c r="A66" s="30" t="s">
        <v>79</v>
      </c>
      <c r="B66" s="32"/>
      <c r="C66" s="39">
        <f t="shared" ref="C66:I66" si="47">C31-C49</f>
        <v>25518.640000000014</v>
      </c>
      <c r="D66" s="39">
        <f t="shared" si="47"/>
        <v>46944.399999999994</v>
      </c>
      <c r="E66" s="39">
        <f t="shared" si="47"/>
        <v>52892.160000000003</v>
      </c>
      <c r="F66" s="39">
        <f t="shared" si="47"/>
        <v>57274.700000000012</v>
      </c>
      <c r="G66" s="39">
        <f t="shared" si="47"/>
        <v>93037.739999999991</v>
      </c>
      <c r="H66" s="39">
        <f t="shared" si="47"/>
        <v>102667.76000000001</v>
      </c>
      <c r="I66" s="39">
        <f t="shared" si="47"/>
        <v>95330.280000000028</v>
      </c>
      <c r="J66" s="39">
        <f t="shared" ref="J66:Z66" si="48">J31-J49</f>
        <v>107875.40000000002</v>
      </c>
      <c r="K66" s="39">
        <f t="shared" si="48"/>
        <v>123662.34000000003</v>
      </c>
      <c r="L66" s="39">
        <f t="shared" si="48"/>
        <v>91727.38</v>
      </c>
      <c r="M66" s="39">
        <f t="shared" si="48"/>
        <v>117362.81999999995</v>
      </c>
      <c r="N66" s="39">
        <f t="shared" si="48"/>
        <v>104296.79999999999</v>
      </c>
      <c r="O66" s="39">
        <f t="shared" si="48"/>
        <v>89420.319999999949</v>
      </c>
      <c r="P66" s="39">
        <f t="shared" si="48"/>
        <v>126589.08000000002</v>
      </c>
      <c r="Q66" s="39">
        <f t="shared" si="48"/>
        <v>122814.94</v>
      </c>
      <c r="R66" s="39">
        <f t="shared" si="48"/>
        <v>104164.04000000004</v>
      </c>
      <c r="S66" s="39">
        <f t="shared" si="48"/>
        <v>114691.36000000004</v>
      </c>
      <c r="T66" s="39">
        <f t="shared" si="48"/>
        <v>115923.28000000003</v>
      </c>
      <c r="U66" s="39">
        <f t="shared" si="48"/>
        <v>79339.5</v>
      </c>
      <c r="V66" s="39">
        <f t="shared" si="48"/>
        <v>109322.40000000002</v>
      </c>
      <c r="W66" s="39">
        <f t="shared" si="48"/>
        <v>122766.29999999999</v>
      </c>
      <c r="X66" s="39">
        <f t="shared" si="48"/>
        <v>84833.56</v>
      </c>
      <c r="Y66" s="39">
        <f t="shared" si="48"/>
        <v>116516.08000000002</v>
      </c>
      <c r="Z66" s="39">
        <f t="shared" si="48"/>
        <v>126534.71999999991</v>
      </c>
    </row>
    <row r="67" spans="1:26" x14ac:dyDescent="0.2">
      <c r="A67" s="47" t="s">
        <v>80</v>
      </c>
      <c r="B67" s="61"/>
      <c r="C67" s="62">
        <f t="shared" ref="C67:I67" si="49">C66/C31</f>
        <v>0.11894805533803191</v>
      </c>
      <c r="D67" s="62">
        <f t="shared" si="49"/>
        <v>0.18173667298981841</v>
      </c>
      <c r="E67" s="62">
        <f t="shared" si="49"/>
        <v>0.18147562582345192</v>
      </c>
      <c r="F67" s="62">
        <f t="shared" si="49"/>
        <v>0.17239472654486354</v>
      </c>
      <c r="G67" s="62">
        <f t="shared" si="49"/>
        <v>0.24594030040127518</v>
      </c>
      <c r="H67" s="62">
        <f t="shared" si="49"/>
        <v>0.25650523664854497</v>
      </c>
      <c r="I67" s="62">
        <f t="shared" si="49"/>
        <v>0.2269401144576593</v>
      </c>
      <c r="J67" s="62">
        <f t="shared" ref="J67:Z67" si="50">J66/J31</f>
        <v>0.26165567090326969</v>
      </c>
      <c r="K67" s="62">
        <f t="shared" si="50"/>
        <v>0.27376246917297231</v>
      </c>
      <c r="L67" s="62">
        <f t="shared" si="50"/>
        <v>0.21947604668635062</v>
      </c>
      <c r="M67" s="62">
        <f t="shared" si="50"/>
        <v>0.26878500006870604</v>
      </c>
      <c r="N67" s="62">
        <f t="shared" si="50"/>
        <v>0.25752296296296295</v>
      </c>
      <c r="O67" s="62">
        <f t="shared" si="50"/>
        <v>0.21831559210140811</v>
      </c>
      <c r="P67" s="62">
        <f t="shared" si="50"/>
        <v>0.27678940325528922</v>
      </c>
      <c r="Q67" s="62">
        <f t="shared" si="50"/>
        <v>0.27468372719261752</v>
      </c>
      <c r="R67" s="62">
        <f t="shared" si="50"/>
        <v>0.23624034981085185</v>
      </c>
      <c r="S67" s="62">
        <f t="shared" si="50"/>
        <v>0.26372134947205778</v>
      </c>
      <c r="T67" s="62">
        <f t="shared" si="50"/>
        <v>0.27135091103162867</v>
      </c>
      <c r="U67" s="62">
        <f t="shared" si="50"/>
        <v>0.2063821762089327</v>
      </c>
      <c r="V67" s="62">
        <f t="shared" si="50"/>
        <v>0.26356719224649217</v>
      </c>
      <c r="W67" s="62">
        <f t="shared" si="50"/>
        <v>0.27223927264663483</v>
      </c>
      <c r="X67" s="62">
        <f t="shared" si="50"/>
        <v>0.21319464409573879</v>
      </c>
      <c r="Y67" s="62">
        <f t="shared" si="50"/>
        <v>0.26718478839133392</v>
      </c>
      <c r="Z67" s="62">
        <f t="shared" si="50"/>
        <v>0.27368799910021352</v>
      </c>
    </row>
    <row r="68" spans="1:26" x14ac:dyDescent="0.2">
      <c r="A68" s="47" t="s">
        <v>81</v>
      </c>
      <c r="B68" s="61"/>
      <c r="C68" s="63">
        <f>C66</f>
        <v>25518.640000000014</v>
      </c>
      <c r="D68" s="63">
        <f>C68+D66</f>
        <v>72463.040000000008</v>
      </c>
      <c r="E68" s="63">
        <f>D68+E66</f>
        <v>125355.20000000001</v>
      </c>
      <c r="F68" s="64">
        <f t="shared" ref="F68" si="51">E68+F66</f>
        <v>182629.90000000002</v>
      </c>
      <c r="G68" s="64">
        <f>F68+G66</f>
        <v>275667.64</v>
      </c>
      <c r="H68" s="64">
        <f>G68+H66</f>
        <v>378335.4</v>
      </c>
      <c r="I68" s="64">
        <f>H68+I66</f>
        <v>473665.68000000005</v>
      </c>
      <c r="J68" s="64">
        <f t="shared" ref="J68:Z68" si="52">I68+J66</f>
        <v>581541.08000000007</v>
      </c>
      <c r="K68" s="64">
        <f t="shared" si="52"/>
        <v>705203.42000000016</v>
      </c>
      <c r="L68" s="64">
        <f t="shared" si="52"/>
        <v>796930.80000000016</v>
      </c>
      <c r="M68" s="64">
        <f t="shared" si="52"/>
        <v>914293.62000000011</v>
      </c>
      <c r="N68" s="64">
        <f t="shared" si="52"/>
        <v>1018590.4200000002</v>
      </c>
      <c r="O68" s="64">
        <f t="shared" si="52"/>
        <v>1108010.7400000002</v>
      </c>
      <c r="P68" s="64">
        <f t="shared" si="52"/>
        <v>1234599.8200000003</v>
      </c>
      <c r="Q68" s="64">
        <f t="shared" si="52"/>
        <v>1357414.7600000002</v>
      </c>
      <c r="R68" s="64">
        <f t="shared" si="52"/>
        <v>1461578.8000000003</v>
      </c>
      <c r="S68" s="64">
        <f t="shared" si="52"/>
        <v>1576270.1600000004</v>
      </c>
      <c r="T68" s="64">
        <f t="shared" si="52"/>
        <v>1692193.4400000004</v>
      </c>
      <c r="U68" s="64">
        <f t="shared" si="52"/>
        <v>1771532.9400000004</v>
      </c>
      <c r="V68" s="64">
        <f t="shared" si="52"/>
        <v>1880855.3400000003</v>
      </c>
      <c r="W68" s="64">
        <f t="shared" si="52"/>
        <v>2003621.6400000004</v>
      </c>
      <c r="X68" s="64">
        <f t="shared" si="52"/>
        <v>2088455.2000000004</v>
      </c>
      <c r="Y68" s="64">
        <f t="shared" si="52"/>
        <v>2204971.2800000003</v>
      </c>
      <c r="Z68" s="64">
        <f t="shared" si="52"/>
        <v>2331506</v>
      </c>
    </row>
    <row r="69" spans="1:26" x14ac:dyDescent="0.2">
      <c r="A69" s="65" t="s">
        <v>82</v>
      </c>
      <c r="B69" s="66"/>
      <c r="C69" s="63">
        <f t="shared" ref="C69:Z69" si="53">-$B$14+C68</f>
        <v>-803667.36</v>
      </c>
      <c r="D69" s="63">
        <f t="shared" si="53"/>
        <v>-756722.96</v>
      </c>
      <c r="E69" s="63">
        <f t="shared" si="53"/>
        <v>-703830.8</v>
      </c>
      <c r="F69" s="63">
        <f t="shared" si="53"/>
        <v>-646556.1</v>
      </c>
      <c r="G69" s="63">
        <f t="shared" si="53"/>
        <v>-553518.36</v>
      </c>
      <c r="H69" s="63">
        <f t="shared" si="53"/>
        <v>-450850.6</v>
      </c>
      <c r="I69" s="63">
        <f t="shared" si="53"/>
        <v>-355520.31999999995</v>
      </c>
      <c r="J69" s="63">
        <f t="shared" si="53"/>
        <v>-247644.91999999993</v>
      </c>
      <c r="K69" s="63">
        <f t="shared" si="53"/>
        <v>-123982.57999999984</v>
      </c>
      <c r="L69" s="63">
        <f t="shared" si="53"/>
        <v>-32255.199999999837</v>
      </c>
      <c r="M69" s="63">
        <f t="shared" si="53"/>
        <v>85107.620000000112</v>
      </c>
      <c r="N69" s="63">
        <f t="shared" si="53"/>
        <v>189404.42000000016</v>
      </c>
      <c r="O69" s="63">
        <f t="shared" si="53"/>
        <v>278824.74000000022</v>
      </c>
      <c r="P69" s="63">
        <f t="shared" si="53"/>
        <v>405413.8200000003</v>
      </c>
      <c r="Q69" s="63">
        <f t="shared" si="53"/>
        <v>528228.76000000024</v>
      </c>
      <c r="R69" s="63">
        <f t="shared" si="53"/>
        <v>632392.80000000028</v>
      </c>
      <c r="S69" s="63">
        <f t="shared" si="53"/>
        <v>747084.16000000038</v>
      </c>
      <c r="T69" s="63">
        <f t="shared" si="53"/>
        <v>863007.44000000041</v>
      </c>
      <c r="U69" s="63">
        <f t="shared" si="53"/>
        <v>942346.94000000041</v>
      </c>
      <c r="V69" s="63">
        <f t="shared" si="53"/>
        <v>1051669.3400000003</v>
      </c>
      <c r="W69" s="63">
        <f t="shared" si="53"/>
        <v>1174435.6400000004</v>
      </c>
      <c r="X69" s="63">
        <f t="shared" si="53"/>
        <v>1259269.2000000004</v>
      </c>
      <c r="Y69" s="63">
        <f t="shared" si="53"/>
        <v>1375785.2800000003</v>
      </c>
      <c r="Z69" s="63">
        <f t="shared" si="53"/>
        <v>1502320</v>
      </c>
    </row>
    <row r="70" spans="1:26" x14ac:dyDescent="0.2">
      <c r="A70" s="54" t="s">
        <v>83</v>
      </c>
      <c r="B70" s="67">
        <f>Z68</f>
        <v>2331506</v>
      </c>
      <c r="C70" s="68"/>
      <c r="D70" s="69"/>
      <c r="E70" s="69"/>
      <c r="F70" s="69"/>
      <c r="G70" s="69"/>
      <c r="H70" s="69"/>
      <c r="I70" s="69"/>
      <c r="J70" s="69"/>
      <c r="K70" s="69"/>
      <c r="L70" s="69"/>
      <c r="M70" s="68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spans="1:26" ht="25.5" x14ac:dyDescent="0.2">
      <c r="A71" s="54" t="s">
        <v>84</v>
      </c>
      <c r="B71" s="70">
        <f>Z69/B14</f>
        <v>1.8118009710728353</v>
      </c>
      <c r="C71" s="68"/>
      <c r="D71" s="69"/>
      <c r="E71" s="69"/>
      <c r="F71" s="69"/>
      <c r="G71" s="69"/>
      <c r="H71" s="69"/>
      <c r="I71" s="69"/>
      <c r="J71" s="69"/>
      <c r="K71" s="69"/>
      <c r="L71" s="69"/>
      <c r="M71" s="68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</sheetData>
  <sheetProtection formatCells="0" formatColumns="0" formatRows="0" insertColumns="0" insertRows="0" insertHyperlinks="0" deleteColumns="0" deleteRows="0" sort="0" autoFilter="0" pivotTables="0"/>
  <protectedRanges>
    <protectedRange sqref="E3:E10 B4:B10" name="Диапазон1_2_13"/>
  </protectedRanges>
  <mergeCells count="12">
    <mergeCell ref="A1:E1"/>
    <mergeCell ref="A13:B13"/>
    <mergeCell ref="C6:D6"/>
    <mergeCell ref="C7:D7"/>
    <mergeCell ref="C9:D9"/>
    <mergeCell ref="C10:D10"/>
    <mergeCell ref="C3:E3"/>
    <mergeCell ref="C8:E8"/>
    <mergeCell ref="A2:E2"/>
    <mergeCell ref="A3:B3"/>
    <mergeCell ref="C4:D4"/>
    <mergeCell ref="C5:D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Введите свои данные</vt:lpstr>
      <vt:lpstr>Инвестиции на открытие</vt:lpstr>
      <vt:lpstr>Расходы и доходы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2017-06-28T08:03:18Z</dcterms:modified>
</cp:coreProperties>
</file>