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'SegEnds_NonXtal_BW#'!$A$1:$AJ$409</definedName>
    <definedName name="_xlnm._FilterDatabase" localSheetId="0" hidden="1">'SegEnds_Xtal_Prot#'!$A$1:$CT$248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'SegEnds_NonXtal_BW#'!$A$1:$AJ$409</definedName>
    <definedName name="Z_3E3401AF_8459_8641_BD70_AD04F80E86ED_.wvu.FilterData" localSheetId="0" hidden="1">'SegEnds_Xtal_Prot#'!$A$1:$CT$248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2" l="1"/>
  <c r="H238" i="4"/>
  <c r="H30" i="2"/>
  <c r="S9" i="2"/>
  <c r="B245" i="4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J13" i="1"/>
  <c r="A13" i="1"/>
  <c r="D13" i="1"/>
  <c r="F13" i="1"/>
  <c r="H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AF4" i="2"/>
  <c r="AG4" i="2"/>
  <c r="AH4" i="2"/>
  <c r="AI4" i="2"/>
  <c r="AJ4" i="2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F50" i="1"/>
  <c r="A50" i="1"/>
  <c r="D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T47" i="1"/>
  <c r="A47" i="1"/>
  <c r="D47" i="1"/>
  <c r="F47" i="1"/>
  <c r="H47" i="1"/>
  <c r="J47" i="1"/>
  <c r="L47" i="1"/>
  <c r="N47" i="1"/>
  <c r="P47" i="1"/>
  <c r="R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130" i="4"/>
  <c r="N22" i="2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228" i="4"/>
  <c r="B20" i="4"/>
  <c r="N20" i="4"/>
  <c r="B110" i="4"/>
  <c r="N110" i="4"/>
  <c r="O41" i="2"/>
  <c r="O214" i="4"/>
  <c r="A208" i="1"/>
  <c r="O54" i="2"/>
  <c r="O73" i="4"/>
  <c r="O3" i="2"/>
  <c r="O20" i="4"/>
  <c r="N54" i="2"/>
  <c r="N73" i="4"/>
  <c r="H54" i="2"/>
  <c r="H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72" i="4"/>
  <c r="C72" i="4"/>
  <c r="C54" i="2"/>
  <c r="C73" i="4"/>
  <c r="C20" i="5"/>
  <c r="D53" i="2"/>
  <c r="D72" i="4"/>
  <c r="D54" i="2"/>
  <c r="D73" i="4"/>
  <c r="E20" i="5"/>
  <c r="F20" i="5"/>
  <c r="H20" i="5"/>
  <c r="I20" i="5"/>
  <c r="H53" i="2"/>
  <c r="H72" i="4"/>
  <c r="K20" i="5"/>
  <c r="L20" i="5"/>
  <c r="N20" i="5"/>
  <c r="O20" i="5"/>
  <c r="L53" i="2"/>
  <c r="L72" i="4"/>
  <c r="L54" i="2"/>
  <c r="L73" i="4"/>
  <c r="Q20" i="5"/>
  <c r="M53" i="2"/>
  <c r="M72" i="4"/>
  <c r="M54" i="2"/>
  <c r="M73" i="4"/>
  <c r="R20" i="5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72" i="4" a="1"/>
  <c r="T72" i="4"/>
  <c r="AH73" i="4"/>
  <c r="T73" i="4" a="1"/>
  <c r="T73" i="4"/>
  <c r="AC20" i="5"/>
  <c r="H13" i="3"/>
  <c r="U72" i="4" a="1"/>
  <c r="U72" i="4"/>
  <c r="H30" i="3"/>
  <c r="H6" i="3"/>
  <c r="U73" i="4" a="1"/>
  <c r="U73" i="4"/>
  <c r="AD20" i="5"/>
  <c r="AF20" i="5"/>
  <c r="AG20" i="5"/>
  <c r="X53" i="2"/>
  <c r="X72" i="4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J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X209" i="1"/>
  <c r="J208" i="1"/>
  <c r="D208" i="1"/>
  <c r="F208" i="1"/>
  <c r="H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D347" i="9"/>
  <c r="E347" i="9"/>
  <c r="F347" i="9"/>
  <c r="G347" i="9"/>
  <c r="C123" i="7"/>
  <c r="D123" i="7"/>
  <c r="E123" i="7"/>
  <c r="A209" i="1"/>
  <c r="D209" i="1"/>
  <c r="F209" i="1"/>
  <c r="H209" i="1"/>
  <c r="J209" i="1"/>
  <c r="L209" i="1"/>
  <c r="N209" i="1"/>
  <c r="P209" i="1"/>
  <c r="R209" i="1"/>
  <c r="T209" i="1"/>
  <c r="V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V191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X29" i="2"/>
  <c r="B74" i="4"/>
  <c r="X74" i="4"/>
  <c r="N29" i="2"/>
  <c r="N74" i="4"/>
  <c r="X30" i="2"/>
  <c r="B253" i="4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X16" i="2"/>
  <c r="H14" i="2"/>
  <c r="B53" i="4"/>
  <c r="O53" i="4"/>
  <c r="N28" i="2"/>
  <c r="N53" i="4"/>
  <c r="Y51" i="2"/>
  <c r="B352" i="4"/>
  <c r="Y352" i="4"/>
  <c r="AJ355" i="5"/>
  <c r="Q30" i="2"/>
  <c r="B241" i="4"/>
  <c r="Q241" i="4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A128" i="1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H35" i="3"/>
  <c r="H37" i="3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J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H27" i="3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J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H33" i="3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H31" i="3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S8" i="2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H11" i="3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H19" i="3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H24" i="3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44" i="2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H29" i="3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24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H15" i="3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H32" i="3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H34" i="3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H28" i="3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H36" i="3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H40" i="3"/>
  <c r="U96" i="4" a="1"/>
  <c r="U96" i="4"/>
  <c r="AD57" i="5"/>
  <c r="X12" i="2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H38" i="3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X100" i="4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8" i="2"/>
  <c r="D110" i="4"/>
  <c r="E72" i="5"/>
  <c r="H18" i="2"/>
  <c r="H110" i="4"/>
  <c r="K72" i="5"/>
  <c r="L18" i="2"/>
  <c r="L110" i="4"/>
  <c r="Q72" i="5"/>
  <c r="M18" i="2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18" i="2"/>
  <c r="E32" i="2"/>
  <c r="E116" i="4"/>
  <c r="F77" i="5"/>
  <c r="F18" i="2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H9" i="3"/>
  <c r="U116" i="4" a="1"/>
  <c r="U116" i="4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B117" i="4"/>
  <c r="C117" i="4"/>
  <c r="C78" i="5"/>
  <c r="D117" i="4"/>
  <c r="E78" i="5"/>
  <c r="E117" i="4"/>
  <c r="F78" i="5"/>
  <c r="F117" i="4"/>
  <c r="H78" i="5"/>
  <c r="I78" i="5"/>
  <c r="H117" i="4"/>
  <c r="K78" i="5"/>
  <c r="L117" i="4"/>
  <c r="Q78" i="5"/>
  <c r="M117" i="4"/>
  <c r="R78" i="5"/>
  <c r="T78" i="5"/>
  <c r="U78" i="5"/>
  <c r="P117" i="4"/>
  <c r="W78" i="5"/>
  <c r="Q117" i="4"/>
  <c r="X78" i="5"/>
  <c r="S117" i="4"/>
  <c r="AA78" i="5"/>
  <c r="AH117" i="4"/>
  <c r="T117" i="4" a="1"/>
  <c r="T117" i="4"/>
  <c r="AC78" i="5"/>
  <c r="U117" i="4" a="1"/>
  <c r="U117" i="4"/>
  <c r="AD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U118" i="4" a="1"/>
  <c r="U118" i="4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AH33" i="4"/>
  <c r="T33" i="4" a="1"/>
  <c r="T33" i="4"/>
  <c r="AC94" i="5"/>
  <c r="U33" i="4" a="1"/>
  <c r="U33" i="4"/>
  <c r="AD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H26" i="3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H10" i="3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X131" i="4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51" i="4"/>
  <c r="F139" i="5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35" i="2"/>
  <c r="E273" i="4"/>
  <c r="F152" i="5"/>
  <c r="F34" i="2"/>
  <c r="F35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H39" i="3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X61" i="4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X180" i="4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X181" i="4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X11" i="4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42" i="2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X225" i="4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X276" i="4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X281" i="4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B238" i="4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L253" i="5"/>
  <c r="N253" i="5"/>
  <c r="O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X4" i="4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S51" i="2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B348" i="4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S348" i="4"/>
  <c r="AA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AA352" i="5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AA355" i="5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20" i="2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BB16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6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AZ111" i="1"/>
  <c r="BA111" i="1"/>
  <c r="BB111" i="1"/>
  <c r="CT111" i="1"/>
  <c r="AH302" i="4"/>
  <c r="H7" i="3"/>
  <c r="H8" i="3"/>
  <c r="H12" i="3"/>
  <c r="H14" i="3"/>
  <c r="H16" i="3"/>
  <c r="H17" i="3"/>
  <c r="H18" i="3"/>
  <c r="H20" i="3"/>
  <c r="H21" i="3"/>
  <c r="H22" i="3"/>
  <c r="H23" i="3"/>
  <c r="H25" i="3"/>
  <c r="AH307" i="4"/>
  <c r="A18" i="3"/>
  <c r="B18" i="3"/>
  <c r="C18" i="3"/>
  <c r="E18" i="3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J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8" i="3"/>
  <c r="B28" i="3"/>
  <c r="C28" i="3"/>
  <c r="U23" i="2"/>
  <c r="T23" i="2"/>
  <c r="E28" i="3"/>
  <c r="A17" i="3"/>
  <c r="B17" i="3"/>
  <c r="C17" i="3"/>
  <c r="E17" i="3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13" i="3"/>
  <c r="C13" i="3"/>
  <c r="E13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S5" i="2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N43" i="4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0" i="1"/>
  <c r="BA59" i="1"/>
  <c r="BA89" i="1"/>
  <c r="BA87" i="1"/>
  <c r="BA90" i="1"/>
  <c r="BA91" i="1"/>
  <c r="BA92" i="1"/>
  <c r="BA93" i="1"/>
  <c r="BA162" i="1"/>
  <c r="BA171" i="1"/>
  <c r="BA172" i="1"/>
  <c r="BA213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5" i="1"/>
  <c r="BA56" i="1"/>
  <c r="BA57" i="1"/>
  <c r="BA58" i="1"/>
  <c r="BA61" i="1"/>
  <c r="BA62" i="1"/>
  <c r="BA63" i="1"/>
  <c r="BA64" i="1"/>
  <c r="BA65" i="1"/>
  <c r="BA66" i="1"/>
  <c r="BA67" i="1"/>
  <c r="BA68" i="1"/>
  <c r="BA69" i="1"/>
  <c r="BA70" i="1"/>
  <c r="BA73" i="1"/>
  <c r="BA74" i="1"/>
  <c r="BA76" i="1"/>
  <c r="BA77" i="1"/>
  <c r="BA72" i="1"/>
  <c r="BA79" i="1"/>
  <c r="BA75" i="1"/>
  <c r="BA71" i="1"/>
  <c r="BA80" i="1"/>
  <c r="BA78" i="1"/>
  <c r="BA81" i="1"/>
  <c r="BA95" i="1"/>
  <c r="BA88" i="1"/>
  <c r="BA82" i="1"/>
  <c r="BA94" i="1"/>
  <c r="BA83" i="1"/>
  <c r="BA84" i="1"/>
  <c r="BA85" i="1"/>
  <c r="BA86" i="1"/>
  <c r="BA97" i="1"/>
  <c r="BA99" i="1"/>
  <c r="BA100" i="1"/>
  <c r="BA98" i="1"/>
  <c r="BA107" i="1"/>
  <c r="BA108" i="1"/>
  <c r="BA109" i="1"/>
  <c r="BA110" i="1"/>
  <c r="BA113" i="1"/>
  <c r="BA115" i="1"/>
  <c r="BA116" i="1"/>
  <c r="BA117" i="1"/>
  <c r="BA217" i="1"/>
  <c r="BA221" i="1"/>
  <c r="BA220" i="1"/>
  <c r="BA219" i="1"/>
  <c r="BA218" i="1"/>
  <c r="BA120" i="1"/>
  <c r="BA121" i="1"/>
  <c r="BA123" i="1"/>
  <c r="BA122" i="1"/>
  <c r="BA126" i="1"/>
  <c r="BA127" i="1"/>
  <c r="BA133" i="1"/>
  <c r="BA132" i="1"/>
  <c r="BA131" i="1"/>
  <c r="BA136" i="1"/>
  <c r="BA137" i="1"/>
  <c r="BA222" i="1"/>
  <c r="BA224" i="1"/>
  <c r="BA223" i="1"/>
  <c r="BA225" i="1"/>
  <c r="BA235" i="1"/>
  <c r="BA236" i="1"/>
  <c r="BA237" i="1"/>
  <c r="BA238" i="1"/>
  <c r="BA239" i="1"/>
  <c r="BA240" i="1"/>
  <c r="BA140" i="1"/>
  <c r="BA141" i="1"/>
  <c r="BA142" i="1"/>
  <c r="BA143" i="1"/>
  <c r="BA144" i="1"/>
  <c r="BA145" i="1"/>
  <c r="BA146" i="1"/>
  <c r="BA147" i="1"/>
  <c r="BA150" i="1"/>
  <c r="BA149" i="1"/>
  <c r="BA148" i="1"/>
  <c r="BA152" i="1"/>
  <c r="BA153" i="1"/>
  <c r="BA154" i="1"/>
  <c r="BA155" i="1"/>
  <c r="BA156" i="1"/>
  <c r="BA157" i="1"/>
  <c r="BA158" i="1"/>
  <c r="BA160" i="1"/>
  <c r="BA161" i="1"/>
  <c r="BA163" i="1"/>
  <c r="BA165" i="1"/>
  <c r="BA164" i="1"/>
  <c r="BA166" i="1"/>
  <c r="BA167" i="1"/>
  <c r="BA174" i="1"/>
  <c r="BA175" i="1"/>
  <c r="BA176" i="1"/>
  <c r="BA168" i="1"/>
  <c r="BA169" i="1"/>
  <c r="BA180" i="1"/>
  <c r="BA181" i="1"/>
  <c r="BA184" i="1"/>
  <c r="BA185" i="1"/>
  <c r="BA186" i="1"/>
  <c r="BA187" i="1"/>
  <c r="BA188" i="1"/>
  <c r="BA189" i="1"/>
  <c r="BA190" i="1"/>
  <c r="BA193" i="1"/>
  <c r="BA195" i="1"/>
  <c r="BA194" i="1"/>
  <c r="BA196" i="1"/>
  <c r="BA197" i="1"/>
  <c r="BA198" i="1"/>
  <c r="BA199" i="1"/>
  <c r="BA200" i="1"/>
  <c r="BA201" i="1"/>
  <c r="BA210" i="1"/>
  <c r="BA211" i="1"/>
  <c r="BA241" i="1"/>
  <c r="BA243" i="1"/>
  <c r="BA242" i="1"/>
  <c r="BA245" i="1"/>
  <c r="BA246" i="1"/>
  <c r="BA247" i="1"/>
  <c r="BA248" i="1"/>
  <c r="BA244" i="1"/>
  <c r="BA212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C107" i="1"/>
  <c r="BB107" i="1"/>
  <c r="AZ107" i="1"/>
  <c r="BB172" i="1"/>
  <c r="BB4" i="1"/>
  <c r="BB9" i="1"/>
  <c r="BB169" i="1"/>
  <c r="BB171" i="1"/>
  <c r="BB174" i="1"/>
  <c r="BB175" i="1"/>
  <c r="BB176" i="1"/>
  <c r="BB180" i="1"/>
  <c r="BB33" i="1"/>
  <c r="BB34" i="1"/>
  <c r="BB35" i="1"/>
  <c r="BB36" i="1"/>
  <c r="BB37" i="1"/>
  <c r="BB38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7" i="1"/>
  <c r="BB98" i="1"/>
  <c r="BB99" i="1"/>
  <c r="BB100" i="1"/>
  <c r="BB109" i="1"/>
  <c r="BB110" i="1"/>
  <c r="BB113" i="1"/>
  <c r="BB115" i="1"/>
  <c r="BB116" i="1"/>
  <c r="BB117" i="1"/>
  <c r="BB217" i="1"/>
  <c r="BB218" i="1"/>
  <c r="BB219" i="1"/>
  <c r="BB220" i="1"/>
  <c r="BB221" i="1"/>
  <c r="BB120" i="1"/>
  <c r="BB121" i="1"/>
  <c r="BB122" i="1"/>
  <c r="BB123" i="1"/>
  <c r="BB126" i="1"/>
  <c r="BB127" i="1"/>
  <c r="BB131" i="1"/>
  <c r="BB132" i="1"/>
  <c r="BB133" i="1"/>
  <c r="BB136" i="1"/>
  <c r="BB137" i="1"/>
  <c r="BB222" i="1"/>
  <c r="BB223" i="1"/>
  <c r="BB224" i="1"/>
  <c r="BB225" i="1"/>
  <c r="BB235" i="1"/>
  <c r="BB236" i="1"/>
  <c r="BB237" i="1"/>
  <c r="BB238" i="1"/>
  <c r="BB239" i="1"/>
  <c r="BB240" i="1"/>
  <c r="BB140" i="1"/>
  <c r="BB141" i="1"/>
  <c r="BB142" i="1"/>
  <c r="BB143" i="1"/>
  <c r="BB144" i="1"/>
  <c r="BB145" i="1"/>
  <c r="BB146" i="1"/>
  <c r="BB147" i="1"/>
  <c r="BB148" i="1"/>
  <c r="BB149" i="1"/>
  <c r="BB150" i="1"/>
  <c r="BB152" i="1"/>
  <c r="BB153" i="1"/>
  <c r="BB154" i="1"/>
  <c r="BB155" i="1"/>
  <c r="BB156" i="1"/>
  <c r="BB157" i="1"/>
  <c r="BB158" i="1"/>
  <c r="BB160" i="1"/>
  <c r="BB161" i="1"/>
  <c r="BB162" i="1"/>
  <c r="BB163" i="1"/>
  <c r="BB164" i="1"/>
  <c r="BB165" i="1"/>
  <c r="BB166" i="1"/>
  <c r="BB167" i="1"/>
  <c r="BB168" i="1"/>
  <c r="BB30" i="1"/>
  <c r="BB31" i="1"/>
  <c r="BB32" i="1"/>
  <c r="AZ30" i="1"/>
  <c r="AZ171" i="1"/>
  <c r="AZ172" i="1"/>
  <c r="AZ174" i="1"/>
  <c r="AZ175" i="1"/>
  <c r="AZ17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C133" i="1"/>
  <c r="BC132" i="1"/>
  <c r="BC29" i="1"/>
  <c r="BC80" i="1"/>
  <c r="BC176" i="1"/>
  <c r="BC22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3" i="1"/>
  <c r="BC113" i="1"/>
  <c r="AZ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J3" i="4"/>
  <c r="AJ4" i="4"/>
  <c r="AJ9" i="4"/>
  <c r="AJ10" i="4"/>
  <c r="AJ11" i="4"/>
  <c r="AJ7" i="4"/>
  <c r="AJ6" i="4"/>
  <c r="AJ8" i="4"/>
  <c r="AJ14" i="4"/>
  <c r="AJ15" i="4"/>
  <c r="AJ12" i="4"/>
  <c r="AJ13" i="4"/>
  <c r="AJ20" i="4"/>
  <c r="AJ21" i="4"/>
  <c r="AJ29" i="4"/>
  <c r="AJ30" i="4"/>
  <c r="AJ35" i="4"/>
  <c r="AJ18" i="4"/>
  <c r="AJ36" i="4"/>
  <c r="AJ25" i="4"/>
  <c r="AJ34" i="4"/>
  <c r="AJ37" i="4"/>
  <c r="AJ22" i="4"/>
  <c r="AJ32" i="4"/>
  <c r="AJ33" i="4"/>
  <c r="AJ31" i="4"/>
  <c r="AJ24" i="4"/>
  <c r="AJ26" i="4"/>
  <c r="AJ17" i="4"/>
  <c r="AJ28" i="4"/>
  <c r="AJ59" i="4"/>
  <c r="AJ60" i="4"/>
  <c r="AJ75" i="4"/>
  <c r="AJ85" i="4"/>
  <c r="AJ62" i="4"/>
  <c r="AJ79" i="4"/>
  <c r="AJ54" i="4"/>
  <c r="AJ55" i="4"/>
  <c r="AJ74" i="4"/>
  <c r="AJ44" i="4"/>
  <c r="AJ78" i="4"/>
  <c r="AJ46" i="4"/>
  <c r="AJ47" i="4"/>
  <c r="AJ45" i="4"/>
  <c r="AJ71" i="4"/>
  <c r="AJ52" i="4"/>
  <c r="AJ43" i="4"/>
  <c r="AJ40" i="4"/>
  <c r="AJ41" i="4"/>
  <c r="AJ64" i="4"/>
  <c r="AJ68" i="4"/>
  <c r="AJ69" i="4"/>
  <c r="AJ77" i="4"/>
  <c r="AJ81" i="4"/>
  <c r="AJ137" i="4"/>
  <c r="AJ84" i="4"/>
  <c r="AJ63" i="4"/>
  <c r="AJ65" i="4"/>
  <c r="AJ67" i="4"/>
  <c r="AJ80" i="4"/>
  <c r="AJ57" i="4"/>
  <c r="AJ58" i="4"/>
  <c r="AJ83" i="4"/>
  <c r="AJ66" i="4"/>
  <c r="AJ76" i="4"/>
  <c r="AJ61" i="4"/>
  <c r="AJ42" i="4"/>
  <c r="AJ51" i="4"/>
  <c r="AJ48" i="4"/>
  <c r="AJ49" i="4"/>
  <c r="AJ70" i="4"/>
  <c r="AJ56" i="4"/>
  <c r="AJ117" i="4"/>
  <c r="AJ129" i="4"/>
  <c r="AJ145" i="4"/>
  <c r="AJ156" i="4"/>
  <c r="AJ180" i="4"/>
  <c r="AJ116" i="4"/>
  <c r="AJ128" i="4"/>
  <c r="AJ126" i="4"/>
  <c r="AJ153" i="4"/>
  <c r="AJ231" i="4"/>
  <c r="AJ127" i="4"/>
  <c r="AJ140" i="4"/>
  <c r="AJ149" i="4"/>
  <c r="AJ159" i="4"/>
  <c r="AJ170" i="4"/>
  <c r="AJ171" i="4"/>
  <c r="AJ198" i="4"/>
  <c r="AJ209" i="4"/>
  <c r="AJ210" i="4"/>
  <c r="AJ212" i="4"/>
  <c r="AJ217" i="4"/>
  <c r="AJ221" i="4"/>
  <c r="AJ227" i="4"/>
  <c r="AJ120" i="4"/>
  <c r="AJ144" i="4"/>
  <c r="AJ169" i="4"/>
  <c r="AJ216" i="4"/>
  <c r="AJ110" i="4"/>
  <c r="AJ111" i="4"/>
  <c r="AJ142" i="4"/>
  <c r="AJ214" i="4"/>
  <c r="AJ222" i="4"/>
  <c r="AJ114" i="4"/>
  <c r="AJ148" i="4"/>
  <c r="AJ228" i="4"/>
  <c r="AJ132" i="4"/>
  <c r="AJ213" i="4"/>
  <c r="AJ218" i="4"/>
  <c r="AJ220" i="4"/>
  <c r="AJ113" i="4"/>
  <c r="AJ146" i="4"/>
  <c r="AJ157" i="4"/>
  <c r="AJ177" i="4"/>
  <c r="AJ133" i="4"/>
  <c r="AJ202" i="4"/>
  <c r="AJ203" i="4"/>
  <c r="AJ204" i="4"/>
  <c r="AJ206" i="4"/>
  <c r="AJ125" i="4"/>
  <c r="AJ158" i="4"/>
  <c r="AJ134" i="4"/>
  <c r="AJ136" i="4"/>
  <c r="AJ182" i="4"/>
  <c r="AJ183" i="4"/>
  <c r="AJ184" i="4"/>
  <c r="AJ195" i="4"/>
  <c r="AJ173" i="4"/>
  <c r="AJ186" i="4"/>
  <c r="AJ188" i="4"/>
  <c r="AJ193" i="4"/>
  <c r="AJ197" i="4"/>
  <c r="AJ150" i="4"/>
  <c r="AJ165" i="4"/>
  <c r="AJ187" i="4"/>
  <c r="AJ199" i="4"/>
  <c r="AJ201" i="4"/>
  <c r="AJ233" i="4"/>
  <c r="AJ235" i="4"/>
  <c r="AJ115" i="4"/>
  <c r="AJ168" i="4"/>
  <c r="AJ178" i="4"/>
  <c r="AJ190" i="4"/>
  <c r="AJ191" i="4"/>
  <c r="AJ175" i="4"/>
  <c r="AJ230" i="4"/>
  <c r="AJ234" i="4"/>
  <c r="AJ200" i="4"/>
  <c r="AJ232" i="4"/>
  <c r="AJ236" i="4"/>
  <c r="AJ238" i="4"/>
  <c r="AJ151" i="4"/>
  <c r="AJ192" i="4"/>
  <c r="AJ242" i="4"/>
  <c r="AJ164" i="4"/>
  <c r="AJ161" i="4"/>
  <c r="AJ108" i="4"/>
  <c r="AJ239" i="4"/>
  <c r="AJ208" i="4"/>
  <c r="AJ143" i="4"/>
  <c r="AJ241" i="4"/>
  <c r="AJ107" i="4"/>
  <c r="AJ207" i="4"/>
  <c r="AJ226" i="4"/>
  <c r="AJ109" i="4"/>
  <c r="AJ101" i="4"/>
  <c r="AJ102" i="4"/>
  <c r="AJ166" i="4"/>
  <c r="AJ106" i="4"/>
  <c r="AJ152" i="4"/>
  <c r="AJ88" i="4"/>
  <c r="AJ87" i="4"/>
  <c r="AJ89" i="4"/>
  <c r="AJ90" i="4"/>
  <c r="AJ135" i="4"/>
  <c r="AJ86" i="4"/>
  <c r="AJ196" i="4"/>
  <c r="AJ94" i="4"/>
  <c r="AJ103" i="4"/>
  <c r="AJ123" i="4"/>
  <c r="AJ104" i="4"/>
  <c r="AJ95" i="4"/>
  <c r="AJ98" i="4"/>
  <c r="AJ138" i="4"/>
  <c r="AJ172" i="4"/>
  <c r="AJ99" i="4"/>
  <c r="AJ96" i="4"/>
  <c r="AJ97" i="4"/>
  <c r="AJ124" i="4"/>
  <c r="AJ118" i="4"/>
  <c r="AJ179" i="4"/>
  <c r="AJ130" i="4"/>
  <c r="AJ155" i="4"/>
  <c r="AJ215" i="4"/>
  <c r="AJ189" i="4"/>
  <c r="AJ229" i="4"/>
  <c r="AJ240" i="4"/>
  <c r="AJ176" i="4"/>
  <c r="AJ223" i="4"/>
  <c r="AJ147" i="4"/>
  <c r="AJ121" i="4"/>
  <c r="AJ141" i="4"/>
  <c r="AJ139" i="4"/>
  <c r="AJ237" i="4"/>
  <c r="AJ100" i="4"/>
  <c r="AJ181" i="4"/>
  <c r="AJ93" i="4"/>
  <c r="AJ225" i="4"/>
  <c r="AJ112" i="4"/>
  <c r="AJ185" i="4"/>
  <c r="AJ162" i="4"/>
  <c r="AJ154" i="4"/>
  <c r="AJ119" i="4"/>
  <c r="AJ224" i="4"/>
  <c r="AJ122" i="4"/>
  <c r="AJ160" i="4"/>
  <c r="AJ219" i="4"/>
  <c r="AJ205" i="4"/>
  <c r="AJ163" i="4"/>
  <c r="AJ92" i="4"/>
  <c r="AJ105" i="4"/>
  <c r="AJ255" i="4"/>
  <c r="AJ250" i="4"/>
  <c r="AJ257" i="4"/>
  <c r="AJ259" i="4"/>
  <c r="AJ258" i="4"/>
  <c r="AJ252" i="4"/>
  <c r="AJ254" i="4"/>
  <c r="AJ256" i="4"/>
  <c r="AJ246" i="4"/>
  <c r="AJ247" i="4"/>
  <c r="AJ243" i="4"/>
  <c r="AJ245" i="4"/>
  <c r="AJ244" i="4"/>
  <c r="AJ253" i="4"/>
  <c r="AJ248" i="4"/>
  <c r="AJ267" i="4"/>
  <c r="AJ268" i="4"/>
  <c r="AJ261" i="4"/>
  <c r="AJ260" i="4"/>
  <c r="AJ262" i="4"/>
  <c r="AJ264" i="4"/>
  <c r="AJ265" i="4"/>
  <c r="AJ263" i="4"/>
  <c r="AJ266" i="4"/>
  <c r="AJ269" i="4"/>
  <c r="AJ270" i="4"/>
  <c r="AJ271" i="4"/>
  <c r="AJ277" i="4"/>
  <c r="AJ276" i="4"/>
  <c r="AJ273" i="4"/>
  <c r="AJ275" i="4"/>
  <c r="AJ274" i="4"/>
  <c r="AJ279" i="4"/>
  <c r="AJ272" i="4"/>
  <c r="AJ280" i="4"/>
  <c r="AJ281" i="4"/>
  <c r="AJ278" i="4"/>
  <c r="AJ282" i="4"/>
  <c r="AJ284" i="4"/>
  <c r="AJ285" i="4"/>
  <c r="AJ283" i="4"/>
  <c r="AJ286" i="4"/>
  <c r="AJ288" i="4"/>
  <c r="AJ289" i="4"/>
  <c r="AJ290" i="4"/>
  <c r="AJ287" i="4"/>
  <c r="AJ291" i="4"/>
  <c r="AJ294" i="4"/>
  <c r="AJ292" i="4"/>
  <c r="AJ293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9" i="4"/>
  <c r="AJ310" i="4"/>
  <c r="AJ311" i="4"/>
  <c r="AJ312" i="4"/>
  <c r="AJ313" i="4"/>
  <c r="AJ329" i="4"/>
  <c r="AJ327" i="4"/>
  <c r="AJ328" i="4"/>
  <c r="AJ326" i="4"/>
  <c r="AJ316" i="4"/>
  <c r="AJ318" i="4"/>
  <c r="AJ319" i="4"/>
  <c r="AJ320" i="4"/>
  <c r="AJ321" i="4"/>
  <c r="AJ322" i="4"/>
  <c r="AJ323" i="4"/>
  <c r="AJ324" i="4"/>
  <c r="AJ325" i="4"/>
  <c r="AJ317" i="4"/>
  <c r="AJ314" i="4"/>
  <c r="AJ315" i="4"/>
  <c r="AJ333" i="4"/>
  <c r="AJ339" i="4"/>
  <c r="AJ336" i="4"/>
  <c r="AJ334" i="4"/>
  <c r="AJ337" i="4"/>
  <c r="AJ338" i="4"/>
  <c r="AJ335" i="4"/>
  <c r="AJ332" i="4"/>
  <c r="AJ330" i="4"/>
  <c r="AJ331" i="4"/>
  <c r="AJ340" i="4"/>
  <c r="AJ341" i="4"/>
  <c r="AJ344" i="4"/>
  <c r="AJ342" i="4"/>
  <c r="AJ343" i="4"/>
  <c r="AJ345" i="4"/>
  <c r="AJ346" i="4"/>
  <c r="AJ353" i="4"/>
  <c r="AJ347" i="4"/>
  <c r="AJ348" i="4"/>
  <c r="AJ349" i="4"/>
  <c r="AJ354" i="4"/>
  <c r="AJ355" i="4"/>
  <c r="AJ356" i="4"/>
  <c r="AJ357" i="4"/>
  <c r="AJ358" i="4"/>
  <c r="AJ359" i="4"/>
  <c r="AJ360" i="4"/>
  <c r="AJ361" i="4"/>
  <c r="AJ363" i="4"/>
  <c r="AJ364" i="4"/>
  <c r="AJ365" i="4"/>
  <c r="AJ350" i="4"/>
  <c r="AJ351" i="4"/>
  <c r="AJ352" i="4"/>
  <c r="AJ362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4" i="4"/>
  <c r="AJ395" i="4"/>
  <c r="AJ396" i="4"/>
  <c r="AJ393" i="4"/>
  <c r="AJ399" i="4"/>
  <c r="AJ397" i="4"/>
  <c r="AJ398" i="4"/>
  <c r="AJ400" i="4"/>
  <c r="AJ401" i="4"/>
  <c r="AJ402" i="4"/>
  <c r="AJ403" i="4"/>
  <c r="AJ404" i="4"/>
  <c r="AJ405" i="4"/>
  <c r="AJ406" i="4"/>
  <c r="AJ407" i="4"/>
  <c r="AJ408" i="4"/>
  <c r="AJ409" i="4"/>
  <c r="AJ5" i="4"/>
  <c r="AJ27" i="4"/>
  <c r="AJ39" i="4"/>
  <c r="AJ23" i="4"/>
  <c r="AJ19" i="4"/>
  <c r="AJ16" i="4"/>
  <c r="AJ38" i="4"/>
  <c r="AJ82" i="4"/>
  <c r="AJ53" i="4"/>
  <c r="AJ50" i="4"/>
  <c r="AJ131" i="4"/>
  <c r="AJ167" i="4"/>
  <c r="AJ194" i="4"/>
  <c r="AJ91" i="4"/>
  <c r="AJ211" i="4"/>
  <c r="AJ174" i="4"/>
  <c r="AJ251" i="4"/>
  <c r="AJ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5" i="1"/>
  <c r="BC115" i="1"/>
  <c r="AZ116" i="1"/>
  <c r="BC116" i="1"/>
  <c r="BC175" i="1"/>
  <c r="AZ166" i="1"/>
  <c r="BC166" i="1"/>
  <c r="AZ165" i="1"/>
  <c r="BC165" i="1"/>
  <c r="AZ80" i="1"/>
  <c r="AZ248" i="1"/>
  <c r="BC248" i="1"/>
  <c r="BB248" i="1"/>
  <c r="AZ247" i="1"/>
  <c r="BC247" i="1"/>
  <c r="BB247" i="1"/>
  <c r="AZ150" i="1"/>
  <c r="BC150" i="1"/>
  <c r="AZ149" i="1"/>
  <c r="BC149" i="1"/>
  <c r="AZ34" i="1"/>
  <c r="BC34" i="1"/>
  <c r="AZ33" i="1"/>
  <c r="BC33" i="1"/>
  <c r="AZ32" i="1"/>
  <c r="BC32" i="1"/>
  <c r="AZ31" i="1"/>
  <c r="BC31" i="1"/>
  <c r="BC30" i="1"/>
  <c r="AZ95" i="1"/>
  <c r="BC95" i="1"/>
  <c r="AZ94" i="1"/>
  <c r="BC94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7" i="1"/>
  <c r="AZ98" i="1"/>
  <c r="AZ99" i="1"/>
  <c r="AZ100" i="1"/>
  <c r="AZ109" i="1"/>
  <c r="AZ110" i="1"/>
  <c r="AZ120" i="1"/>
  <c r="AZ121" i="1"/>
  <c r="AZ122" i="1"/>
  <c r="AZ123" i="1"/>
  <c r="AZ126" i="1"/>
  <c r="AZ127" i="1"/>
  <c r="AZ131" i="1"/>
  <c r="AZ132" i="1"/>
  <c r="AZ133" i="1"/>
  <c r="AZ136" i="1"/>
  <c r="AZ137" i="1"/>
  <c r="AZ140" i="1"/>
  <c r="AZ141" i="1"/>
  <c r="AZ142" i="1"/>
  <c r="AZ143" i="1"/>
  <c r="AZ144" i="1"/>
  <c r="AZ145" i="1"/>
  <c r="AZ146" i="1"/>
  <c r="AZ147" i="1"/>
  <c r="AZ148" i="1"/>
  <c r="AZ152" i="1"/>
  <c r="AZ153" i="1"/>
  <c r="AZ154" i="1"/>
  <c r="AZ155" i="1"/>
  <c r="AZ156" i="1"/>
  <c r="AZ157" i="1"/>
  <c r="AZ158" i="1"/>
  <c r="AZ160" i="1"/>
  <c r="AZ161" i="1"/>
  <c r="AZ162" i="1"/>
  <c r="AZ163" i="1"/>
  <c r="AZ164" i="1"/>
  <c r="AZ167" i="1"/>
  <c r="AZ168" i="1"/>
  <c r="AZ169" i="1"/>
  <c r="AZ180" i="1"/>
  <c r="AZ181" i="1"/>
  <c r="AZ184" i="1"/>
  <c r="AZ185" i="1"/>
  <c r="AZ186" i="1"/>
  <c r="AZ187" i="1"/>
  <c r="AZ188" i="1"/>
  <c r="AZ189" i="1"/>
  <c r="AZ190" i="1"/>
  <c r="AZ193" i="1"/>
  <c r="AZ194" i="1"/>
  <c r="AZ195" i="1"/>
  <c r="AZ196" i="1"/>
  <c r="AZ197" i="1"/>
  <c r="AZ198" i="1"/>
  <c r="AZ199" i="1"/>
  <c r="AZ200" i="1"/>
  <c r="AZ201" i="1"/>
  <c r="AZ210" i="1"/>
  <c r="AZ211" i="1"/>
  <c r="AZ212" i="1"/>
  <c r="AZ213" i="1"/>
  <c r="AZ217" i="1"/>
  <c r="AZ218" i="1"/>
  <c r="AZ219" i="1"/>
  <c r="AZ220" i="1"/>
  <c r="AZ221" i="1"/>
  <c r="AZ222" i="1"/>
  <c r="AZ223" i="1"/>
  <c r="AZ224" i="1"/>
  <c r="AZ225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" i="1"/>
  <c r="BC36" i="1"/>
  <c r="BC35" i="1"/>
  <c r="BC154" i="1"/>
  <c r="BB246" i="1"/>
  <c r="BC246" i="1"/>
  <c r="BB245" i="1"/>
  <c r="BC245" i="1"/>
  <c r="BB244" i="1"/>
  <c r="BC244" i="1"/>
  <c r="BB243" i="1"/>
  <c r="BC243" i="1"/>
  <c r="BB242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B241" i="1"/>
  <c r="BC241" i="1"/>
  <c r="BC240" i="1"/>
  <c r="BC239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C237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C219" i="1"/>
  <c r="BC218" i="1"/>
  <c r="BC217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11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B210" i="1"/>
  <c r="BC210" i="1"/>
  <c r="BB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B200" i="1"/>
  <c r="BC200" i="1"/>
  <c r="BB199" i="1"/>
  <c r="BC199" i="1"/>
  <c r="BB198" i="1"/>
  <c r="BC198" i="1"/>
  <c r="BB197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B196" i="1"/>
  <c r="BC196" i="1"/>
  <c r="BB195" i="1"/>
  <c r="BC195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90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B189" i="1"/>
  <c r="BC189" i="1"/>
  <c r="BB188" i="1"/>
  <c r="BC188" i="1"/>
  <c r="BB187" i="1"/>
  <c r="BC187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B186" i="1"/>
  <c r="BC186" i="1"/>
  <c r="BB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B184" i="1"/>
  <c r="BC184" i="1"/>
  <c r="BB181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74" i="1"/>
  <c r="BC172" i="1"/>
  <c r="BC171" i="1"/>
  <c r="BC169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62" i="1"/>
  <c r="BC161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C160" i="1"/>
  <c r="BC158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C157" i="1"/>
  <c r="BC156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C155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7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C136" i="1"/>
  <c r="BC127" i="1"/>
  <c r="BC126" i="1"/>
  <c r="BC123" i="1"/>
  <c r="BC122" i="1"/>
  <c r="BC121" i="1"/>
  <c r="BC120" i="1"/>
  <c r="BC110" i="1"/>
  <c r="BC109" i="1"/>
  <c r="BC100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C99" i="1"/>
  <c r="BC98" i="1"/>
  <c r="BC97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12" i="4"/>
  <c r="AH258" i="4"/>
  <c r="U258" i="4" a="1"/>
  <c r="U258" i="4"/>
  <c r="AH208" i="4"/>
  <c r="AH207" i="4"/>
  <c r="G42" i="3"/>
  <c r="G43" i="3"/>
  <c r="G44" i="3"/>
  <c r="T258" i="4" a="1"/>
  <c r="T258" i="4"/>
  <c r="T208" i="4" a="1"/>
  <c r="T208" i="4"/>
  <c r="T207" i="4" a="1"/>
  <c r="T207" i="4"/>
  <c r="B26" i="3"/>
  <c r="C26" i="3"/>
  <c r="E26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0" i="3"/>
  <c r="J22" i="3"/>
  <c r="J37" i="3"/>
  <c r="J44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73" i="4"/>
  <c r="X139" i="4"/>
  <c r="X232" i="4"/>
  <c r="X36" i="4"/>
  <c r="X91" i="4"/>
  <c r="X46" i="4"/>
  <c r="X161" i="4"/>
  <c r="X271" i="4"/>
  <c r="X108" i="4"/>
  <c r="X45" i="4"/>
  <c r="X109" i="4"/>
  <c r="X101" i="4"/>
  <c r="X279" i="4"/>
  <c r="X102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<sst xmlns="http://schemas.openxmlformats.org/spreadsheetml/2006/main" count="12335" uniqueCount="1484">
  <si>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</si>
  <si>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</si>
  <si>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</si>
  <si>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</si>
  <si>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</si>
  <si>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</si>
  <si>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</si>
  <si>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</si>
  <si>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</si>
  <si>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</si>
  <si>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</si>
  <si>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</si>
  <si>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</si>
  <si>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</si>
  <si>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</si>
  <si>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</si>
  <si>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</si>
  <si>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</si>
  <si>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</si>
  <si>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</si>
  <si>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</si>
  <si>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</si>
  <si>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</si>
  <si>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</si>
  <si>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</si>
  <si>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</si>
  <si>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</si>
  <si>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</si>
  <si>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</si>
  <si>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</si>
  <si>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</si>
  <si>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</si>
  <si>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</si>
  <si>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</si>
  <si>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</si>
  <si>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</si>
  <si>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</si>
  <si>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</si>
  <si>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</si>
  <si>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</si>
  <si>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</si>
  <si>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</si>
  <si>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</si>
  <si>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</si>
  <si>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</si>
  <si>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</si>
  <si>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</si>
  <si>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</si>
  <si>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</si>
  <si>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</si>
  <si>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</si>
  <si>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</si>
  <si>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</si>
  <si>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</si>
  <si>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</si>
  <si>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</si>
  <si>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</si>
  <si>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</si>
  <si>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</si>
  <si>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</si>
  <si>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</si>
  <si>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</si>
  <si>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</si>
  <si>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</si>
  <si>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</si>
  <si>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</si>
  <si>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</si>
  <si>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</si>
  <si>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</si>
  <si>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</si>
  <si>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</si>
  <si>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</si>
  <si>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</si>
  <si>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</si>
  <si>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</si>
  <si>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</si>
  <si>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</si>
  <si>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</si>
  <si>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</si>
  <si>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</si>
  <si>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</si>
  <si>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</si>
  <si>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</si>
  <si>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</si>
  <si>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</si>
  <si>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</si>
  <si>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</si>
  <si>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</si>
  <si>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</si>
  <si>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</si>
  <si>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</si>
  <si>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</si>
  <si>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</si>
  <si>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</si>
  <si>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</si>
  <si>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</si>
  <si>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</si>
  <si>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</si>
  <si>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</si>
  <si>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</si>
  <si>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</si>
  <si>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</si>
  <si>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</si>
  <si>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</si>
  <si>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</si>
  <si>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</si>
  <si>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</si>
  <si>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</si>
  <si>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</si>
  <si>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</si>
  <si>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</si>
  <si>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</si>
  <si>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</si>
  <si>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</si>
  <si>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</si>
  <si>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</si>
  <si>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</si>
  <si>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</si>
  <si>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</si>
  <si>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</si>
  <si>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</si>
  <si>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</si>
  <si>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</si>
  <si>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</si>
  <si>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</si>
  <si>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</si>
  <si>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</si>
  <si>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</si>
  <si>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</si>
  <si>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</si>
  <si>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</si>
  <si>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</si>
  <si>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</si>
  <si>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</si>
  <si>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</si>
  <si>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</si>
  <si>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</si>
  <si>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</si>
  <si>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</si>
  <si>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</si>
  <si>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</si>
  <si>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</si>
  <si>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</si>
  <si>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</si>
  <si>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</si>
  <si>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</si>
  <si>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</si>
  <si>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</si>
  <si>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</si>
  <si>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</si>
  <si>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</si>
  <si>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</si>
  <si>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</si>
  <si>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</si>
  <si>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</si>
  <si>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</si>
  <si>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</si>
  <si>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</si>
  <si>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</si>
  <si>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</si>
  <si>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</si>
  <si>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</si>
  <si>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</si>
  <si>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</si>
  <si>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</si>
  <si>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</si>
  <si>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</si>
  <si>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</si>
  <si>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</si>
  <si>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</si>
  <si>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</si>
  <si>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</si>
  <si>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</si>
  <si>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</si>
  <si>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</si>
  <si>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</si>
  <si>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</si>
  <si>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</si>
  <si>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</si>
  <si>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</si>
  <si>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</si>
  <si>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</si>
  <si>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</si>
  <si>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</si>
  <si>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</si>
  <si>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</si>
  <si>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</si>
  <si>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</si>
  <si>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</si>
  <si>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</si>
  <si>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</si>
  <si>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</si>
  <si>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</si>
  <si>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</si>
  <si>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</si>
  <si>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</si>
  <si>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</si>
  <si>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</si>
  <si>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</si>
  <si>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</si>
  <si>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</si>
  <si>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</si>
  <si>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</si>
  <si>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</si>
  <si>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</si>
  <si>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</si>
  <si>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</si>
  <si>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</si>
  <si>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</si>
  <si>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</si>
  <si>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</si>
  <si>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</si>
  <si>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</si>
  <si>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</si>
  <si>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</si>
  <si>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</si>
  <si>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</si>
  <si>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</si>
  <si>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</si>
  <si>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</si>
  <si>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</si>
  <si>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</si>
  <si>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</si>
  <si>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</si>
  <si>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</si>
  <si>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</si>
  <si>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</si>
  <si>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</si>
  <si>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</si>
  <si>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</si>
  <si>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</si>
  <si>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</si>
  <si>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</si>
  <si>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</si>
  <si>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</si>
  <si>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</si>
  <si>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</si>
  <si>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</si>
  <si>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</si>
  <si>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</si>
  <si>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</si>
  <si>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</si>
  <si>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</si>
  <si>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</si>
  <si>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</si>
  <si>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</si>
  <si>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</si>
  <si>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</si>
  <si>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</si>
  <si>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</si>
  <si>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</si>
  <si>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</si>
  <si>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</si>
  <si>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</si>
  <si>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</si>
  <si>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</si>
  <si>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</si>
  <si>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</si>
  <si>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</si>
  <si>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</si>
  <si>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</si>
  <si>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</si>
  <si>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</si>
  <si>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</si>
  <si>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</si>
  <si>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</si>
  <si>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</si>
  <si>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</si>
  <si>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</si>
  <si>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</si>
  <si>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</si>
  <si>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</si>
  <si>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</si>
  <si>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</si>
  <si>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</si>
  <si>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</si>
  <si>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</si>
  <si>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</si>
  <si>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</si>
  <si>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</si>
  <si>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</si>
  <si>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</si>
  <si>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</si>
  <si>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</si>
  <si>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</si>
  <si>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</si>
  <si>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</si>
  <si>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</si>
  <si>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</si>
  <si>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</si>
  <si>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</si>
  <si>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</si>
  <si>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</si>
  <si>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</si>
  <si>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</si>
  <si>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</si>
  <si>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</si>
  <si>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</si>
  <si>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</si>
  <si>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</si>
  <si>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</si>
  <si>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</si>
  <si>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</si>
  <si>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</si>
  <si>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</si>
  <si>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</si>
  <si>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</si>
  <si>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</si>
  <si>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</si>
  <si>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</si>
  <si>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</si>
  <si>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</si>
  <si>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</si>
  <si>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</si>
  <si>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</si>
  <si>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</si>
  <si>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</si>
  <si>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</si>
  <si>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</si>
  <si>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</si>
  <si>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</si>
  <si>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</si>
  <si>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</si>
  <si>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</si>
  <si>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</si>
  <si>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</si>
  <si>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</si>
  <si>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</si>
  <si>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</si>
  <si>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</si>
  <si>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</si>
  <si>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</si>
  <si>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</si>
  <si>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</si>
  <si>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</si>
  <si>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</si>
  <si>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</si>
  <si>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</si>
  <si>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</si>
  <si>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</si>
  <si>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</si>
  <si>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</si>
  <si>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</si>
  <si>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</si>
  <si>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</si>
  <si>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</si>
  <si>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</si>
  <si>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</si>
  <si>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</si>
  <si>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</si>
  <si>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</si>
  <si>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</si>
  <si>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</si>
  <si>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</si>
  <si>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</si>
  <si>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</si>
  <si>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</si>
  <si>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</si>
  <si>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</si>
  <si>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</si>
  <si>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</si>
  <si>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</si>
  <si>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</si>
  <si>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</si>
  <si>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</si>
  <si>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</si>
  <si>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</si>
  <si>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</si>
  <si>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</si>
  <si>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</si>
  <si>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</si>
  <si>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</si>
  <si>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</si>
  <si>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</si>
  <si>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</si>
  <si>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</si>
  <si>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</si>
  <si>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</si>
  <si>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</si>
  <si>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</si>
  <si>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</si>
  <si>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</si>
  <si>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</si>
  <si>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</si>
  <si>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</si>
  <si>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</si>
  <si>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</si>
  <si>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</si>
  <si>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</si>
  <si>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</si>
  <si>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</si>
  <si>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</si>
  <si>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</si>
  <si>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</si>
  <si>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</si>
  <si>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</si>
  <si>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</si>
  <si>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</si>
  <si>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</si>
  <si>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</si>
  <si>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</si>
  <si>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</si>
  <si>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</si>
  <si>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</si>
  <si>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</si>
  <si>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</si>
  <si>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</si>
  <si>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</si>
  <si>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</si>
  <si>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</si>
  <si>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</si>
  <si>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</si>
  <si>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</si>
  <si>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</si>
  <si>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</si>
  <si>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</si>
  <si>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</si>
  <si>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</si>
  <si>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</si>
  <si>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</si>
  <si>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</si>
  <si>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</si>
  <si>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</si>
  <si>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</si>
  <si>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</si>
  <si>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</si>
  <si>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</si>
  <si>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</si>
  <si>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</si>
  <si>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</si>
  <si>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</si>
  <si>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</si>
  <si>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</si>
  <si>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</si>
  <si>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</si>
  <si>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</si>
  <si>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</si>
  <si>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</si>
  <si>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</si>
  <si>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</si>
  <si>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</si>
  <si>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</si>
  <si>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</si>
  <si>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</si>
  <si>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</si>
  <si>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</si>
  <si>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</si>
  <si>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</si>
  <si>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</si>
  <si>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</si>
  <si>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</si>
  <si>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</si>
  <si>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</si>
  <si>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</si>
  <si>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</si>
  <si>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</si>
  <si>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</si>
  <si>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</si>
  <si>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</si>
  <si>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</si>
  <si>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</si>
  <si>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</si>
  <si>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</si>
  <si>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</si>
  <si>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</si>
  <si>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</si>
  <si>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</si>
  <si>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</si>
  <si>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</si>
  <si>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</si>
  <si>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</si>
  <si>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</si>
  <si>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</si>
  <si>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</si>
  <si>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</si>
  <si>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</si>
  <si>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</si>
  <si>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</si>
  <si>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</si>
  <si>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</si>
  <si>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</si>
  <si>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</si>
  <si>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</si>
  <si>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</si>
  <si>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</si>
  <si>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</si>
  <si>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</si>
  <si>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</si>
  <si>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</si>
  <si>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</si>
  <si>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</si>
  <si>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</si>
  <si>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</si>
  <si>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</si>
  <si>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</si>
  <si>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</si>
  <si>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</si>
  <si>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</si>
  <si>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</si>
  <si>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</si>
  <si>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</si>
  <si>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</si>
  <si>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</si>
  <si>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</si>
  <si>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</si>
  <si>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</si>
  <si>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</si>
  <si>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</si>
  <si>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</si>
  <si>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</si>
  <si>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</si>
  <si>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</si>
  <si>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</si>
  <si>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</si>
  <si>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</si>
  <si>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</si>
  <si>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</si>
  <si>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</si>
  <si>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</si>
  <si>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</si>
  <si>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</si>
  <si>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</si>
  <si>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</si>
  <si>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</si>
  <si>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</si>
  <si>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</si>
  <si>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</si>
  <si>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</si>
  <si>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</si>
  <si>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</si>
  <si>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</si>
  <si>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</si>
  <si>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</si>
  <si>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</si>
  <si>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</si>
  <si>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</si>
  <si>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</si>
  <si>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</si>
  <si>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</si>
  <si>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</si>
  <si>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</si>
  <si>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</si>
  <si>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</si>
  <si>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</si>
  <si>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</si>
  <si>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</si>
  <si>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</si>
  <si>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</si>
  <si>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</si>
  <si>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</si>
  <si>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</si>
  <si>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</si>
  <si>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</si>
  <si>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</si>
  <si>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</si>
  <si>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</si>
  <si>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</si>
  <si>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</si>
  <si>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</si>
  <si>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</si>
  <si>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</si>
  <si>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</si>
  <si>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</si>
  <si>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</si>
  <si>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</si>
  <si>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</si>
  <si>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</si>
  <si>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</si>
  <si>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</si>
  <si>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</si>
  <si>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</si>
  <si>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</si>
  <si>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</si>
  <si>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</si>
  <si>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</si>
  <si>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</si>
  <si>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</si>
  <si>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</si>
  <si>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</si>
  <si>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</si>
  <si>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</si>
  <si>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</si>
  <si>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</si>
  <si>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</si>
  <si>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</si>
  <si>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</si>
  <si>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</si>
  <si>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</si>
  <si>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</si>
  <si>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</si>
  <si>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</si>
  <si>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</si>
  <si>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</si>
  <si>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</si>
  <si>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</si>
  <si>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</si>
  <si>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</si>
  <si>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</si>
  <si>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</si>
  <si>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</si>
  <si>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</si>
  <si>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</si>
  <si>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</si>
  <si>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</si>
  <si>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</si>
  <si>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</si>
  <si>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</si>
  <si>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</si>
  <si>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</si>
  <si>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</si>
  <si>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</si>
  <si>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</si>
  <si>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</si>
  <si>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</si>
  <si>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</si>
  <si>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</si>
  <si>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</si>
  <si>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</si>
  <si>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</si>
  <si>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</si>
  <si>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</si>
  <si>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</si>
  <si>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</si>
  <si>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</si>
  <si>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</si>
  <si>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</si>
  <si>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</si>
  <si>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</si>
  <si>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</si>
  <si>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</si>
  <si>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</si>
  <si>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</si>
  <si>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</si>
  <si>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</si>
  <si>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</si>
  <si>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</si>
  <si>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</si>
  <si>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</si>
  <si>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</si>
  <si>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</si>
  <si>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</si>
  <si>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</si>
  <si>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</si>
  <si>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</si>
  <si>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</si>
  <si>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</si>
  <si>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</si>
  <si>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</si>
  <si>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</si>
  <si>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</si>
  <si>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</si>
  <si>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</si>
  <si>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</si>
  <si>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</si>
  <si>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</si>
  <si>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</si>
  <si>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</si>
  <si>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</si>
  <si>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</si>
  <si>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</si>
  <si>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</si>
  <si>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</si>
  <si>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</si>
  <si>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</si>
  <si>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</si>
  <si>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</si>
  <si>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</si>
  <si>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</si>
  <si>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</si>
  <si>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</si>
  <si>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</si>
  <si>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</si>
  <si>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</si>
  <si>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</si>
  <si>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</si>
  <si>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</si>
  <si>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</si>
  <si>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</si>
  <si>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</si>
  <si>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</si>
  <si>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</si>
  <si>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</si>
  <si>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</si>
  <si>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</si>
  <si>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</si>
  <si>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</si>
  <si>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</si>
  <si>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</si>
  <si>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</si>
  <si>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</si>
  <si>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</si>
  <si>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</si>
  <si>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</si>
  <si>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</si>
  <si>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</si>
  <si>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</si>
  <si>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</si>
  <si>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</si>
  <si>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</si>
  <si>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</si>
  <si>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</si>
  <si>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</si>
  <si>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</si>
  <si>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</si>
  <si>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</si>
  <si>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</si>
  <si>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</si>
  <si>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</si>
  <si>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</si>
  <si>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</si>
  <si>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</si>
  <si>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</si>
  <si>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</si>
  <si>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</si>
  <si>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</si>
  <si>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</si>
  <si>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</si>
  <si>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</si>
  <si>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</si>
  <si>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</si>
  <si>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</si>
  <si>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</si>
  <si>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</si>
  <si>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</si>
  <si>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</si>
  <si>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</si>
  <si>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</si>
  <si>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</si>
  <si>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</si>
  <si>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</si>
  <si>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</si>
  <si>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</si>
  <si>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</si>
  <si>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</si>
  <si>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</si>
  <si>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</si>
  <si>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</si>
  <si>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</si>
  <si>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</si>
  <si>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</si>
  <si>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</si>
  <si>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</si>
  <si>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</si>
  <si>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</si>
  <si>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</si>
  <si>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</si>
  <si>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</si>
  <si>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</si>
  <si>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</si>
  <si>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</si>
  <si>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</si>
  <si>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</si>
  <si>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</si>
  <si>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</si>
  <si>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</si>
  <si>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</si>
  <si>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</si>
  <si>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</si>
  <si>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</si>
  <si>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</si>
  <si>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</si>
  <si>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</si>
  <si>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</si>
  <si>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</si>
  <si>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</si>
  <si>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</si>
  <si>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</si>
  <si>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</si>
  <si>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</si>
  <si>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</si>
  <si>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</si>
  <si>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</si>
  <si>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</si>
  <si>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</si>
  <si>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</si>
  <si>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</si>
  <si>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</si>
  <si>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</si>
  <si>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</si>
  <si>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</si>
  <si>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</si>
  <si>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</si>
  <si>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</si>
  <si>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</si>
  <si>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</si>
  <si>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</si>
  <si>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</si>
  <si>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</si>
  <si>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</si>
  <si>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</si>
  <si>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</si>
  <si>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</si>
  <si>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</si>
  <si>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</si>
  <si>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</si>
  <si>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</si>
  <si>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</si>
  <si>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</si>
  <si>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</si>
  <si>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</si>
  <si>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</si>
  <si>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</si>
  <si>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</si>
  <si>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</si>
  <si>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</si>
  <si>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</si>
  <si>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</si>
  <si>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</si>
  <si>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</si>
  <si>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</si>
  <si>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</si>
  <si>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</si>
  <si>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</si>
  <si>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</si>
  <si>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</si>
  <si>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</si>
  <si>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</si>
  <si>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</si>
  <si>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</si>
  <si>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</si>
  <si>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</si>
  <si>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</si>
  <si>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</si>
  <si>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</si>
  <si>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</si>
  <si>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</si>
  <si>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</si>
  <si>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</si>
  <si>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</si>
  <si>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</si>
  <si>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</si>
  <si>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</si>
  <si>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</si>
  <si>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</si>
  <si>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</si>
  <si>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</si>
  <si>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</si>
  <si>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</si>
  <si>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</si>
  <si>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</si>
  <si>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</si>
  <si>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</si>
  <si>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</si>
  <si>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</si>
  <si>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</si>
  <si>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</si>
  <si>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</si>
  <si>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</si>
  <si>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</si>
  <si>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</si>
  <si>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</si>
  <si>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</si>
  <si>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</si>
  <si>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</si>
  <si>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</si>
  <si>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</si>
  <si>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</si>
  <si>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</si>
  <si>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</si>
  <si>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</si>
  <si>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</si>
  <si>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</si>
  <si>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</si>
  <si>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</si>
  <si>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</si>
  <si>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</si>
  <si>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</si>
  <si>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</si>
  <si>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</si>
  <si>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</si>
  <si>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</si>
  <si>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</si>
  <si>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</si>
  <si>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</si>
  <si>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</si>
  <si>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</si>
  <si>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</si>
  <si>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</si>
  <si>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</si>
  <si>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</si>
  <si>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</si>
  <si>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</si>
  <si>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</si>
  <si>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</si>
  <si>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</si>
  <si>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</si>
  <si>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</si>
  <si>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</si>
  <si>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</si>
  <si>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</si>
  <si>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</si>
  <si>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</si>
  <si>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</si>
  <si>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</si>
  <si>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</si>
  <si>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</si>
  <si>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</si>
  <si>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</si>
  <si>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</si>
  <si>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</si>
  <si>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</si>
  <si>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</si>
  <si>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</si>
  <si>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</si>
  <si>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</si>
  <si>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</si>
  <si>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</si>
  <si>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</si>
  <si>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</si>
  <si>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</si>
  <si>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</si>
  <si>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</si>
  <si>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</si>
  <si>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</si>
  <si>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</si>
  <si>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</si>
  <si>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</si>
  <si>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</si>
  <si>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</si>
  <si>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</si>
  <si>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</si>
  <si>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</si>
  <si>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</si>
  <si>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</si>
  <si>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</si>
  <si>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</si>
  <si>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</si>
  <si>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</si>
  <si>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</si>
  <si>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</si>
  <si>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</si>
  <si>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</si>
  <si>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</si>
  <si>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</si>
  <si>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</si>
  <si>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</si>
  <si>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</si>
  <si>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</si>
  <si>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</si>
  <si>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</si>
  <si>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</si>
  <si>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</si>
  <si>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</si>
  <si>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</si>
  <si>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</si>
  <si>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</si>
  <si>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</si>
  <si>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</si>
  <si>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</si>
  <si>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</si>
  <si>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</si>
  <si>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</si>
  <si>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</si>
  <si>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</si>
  <si>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</si>
  <si>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</si>
  <si>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</si>
  <si>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</si>
  <si>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</si>
  <si>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</si>
  <si>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</si>
  <si>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</si>
  <si>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</si>
  <si>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</si>
  <si>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</si>
  <si>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</si>
  <si>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</si>
  <si>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</si>
  <si>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</si>
  <si>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</si>
  <si>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</si>
  <si>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</si>
  <si>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</si>
  <si>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</si>
  <si>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</si>
  <si>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</si>
  <si>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</si>
  <si>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</si>
  <si>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</si>
  <si>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</si>
  <si>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</si>
  <si>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</si>
  <si>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</si>
  <si>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</si>
  <si>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</si>
  <si>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</si>
  <si>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</si>
  <si>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</si>
  <si>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</si>
  <si>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</si>
  <si>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</si>
  <si>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</si>
  <si>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</si>
  <si>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</si>
  <si>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</si>
  <si>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</si>
  <si>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</si>
  <si>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</si>
  <si>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</si>
  <si>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</si>
  <si>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</si>
  <si>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</si>
  <si>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</si>
  <si>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</si>
  <si>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</si>
  <si>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</si>
  <si>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</si>
  <si>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</si>
  <si>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</si>
  <si>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</si>
  <si>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</si>
  <si>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</si>
  <si>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</si>
  <si>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</si>
  <si>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</si>
  <si>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</si>
  <si>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</si>
  <si>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</si>
  <si>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</si>
  <si>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</si>
  <si>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</si>
  <si>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</si>
  <si>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</si>
  <si>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</si>
  <si>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</si>
  <si>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</si>
  <si>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</si>
  <si>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</si>
  <si>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</si>
  <si>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</si>
  <si>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</si>
  <si>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</si>
  <si>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</si>
  <si>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</si>
  <si>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</si>
  <si>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</si>
  <si>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</si>
  <si>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</si>
  <si>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</si>
  <si>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</si>
  <si>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</si>
  <si>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</si>
  <si>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</si>
  <si>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</si>
  <si>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</si>
  <si>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</si>
  <si>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</si>
  <si>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</si>
  <si>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</si>
  <si>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</si>
  <si>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</si>
  <si>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</si>
  <si>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</si>
  <si>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</si>
  <si>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</si>
  <si>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</si>
  <si>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</si>
  <si>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</si>
  <si>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</si>
  <si>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</si>
  <si>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</si>
  <si>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</si>
  <si>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</si>
  <si>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</si>
  <si>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</si>
  <si>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</si>
  <si>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</si>
  <si>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</si>
  <si>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</si>
  <si>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</si>
  <si>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</si>
  <si>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</si>
  <si>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</si>
  <si>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</si>
  <si>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</si>
  <si>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</si>
  <si>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</si>
  <si>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</si>
  <si>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</si>
  <si>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</si>
  <si>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</si>
  <si>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</si>
  <si>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</si>
  <si>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</si>
  <si>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</si>
  <si>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</si>
  <si>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</si>
  <si>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</si>
  <si>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</si>
  <si>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</si>
  <si>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</si>
  <si>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</si>
  <si>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</si>
  <si>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</si>
  <si>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</si>
  <si>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</si>
  <si>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</si>
  <si>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</si>
  <si>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</si>
  <si>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</si>
  <si>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</si>
  <si>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</si>
  <si>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</si>
  <si>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</si>
  <si>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</si>
  <si>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</si>
  <si>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</si>
  <si>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</si>
  <si>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</si>
  <si>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</si>
  <si>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</si>
  <si>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</si>
  <si>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</si>
  <si>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</si>
  <si>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</si>
  <si>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</si>
  <si>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</si>
  <si>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</si>
  <si>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</si>
  <si>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</si>
  <si>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</si>
  <si>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</si>
  <si>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</si>
  <si>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</si>
  <si>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</si>
  <si>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</si>
  <si>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</si>
  <si>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</si>
  <si>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</si>
  <si>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</si>
  <si>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</si>
  <si>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</si>
  <si>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</si>
  <si>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</si>
  <si>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</si>
  <si>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</si>
  <si>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</si>
  <si>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</si>
  <si>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</si>
  <si>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</si>
  <si>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</si>
  <si>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</si>
  <si>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</si>
  <si>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</si>
  <si>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</si>
  <si>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</si>
  <si>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</si>
  <si>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</si>
  <si>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</si>
  <si>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</si>
  <si>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</si>
  <si>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</si>
  <si>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</si>
  <si>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</si>
  <si>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</si>
  <si>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</si>
  <si>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</si>
  <si>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</si>
  <si>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</si>
  <si>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</si>
  <si>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</si>
  <si>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</si>
  <si>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</si>
  <si>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</si>
  <si>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</si>
  <si>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</si>
  <si>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</si>
  <si>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</si>
  <si>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</si>
  <si>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</si>
  <si>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</si>
  <si>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</si>
  <si>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</si>
  <si>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</si>
  <si>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</si>
  <si>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</si>
  <si>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</si>
  <si>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</si>
  <si>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</si>
  <si>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</si>
  <si>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</si>
  <si>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</si>
  <si>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</si>
  <si>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</si>
  <si>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</si>
  <si>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</si>
  <si>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</si>
  <si>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</si>
  <si>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</si>
  <si>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</si>
  <si>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</si>
  <si>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</si>
  <si>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</si>
  <si>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</si>
  <si>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</si>
  <si>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</si>
  <si>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</si>
  <si>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</si>
  <si>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</si>
  <si>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</si>
  <si>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</si>
  <si>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</si>
  <si>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</si>
  <si>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</si>
  <si>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</si>
  <si>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</si>
  <si>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</si>
  <si>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</si>
  <si>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</si>
  <si>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</si>
  <si>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</si>
  <si>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</si>
  <si>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</si>
  <si>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</si>
  <si>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</si>
  <si>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</si>
  <si>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</si>
  <si>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</si>
  <si>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</si>
  <si>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</si>
  <si>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</si>
  <si>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</si>
  <si>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</si>
  <si>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</si>
  <si>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</si>
  <si>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</si>
  <si>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</si>
  <si>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</si>
  <si>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</si>
  <si>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</si>
  <si>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</si>
  <si>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</si>
  <si>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</si>
  <si>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</si>
  <si>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</si>
  <si>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</si>
  <si>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</si>
  <si>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</si>
  <si>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</si>
  <si>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</si>
  <si>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</si>
  <si>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</si>
  <si>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</si>
  <si>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</si>
  <si>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</si>
  <si>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</si>
  <si>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</si>
  <si>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</si>
  <si>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</si>
  <si>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</si>
  <si>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</si>
  <si>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</si>
  <si>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</si>
  <si>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</si>
  <si>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</si>
  <si>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</si>
  <si>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</si>
  <si>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</si>
  <si>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</si>
  <si>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</si>
  <si>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</si>
  <si>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</si>
  <si>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</si>
  <si>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</si>
  <si>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</si>
  <si>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</si>
  <si>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</si>
  <si>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</si>
  <si>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</si>
  <si>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</si>
  <si>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</si>
  <si>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</si>
  <si>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</si>
  <si>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</si>
  <si>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</si>
  <si>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</si>
  <si>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</si>
  <si>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</si>
  <si>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</si>
  <si>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</si>
  <si>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</si>
  <si>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</si>
  <si>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</si>
  <si>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</si>
  <si>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</si>
  <si>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</si>
  <si>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</si>
  <si>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</si>
  <si>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</si>
  <si>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</si>
  <si>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</si>
  <si>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</si>
  <si>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</si>
  <si>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</si>
  <si>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</si>
  <si>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</si>
  <si>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</si>
  <si>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</si>
  <si>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</si>
  <si>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</si>
  <si>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</si>
  <si>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</si>
  <si>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</si>
  <si>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</si>
  <si>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</si>
  <si>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</si>
  <si>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</si>
  <si>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</si>
  <si>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</si>
  <si>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</si>
  <si>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</si>
  <si>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</si>
  <si>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</si>
  <si>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</si>
  <si>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</si>
  <si>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</si>
  <si>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</si>
  <si>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</si>
  <si>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</si>
  <si>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</si>
  <si>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</si>
  <si>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</si>
  <si>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</si>
  <si>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</si>
  <si>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</si>
  <si>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</si>
  <si>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</si>
  <si>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</si>
  <si>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</si>
  <si>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</si>
  <si>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</si>
  <si>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</si>
  <si>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</si>
  <si>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</si>
  <si>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</si>
  <si>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</si>
  <si>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</si>
  <si>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</si>
  <si>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</si>
  <si>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</si>
  <si>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</si>
  <si>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</si>
  <si>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</si>
  <si>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</si>
  <si>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</si>
  <si>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</si>
  <si>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</si>
  <si>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</si>
  <si>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</si>
  <si>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</si>
  <si>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</si>
  <si>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</si>
  <si>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</si>
  <si>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</si>
  <si>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</si>
  <si>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</si>
  <si>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</si>
  <si>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</si>
  <si>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</si>
  <si>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</si>
  <si>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</si>
  <si>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</si>
  <si>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</si>
  <si>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</si>
  <si>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</si>
  <si>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</si>
  <si>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</si>
  <si>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</si>
  <si>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</si>
  <si>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</si>
  <si>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</si>
  <si>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</si>
  <si>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</si>
  <si>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</si>
  <si>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</si>
  <si>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</si>
  <si>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</si>
  <si>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</si>
  <si>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</si>
  <si>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</si>
  <si>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</si>
  <si>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</si>
  <si>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</si>
  <si>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</si>
  <si>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</si>
  <si>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</si>
  <si>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</si>
  <si>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</si>
  <si>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</si>
  <si>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</si>
  <si>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</si>
  <si>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</si>
  <si>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</si>
  <si>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</si>
  <si>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</si>
  <si>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</si>
  <si>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</si>
  <si>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</si>
  <si>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</si>
  <si>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</si>
  <si>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</si>
  <si>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</si>
  <si>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</si>
  <si>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</si>
  <si>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</si>
  <si>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</si>
  <si>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</si>
  <si>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</si>
  <si>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</si>
  <si>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</si>
  <si>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</si>
  <si>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</si>
  <si>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</si>
  <si>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</si>
  <si>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</si>
  <si>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</si>
  <si>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</si>
  <si>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</si>
  <si>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</si>
  <si>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</si>
  <si>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</si>
  <si>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</si>
  <si>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</si>
  <si>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</si>
  <si>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</si>
  <si>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</si>
  <si>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</si>
  <si>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</si>
  <si>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</si>
  <si>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</si>
  <si>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</si>
  <si>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</si>
  <si>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</si>
  <si>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</si>
  <si>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</si>
  <si>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</si>
  <si>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</si>
  <si>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</si>
  <si>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</si>
  <si>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</si>
  <si>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</si>
  <si>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</si>
  <si>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</si>
  <si>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</si>
  <si>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</si>
  <si>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</si>
  <si>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</si>
  <si>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</si>
  <si>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</si>
  <si>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</si>
  <si>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</si>
  <si>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</si>
  <si>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</si>
  <si>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</si>
  <si>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</si>
  <si>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</si>
  <si>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</si>
  <si>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</si>
  <si>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</si>
  <si>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</si>
  <si>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</si>
  <si>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</si>
  <si>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</si>
  <si>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</si>
  <si>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</si>
  <si>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</si>
  <si>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</si>
  <si>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</si>
  <si>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</si>
  <si>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</si>
  <si>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</si>
  <si>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</si>
  <si>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</si>
  <si>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</si>
  <si>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</si>
  <si>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</si>
  <si>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</si>
  <si>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6C38</t>
  </si>
  <si>
    <t>drd2_human__wt</t>
  </si>
  <si>
    <t>6BQG</t>
  </si>
  <si>
    <t>6BQH</t>
  </si>
  <si>
    <t>5V54</t>
  </si>
  <si>
    <t>1x39</t>
  </si>
  <si>
    <t>5ht2c_human__wt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</si>
</sst>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743376"/>
        <c:axId val="1256488224"/>
      </c:lineChart>
      <c:catAx>
        <c:axId val="125774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88224"/>
        <c:crosses val="autoZero"/>
        <c:auto val="1"/>
        <c:lblAlgn val="ctr"/>
        <c:lblOffset val="100"/>
        <c:noMultiLvlLbl val="0"/>
      </c:catAx>
      <c:valAx>
        <c:axId val="12564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27"/>
  <sheetViews>
    <sheetView tabSelected="1"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A5" sqref="A5:XFD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5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7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5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8" si="3">E2</f>
        <v>45</v>
      </c>
      <c r="BW2" s="73">
        <f t="shared" ref="BW2:BW28" si="4">I2</f>
        <v>78</v>
      </c>
      <c r="BX2" s="74">
        <f t="shared" ref="BX2:BX28" si="5">M2</f>
        <v>82</v>
      </c>
      <c r="BY2" s="73">
        <f t="shared" ref="BY2:BY28" si="6">Q2</f>
        <v>114</v>
      </c>
      <c r="BZ2" s="74">
        <f t="shared" ref="BZ2:BZ28" si="7">U2</f>
        <v>118</v>
      </c>
      <c r="CA2" s="73">
        <f t="shared" ref="CA2:CA28" si="8">Y2</f>
        <v>154</v>
      </c>
      <c r="CB2" s="74">
        <f t="shared" ref="CB2:CB28" si="9">AC2</f>
        <v>162</v>
      </c>
      <c r="CC2" s="73">
        <f t="shared" ref="CC2:CC28" si="10">AG2</f>
        <v>199</v>
      </c>
      <c r="CD2" s="74">
        <f t="shared" ref="CD2:CD28" si="11">AK2</f>
        <v>205</v>
      </c>
      <c r="CE2" s="73">
        <f t="shared" ref="CE2:CE28" si="12">AO2</f>
        <v>303</v>
      </c>
      <c r="CF2" s="74">
        <f t="shared" ref="CF2:CF28" si="13">AS2</f>
        <v>347</v>
      </c>
      <c r="CG2" s="73">
        <f t="shared" ref="CG2:CG28" si="14">AW2</f>
        <v>373</v>
      </c>
      <c r="CH2" s="72">
        <f t="shared" ref="CH2:CH28" si="15">G2</f>
        <v>77</v>
      </c>
      <c r="CI2" s="73">
        <f t="shared" ref="CI2:CI28" si="16">K2</f>
        <v>81</v>
      </c>
      <c r="CJ2" s="74">
        <f t="shared" ref="CJ2:CJ28" si="17">O2</f>
        <v>113</v>
      </c>
      <c r="CK2" s="74">
        <f t="shared" ref="CK2:CK28" si="18">S2</f>
        <v>117</v>
      </c>
      <c r="CL2" s="74">
        <f t="shared" ref="CL2:CL28" si="19">W2</f>
        <v>153</v>
      </c>
      <c r="CM2" s="74">
        <f t="shared" ref="CM2:CM28" si="20">AA2</f>
        <v>161</v>
      </c>
      <c r="CN2" s="74">
        <f t="shared" ref="CN2:CN28" si="21">AE2</f>
        <v>187</v>
      </c>
      <c r="CO2" s="74">
        <f t="shared" ref="CO2:CO28" si="22">AI2</f>
        <v>201</v>
      </c>
      <c r="CP2" s="74">
        <f t="shared" ref="CP2:CP28" si="23">AM2</f>
        <v>244</v>
      </c>
      <c r="CQ2" s="74">
        <f t="shared" ref="CQ2:CQ28" si="24">AQ2</f>
        <v>339</v>
      </c>
      <c r="CR2" s="74">
        <f t="shared" ref="CR2:CR28" si="25">AU2</f>
        <v>372</v>
      </c>
      <c r="CS2" s="74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45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347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113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45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113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1481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1">
        <v>78</v>
      </c>
      <c r="J5" s="9" t="str">
        <f>IFERROR(MID(VLOOKUP($B5,Seqs!$A:$B,2,0),K5,1),"")</f>
        <v>H</v>
      </c>
      <c r="K5" s="111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2" t="str">
        <f>VLOOKUP(B5,Classification!A:D,2,0)</f>
        <v>A</v>
      </c>
      <c r="BA5" s="100" t="str">
        <f>VLOOKUP(B5,Classification!A:D,4,0)</f>
        <v>5-Hydroxytryptamine</v>
      </c>
      <c r="BB5" s="37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1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2">
        <v>3.7</v>
      </c>
      <c r="BG5" s="52" t="s">
        <v>1384</v>
      </c>
      <c r="BH5" s="52" t="s">
        <v>1384</v>
      </c>
      <c r="BJ5" s="113" t="s">
        <v>1293</v>
      </c>
      <c r="BK5" s="114" t="s">
        <v>1293</v>
      </c>
      <c r="BL5" s="114" t="s">
        <v>1293</v>
      </c>
      <c r="BM5" s="114" t="s">
        <v>1293</v>
      </c>
      <c r="BN5" s="114" t="s">
        <v>1293</v>
      </c>
      <c r="BO5" s="114" t="s">
        <v>1293</v>
      </c>
      <c r="BP5" s="114" t="s">
        <v>1293</v>
      </c>
      <c r="BQ5" s="114" t="s">
        <v>1293</v>
      </c>
      <c r="BR5" s="114" t="s">
        <v>1293</v>
      </c>
      <c r="BS5" s="114" t="s">
        <v>1293</v>
      </c>
      <c r="BT5" s="114" t="s">
        <v>1293</v>
      </c>
      <c r="BU5" s="114" t="s">
        <v>1293</v>
      </c>
      <c r="BV5" s="113">
        <f t="shared" ref="BV5" si="31">E5</f>
        <v>45</v>
      </c>
      <c r="BW5" s="115">
        <f t="shared" ref="BW5" si="32">I5</f>
        <v>78</v>
      </c>
      <c r="BX5" s="116">
        <f t="shared" ref="BX5" si="33">M5</f>
        <v>82</v>
      </c>
      <c r="BY5" s="115">
        <f t="shared" ref="BY5" si="34">Q5</f>
        <v>114</v>
      </c>
      <c r="BZ5" s="116">
        <f t="shared" ref="BZ5" si="35">U5</f>
        <v>118</v>
      </c>
      <c r="CA5" s="115">
        <f t="shared" ref="CA5" si="36">Y5</f>
        <v>154</v>
      </c>
      <c r="CB5" s="116">
        <f t="shared" ref="CB5" si="37">AC5</f>
        <v>162</v>
      </c>
      <c r="CC5" s="115">
        <f t="shared" ref="CC5" si="38">AG5</f>
        <v>199</v>
      </c>
      <c r="CD5" s="116">
        <f t="shared" ref="CD5" si="39">AK5</f>
        <v>205</v>
      </c>
      <c r="CE5" s="115">
        <f t="shared" ref="CE5" si="40">AO5</f>
        <v>308</v>
      </c>
      <c r="CF5" s="116">
        <f t="shared" ref="CF5" si="41">AS5</f>
        <v>346</v>
      </c>
      <c r="CG5" s="115">
        <f t="shared" ref="CG5" si="42">AW5</f>
        <v>373</v>
      </c>
      <c r="CH5" s="113">
        <f t="shared" ref="CH5" si="43">G5</f>
        <v>77</v>
      </c>
      <c r="CI5" s="115">
        <f t="shared" ref="CI5" si="44">K5</f>
        <v>81</v>
      </c>
      <c r="CJ5" s="116">
        <f t="shared" ref="CJ5" si="45">O5</f>
        <v>113</v>
      </c>
      <c r="CK5" s="116">
        <f t="shared" ref="CK5" si="46">S5</f>
        <v>117</v>
      </c>
      <c r="CL5" s="116">
        <f t="shared" ref="CL5" si="47">W5</f>
        <v>152</v>
      </c>
      <c r="CM5" s="116">
        <f t="shared" ref="CM5" si="48">AA5</f>
        <v>161</v>
      </c>
      <c r="CN5" s="116">
        <f t="shared" ref="CN5" si="49">AE5</f>
        <v>184</v>
      </c>
      <c r="CO5" s="116">
        <f t="shared" ref="CO5" si="50">AI5</f>
        <v>201</v>
      </c>
      <c r="CP5" s="116">
        <f t="shared" ref="CP5" si="51">AM5</f>
        <v>239</v>
      </c>
      <c r="CQ5" s="116">
        <f t="shared" ref="CQ5" si="52">AQ5</f>
        <v>337</v>
      </c>
      <c r="CR5" s="116">
        <f t="shared" ref="CR5" si="53">AU5</f>
        <v>372</v>
      </c>
      <c r="CS5" s="116">
        <f t="shared" ref="CS5" si="54">AY5</f>
        <v>384</v>
      </c>
      <c r="CT5" s="111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7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3" t="s">
        <v>1379</v>
      </c>
      <c r="BE6" s="3" t="s">
        <v>23</v>
      </c>
      <c r="BF6" s="121" t="s">
        <v>23</v>
      </c>
      <c r="BG6" s="50" t="s">
        <v>1379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>
        <f t="shared" si="8"/>
        <v>160</v>
      </c>
      <c r="CB6" s="74">
        <f t="shared" si="9"/>
        <v>168</v>
      </c>
      <c r="CC6" s="73">
        <f t="shared" si="10"/>
        <v>207</v>
      </c>
      <c r="CD6" s="74">
        <f t="shared" si="11"/>
        <v>214</v>
      </c>
      <c r="CE6" s="73">
        <f t="shared" si="12"/>
        <v>313</v>
      </c>
      <c r="CF6" s="74">
        <f t="shared" si="13"/>
        <v>354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>
        <f t="shared" si="20"/>
        <v>167</v>
      </c>
      <c r="CN6" s="74">
        <f t="shared" si="21"/>
        <v>194</v>
      </c>
      <c r="CO6" s="74">
        <f t="shared" si="22"/>
        <v>209</v>
      </c>
      <c r="CP6" s="74">
        <f t="shared" si="23"/>
        <v>255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164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354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7" t="s">
        <v>1379</v>
      </c>
      <c r="BE8" s="3" t="s">
        <v>1439</v>
      </c>
      <c r="BF8" s="121">
        <v>2.7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165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354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1">
        <v>2.8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si="3"/>
        <v>54</v>
      </c>
      <c r="BW9" s="73">
        <f t="shared" si="4"/>
        <v>83</v>
      </c>
      <c r="BX9" s="74">
        <f t="shared" si="5"/>
        <v>87</v>
      </c>
      <c r="BY9" s="73">
        <f t="shared" si="6"/>
        <v>120</v>
      </c>
      <c r="BZ9" s="74">
        <f t="shared" si="7"/>
        <v>124</v>
      </c>
      <c r="CA9" s="73" t="str">
        <f t="shared" si="8"/>
        <v>-</v>
      </c>
      <c r="CB9" s="74">
        <f t="shared" si="9"/>
        <v>164</v>
      </c>
      <c r="CC9" s="73">
        <f t="shared" si="10"/>
        <v>207</v>
      </c>
      <c r="CD9" s="74">
        <f t="shared" si="11"/>
        <v>214</v>
      </c>
      <c r="CE9" s="73">
        <f t="shared" si="12"/>
        <v>314</v>
      </c>
      <c r="CF9" s="74">
        <f t="shared" si="13"/>
        <v>354</v>
      </c>
      <c r="CG9" s="73">
        <f t="shared" si="14"/>
        <v>384</v>
      </c>
      <c r="CH9" s="72">
        <f t="shared" si="15"/>
        <v>82</v>
      </c>
      <c r="CI9" s="73">
        <f t="shared" si="16"/>
        <v>86</v>
      </c>
      <c r="CJ9" s="74">
        <f t="shared" si="17"/>
        <v>117</v>
      </c>
      <c r="CK9" s="74">
        <f t="shared" si="18"/>
        <v>123</v>
      </c>
      <c r="CL9" s="74">
        <f t="shared" si="19"/>
        <v>159</v>
      </c>
      <c r="CM9" s="74" t="str">
        <f t="shared" si="20"/>
        <v>-</v>
      </c>
      <c r="CN9" s="74">
        <f t="shared" si="21"/>
        <v>194</v>
      </c>
      <c r="CO9" s="74">
        <f t="shared" si="22"/>
        <v>209</v>
      </c>
      <c r="CP9" s="74">
        <f t="shared" si="23"/>
        <v>248</v>
      </c>
      <c r="CQ9" s="74">
        <f t="shared" si="24"/>
        <v>350</v>
      </c>
      <c r="CR9" s="74">
        <f t="shared" si="25"/>
        <v>383</v>
      </c>
      <c r="CS9" s="74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1">
        <v>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57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164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314</v>
      </c>
      <c r="CF10" s="74">
        <f t="shared" ref="CF10" si="69">AS10</f>
        <v>354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193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382</v>
      </c>
      <c r="CS10" s="74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9" t="str">
        <f>VLOOKUP(B11,Classification!A:D,2,0)</f>
        <v>A</v>
      </c>
      <c r="BA11" s="96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1">
        <v>2.9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" si="87">E11</f>
        <v>54</v>
      </c>
      <c r="BW11" s="73">
        <f t="shared" ref="BW11" si="88">I11</f>
        <v>83</v>
      </c>
      <c r="BX11" s="74">
        <f t="shared" ref="BX11" si="89">M11</f>
        <v>87</v>
      </c>
      <c r="BY11" s="73">
        <f t="shared" ref="BY11" si="90">Q11</f>
        <v>120</v>
      </c>
      <c r="BZ11" s="74">
        <f t="shared" ref="BZ11" si="91">U11</f>
        <v>124</v>
      </c>
      <c r="CA11" s="73" t="str">
        <f t="shared" ref="CA11" si="92">Y11</f>
        <v>-</v>
      </c>
      <c r="CB11" s="74">
        <f t="shared" ref="CB11" si="93">AC11</f>
        <v>168</v>
      </c>
      <c r="CC11" s="73">
        <f t="shared" ref="CC11" si="94">AG11</f>
        <v>207</v>
      </c>
      <c r="CD11" s="74">
        <f t="shared" ref="CD11" si="95">AK11</f>
        <v>214</v>
      </c>
      <c r="CE11" s="73">
        <f t="shared" ref="CE11" si="96">AO11</f>
        <v>313</v>
      </c>
      <c r="CF11" s="74">
        <f t="shared" ref="CF11" si="97">AS11</f>
        <v>354</v>
      </c>
      <c r="CG11" s="73">
        <f t="shared" ref="CG11" si="98">AW11</f>
        <v>384</v>
      </c>
      <c r="CH11" s="72">
        <f t="shared" ref="CH11" si="99">G11</f>
        <v>82</v>
      </c>
      <c r="CI11" s="73">
        <f t="shared" ref="CI11" si="100">K11</f>
        <v>86</v>
      </c>
      <c r="CJ11" s="74">
        <f t="shared" ref="CJ11" si="101">O11</f>
        <v>117</v>
      </c>
      <c r="CK11" s="74">
        <f t="shared" ref="CK11" si="102">S11</f>
        <v>123</v>
      </c>
      <c r="CL11" s="74">
        <f t="shared" ref="CL11" si="103">W11</f>
        <v>159</v>
      </c>
      <c r="CM11" s="74" t="str">
        <f t="shared" ref="CM11" si="104">AA11</f>
        <v>-</v>
      </c>
      <c r="CN11" s="74">
        <f t="shared" ref="CN11" si="105">AE11</f>
        <v>194</v>
      </c>
      <c r="CO11" s="74">
        <f t="shared" ref="CO11" si="106">AI11</f>
        <v>209</v>
      </c>
      <c r="CP11" s="74">
        <f t="shared" ref="CP11" si="107">AM11</f>
        <v>248</v>
      </c>
      <c r="CQ11" s="74">
        <f t="shared" ref="CQ11" si="108">AQ11</f>
        <v>350</v>
      </c>
      <c r="CR11" s="74">
        <f t="shared" ref="CR11" si="109">AU11</f>
        <v>383</v>
      </c>
      <c r="CS11" s="74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1">
        <v>82</v>
      </c>
      <c r="J12" s="9" t="str">
        <f>IFERROR(MID(VLOOKUP($B12,Seqs!$A:$B,2,0),K12,1),"")</f>
        <v>H</v>
      </c>
      <c r="K12" s="111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2" t="str">
        <f>VLOOKUP(B12,Classification!A:D,2,0)</f>
        <v>A</v>
      </c>
      <c r="BA12" s="100" t="str">
        <f>VLOOKUP(B12,Classification!A:D,4,0)</f>
        <v>5-Hydroxytryptamine</v>
      </c>
      <c r="BB12" s="37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1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2" t="s">
        <v>23</v>
      </c>
      <c r="BG12" s="52" t="s">
        <v>1384</v>
      </c>
      <c r="BH12" s="52" t="s">
        <v>1384</v>
      </c>
      <c r="BI12" s="12"/>
      <c r="BJ12" s="113" t="s">
        <v>1293</v>
      </c>
      <c r="BK12" s="114" t="s">
        <v>1293</v>
      </c>
      <c r="BL12" s="114" t="s">
        <v>1293</v>
      </c>
      <c r="BM12" s="114" t="s">
        <v>1293</v>
      </c>
      <c r="BN12" s="114" t="s">
        <v>1293</v>
      </c>
      <c r="BO12" s="114" t="s">
        <v>1293</v>
      </c>
      <c r="BP12" s="114" t="s">
        <v>1293</v>
      </c>
      <c r="BQ12" s="114" t="s">
        <v>1293</v>
      </c>
      <c r="BR12" s="114" t="s">
        <v>1293</v>
      </c>
      <c r="BS12" s="114" t="s">
        <v>1293</v>
      </c>
      <c r="BT12" s="114" t="s">
        <v>1293</v>
      </c>
      <c r="BU12" s="114" t="s">
        <v>1293</v>
      </c>
      <c r="BV12" s="113">
        <f t="shared" ref="BV12" si="115">E12</f>
        <v>54</v>
      </c>
      <c r="BW12" s="115">
        <f t="shared" ref="BW12" si="116">I12</f>
        <v>82</v>
      </c>
      <c r="BX12" s="116">
        <f t="shared" ref="BX12" si="117">M12</f>
        <v>86</v>
      </c>
      <c r="BY12" s="115">
        <f t="shared" ref="BY12" si="118">Q12</f>
        <v>119</v>
      </c>
      <c r="BZ12" s="116">
        <f t="shared" ref="BZ12" si="119">U12</f>
        <v>123</v>
      </c>
      <c r="CA12" s="115">
        <f t="shared" ref="CA12" si="120">Y12</f>
        <v>159</v>
      </c>
      <c r="CB12" s="116">
        <f t="shared" ref="CB12" si="121">AC12</f>
        <v>167</v>
      </c>
      <c r="CC12" s="115">
        <f t="shared" ref="CC12" si="122">AG12</f>
        <v>207</v>
      </c>
      <c r="CD12" s="116">
        <f t="shared" ref="CD12" si="123">AK12</f>
        <v>211</v>
      </c>
      <c r="CE12" s="115">
        <f t="shared" ref="CE12" si="124">AO12</f>
        <v>300</v>
      </c>
      <c r="CF12" s="116">
        <f t="shared" ref="CF12" si="125">AS12</f>
        <v>342</v>
      </c>
      <c r="CG12" s="115">
        <f t="shared" ref="CG12" si="126">AW12</f>
        <v>372</v>
      </c>
      <c r="CH12" s="113">
        <f t="shared" ref="CH12" si="127">G12</f>
        <v>81</v>
      </c>
      <c r="CI12" s="115">
        <f t="shared" ref="CI12" si="128">K12</f>
        <v>85</v>
      </c>
      <c r="CJ12" s="116">
        <f t="shared" ref="CJ12" si="129">O12</f>
        <v>117</v>
      </c>
      <c r="CK12" s="116">
        <f t="shared" ref="CK12" si="130">S12</f>
        <v>122</v>
      </c>
      <c r="CL12" s="116">
        <f t="shared" ref="CL12" si="131">W12</f>
        <v>158</v>
      </c>
      <c r="CM12" s="116">
        <f t="shared" ref="CM12" si="132">AA12</f>
        <v>166</v>
      </c>
      <c r="CN12" s="116">
        <f t="shared" ref="CN12" si="133">AE12</f>
        <v>196</v>
      </c>
      <c r="CO12" s="116">
        <f t="shared" ref="CO12" si="134">AI12</f>
        <v>209</v>
      </c>
      <c r="CP12" s="116">
        <f t="shared" ref="CP12" si="135">AM12</f>
        <v>250</v>
      </c>
      <c r="CQ12" s="116">
        <f t="shared" ref="CQ12" si="136">AQ12</f>
        <v>337</v>
      </c>
      <c r="CR12" s="116">
        <f t="shared" ref="CR12" si="137">AU12</f>
        <v>371</v>
      </c>
      <c r="CS12" s="116">
        <f t="shared" ref="CS12" si="138">AY12</f>
        <v>385</v>
      </c>
      <c r="CT12" s="111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1479</v>
      </c>
      <c r="D13" s="9" t="str">
        <f>IFERROR(MID(VLOOKUP($B13,Seqs!$A:$B,2,0),E13,1),"")</f>
        <v>W</v>
      </c>
      <c r="E13" s="9">
        <v>55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1">
        <v>82</v>
      </c>
      <c r="J13" s="9" t="str">
        <f>IFERROR(MID(VLOOKUP($B13,Seqs!$A:$B,2,0),K13,1),"")</f>
        <v>H</v>
      </c>
      <c r="K13" s="111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2" t="str">
        <f>VLOOKUP(B13,Classification!A:D,2,0)</f>
        <v>A</v>
      </c>
      <c r="BA13" s="100" t="str">
        <f>VLOOKUP(B13,Classification!A:D,4,0)</f>
        <v>5-Hydroxytryptamine</v>
      </c>
      <c r="BB13" s="37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1">
        <f t="shared" ref="BC13" si="142">_xlfn.AGGREGATE(9,6,CH13:CS13)-_xlfn.AGGREGATE(9,6,BV13:CG13)+12</f>
        <v>253</v>
      </c>
      <c r="BD13" s="11" t="s">
        <v>1382</v>
      </c>
      <c r="BE13" s="9" t="s">
        <v>1297</v>
      </c>
      <c r="BF13" s="122">
        <v>3</v>
      </c>
      <c r="BG13" s="52" t="s">
        <v>1</v>
      </c>
      <c r="BH13" s="52" t="s">
        <v>1</v>
      </c>
      <c r="BI13" s="12"/>
      <c r="BJ13" s="113" t="s">
        <v>1293</v>
      </c>
      <c r="BK13" s="114" t="s">
        <v>1293</v>
      </c>
      <c r="BL13" s="114" t="s">
        <v>1293</v>
      </c>
      <c r="BM13" s="114" t="s">
        <v>1293</v>
      </c>
      <c r="BN13" s="114" t="s">
        <v>1293</v>
      </c>
      <c r="BO13" s="114" t="s">
        <v>1293</v>
      </c>
      <c r="BP13" s="114" t="s">
        <v>1293</v>
      </c>
      <c r="BQ13" s="114" t="s">
        <v>1293</v>
      </c>
      <c r="BR13" s="114" t="s">
        <v>1293</v>
      </c>
      <c r="BS13" s="114" t="s">
        <v>1293</v>
      </c>
      <c r="BT13" s="114" t="s">
        <v>1293</v>
      </c>
      <c r="BU13" s="114" t="s">
        <v>1293</v>
      </c>
      <c r="BV13" s="113">
        <f t="shared" ref="BV13" si="143">E13</f>
        <v>55</v>
      </c>
      <c r="BW13" s="115">
        <f t="shared" ref="BW13" si="144">I13</f>
        <v>82</v>
      </c>
      <c r="BX13" s="116">
        <f t="shared" ref="BX13" si="145">M13</f>
        <v>86</v>
      </c>
      <c r="BY13" s="115">
        <f t="shared" ref="BY13" si="146">Q13</f>
        <v>119</v>
      </c>
      <c r="BZ13" s="116">
        <f t="shared" ref="BZ13" si="147">U13</f>
        <v>123</v>
      </c>
      <c r="CA13" s="115" t="str">
        <f t="shared" ref="CA13" si="148">Y13</f>
        <v>-</v>
      </c>
      <c r="CB13" s="116">
        <f t="shared" ref="CB13" si="149">AC13</f>
        <v>167</v>
      </c>
      <c r="CC13" s="115">
        <f t="shared" ref="CC13" si="150">AG13</f>
        <v>207</v>
      </c>
      <c r="CD13" s="116">
        <f t="shared" ref="CD13" si="151">AK13</f>
        <v>211</v>
      </c>
      <c r="CE13" s="115">
        <f t="shared" ref="CE13" si="152">AO13</f>
        <v>301</v>
      </c>
      <c r="CF13" s="116">
        <f t="shared" ref="CF13" si="153">AS13</f>
        <v>342</v>
      </c>
      <c r="CG13" s="115">
        <f t="shared" ref="CG13" si="154">AW13</f>
        <v>372</v>
      </c>
      <c r="CH13" s="113">
        <f t="shared" ref="CH13" si="155">G13</f>
        <v>81</v>
      </c>
      <c r="CI13" s="115">
        <f t="shared" ref="CI13" si="156">K13</f>
        <v>85</v>
      </c>
      <c r="CJ13" s="116">
        <f t="shared" ref="CJ13" si="157">O13</f>
        <v>117</v>
      </c>
      <c r="CK13" s="116">
        <f t="shared" ref="CK13" si="158">S13</f>
        <v>122</v>
      </c>
      <c r="CL13" s="116">
        <f t="shared" ref="CL13" si="159">W13</f>
        <v>158</v>
      </c>
      <c r="CM13" s="116" t="str">
        <f t="shared" ref="CM13" si="160">AA13</f>
        <v>-</v>
      </c>
      <c r="CN13" s="116">
        <f t="shared" ref="CN13" si="161">AE13</f>
        <v>196</v>
      </c>
      <c r="CO13" s="116">
        <f t="shared" ref="CO13" si="162">AI13</f>
        <v>209</v>
      </c>
      <c r="CP13" s="116">
        <f t="shared" ref="CP13" si="163">AM13</f>
        <v>245</v>
      </c>
      <c r="CQ13" s="116">
        <f t="shared" ref="CQ13" si="164">AQ13</f>
        <v>337</v>
      </c>
      <c r="CR13" s="116">
        <f t="shared" ref="CR13" si="165">AU13</f>
        <v>371</v>
      </c>
      <c r="CS13" s="116">
        <f t="shared" ref="CS13" si="166">AY13</f>
        <v>385</v>
      </c>
      <c r="CT13" s="111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1480</v>
      </c>
      <c r="D14" s="9" t="str">
        <f>IFERROR(MID(VLOOKUP($B14,Seqs!$A:$B,2,0),E14,1),"")</f>
        <v>N</v>
      </c>
      <c r="E14" s="9">
        <v>54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1">
        <v>82</v>
      </c>
      <c r="J14" s="9" t="str">
        <f>IFERROR(MID(VLOOKUP($B14,Seqs!$A:$B,2,0),K14,1),"")</f>
        <v>H</v>
      </c>
      <c r="K14" s="111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2" t="str">
        <f>VLOOKUP(B14,Classification!A:D,2,0)</f>
        <v>A</v>
      </c>
      <c r="BA14" s="100" t="str">
        <f>VLOOKUP(B14,Classification!A:D,4,0)</f>
        <v>5-Hydroxytryptamine</v>
      </c>
      <c r="BB14" s="37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1">
        <f t="shared" ref="BC14" si="170">_xlfn.AGGREGATE(9,6,CH14:CS14)-_xlfn.AGGREGATE(9,6,BV14:CG14)+12</f>
        <v>254</v>
      </c>
      <c r="BD14" s="11" t="s">
        <v>1440</v>
      </c>
      <c r="BE14" s="9" t="s">
        <v>1439</v>
      </c>
      <c r="BF14" s="122">
        <v>2.7</v>
      </c>
      <c r="BG14" s="52" t="s">
        <v>1</v>
      </c>
      <c r="BH14" s="52" t="s">
        <v>1</v>
      </c>
      <c r="BI14" s="12"/>
      <c r="BJ14" s="113" t="s">
        <v>1293</v>
      </c>
      <c r="BK14" s="114" t="s">
        <v>1293</v>
      </c>
      <c r="BL14" s="114" t="s">
        <v>1293</v>
      </c>
      <c r="BM14" s="114" t="s">
        <v>1293</v>
      </c>
      <c r="BN14" s="114" t="s">
        <v>1293</v>
      </c>
      <c r="BO14" s="114" t="s">
        <v>1293</v>
      </c>
      <c r="BP14" s="114" t="s">
        <v>1293</v>
      </c>
      <c r="BQ14" s="114" t="s">
        <v>1293</v>
      </c>
      <c r="BR14" s="114" t="s">
        <v>1293</v>
      </c>
      <c r="BS14" s="114" t="s">
        <v>1293</v>
      </c>
      <c r="BT14" s="114" t="s">
        <v>1293</v>
      </c>
      <c r="BU14" s="114" t="s">
        <v>1293</v>
      </c>
      <c r="BV14" s="113">
        <f t="shared" ref="BV14" si="171">E14</f>
        <v>54</v>
      </c>
      <c r="BW14" s="115">
        <f t="shared" ref="BW14" si="172">I14</f>
        <v>82</v>
      </c>
      <c r="BX14" s="116">
        <f t="shared" ref="BX14" si="173">M14</f>
        <v>86</v>
      </c>
      <c r="BY14" s="115">
        <f t="shared" ref="BY14" si="174">Q14</f>
        <v>119</v>
      </c>
      <c r="BZ14" s="116">
        <f t="shared" ref="BZ14" si="175">U14</f>
        <v>123</v>
      </c>
      <c r="CA14" s="115" t="str">
        <f t="shared" ref="CA14" si="176">Y14</f>
        <v>-</v>
      </c>
      <c r="CB14" s="116">
        <f t="shared" ref="CB14" si="177">AC14</f>
        <v>166</v>
      </c>
      <c r="CC14" s="115">
        <f t="shared" ref="CC14" si="178">AG14</f>
        <v>207</v>
      </c>
      <c r="CD14" s="116">
        <f t="shared" ref="CD14" si="179">AK14</f>
        <v>211</v>
      </c>
      <c r="CE14" s="115">
        <f t="shared" ref="CE14" si="180">AO14</f>
        <v>301</v>
      </c>
      <c r="CF14" s="116">
        <f t="shared" ref="CF14" si="181">AS14</f>
        <v>342</v>
      </c>
      <c r="CG14" s="115">
        <f t="shared" ref="CG14" si="182">AW14</f>
        <v>372</v>
      </c>
      <c r="CH14" s="113">
        <f t="shared" ref="CH14" si="183">G14</f>
        <v>81</v>
      </c>
      <c r="CI14" s="115">
        <f t="shared" ref="CI14" si="184">K14</f>
        <v>85</v>
      </c>
      <c r="CJ14" s="116">
        <f t="shared" ref="CJ14" si="185">O14</f>
        <v>117</v>
      </c>
      <c r="CK14" s="116">
        <f t="shared" ref="CK14" si="186">S14</f>
        <v>122</v>
      </c>
      <c r="CL14" s="116">
        <f t="shared" ref="CL14" si="187">W14</f>
        <v>157</v>
      </c>
      <c r="CM14" s="116" t="str">
        <f t="shared" ref="CM14" si="188">AA14</f>
        <v>-</v>
      </c>
      <c r="CN14" s="116">
        <f t="shared" ref="CN14" si="189">AE14</f>
        <v>196</v>
      </c>
      <c r="CO14" s="116">
        <f t="shared" ref="CO14" si="190">AI14</f>
        <v>209</v>
      </c>
      <c r="CP14" s="116">
        <f t="shared" ref="CP14" si="191">AM14</f>
        <v>245</v>
      </c>
      <c r="CQ14" s="116">
        <f t="shared" ref="CQ14" si="192">AQ14</f>
        <v>336</v>
      </c>
      <c r="CR14" s="116">
        <f t="shared" ref="CR14" si="193">AU14</f>
        <v>371</v>
      </c>
      <c r="CS14" s="116">
        <f t="shared" ref="CS14" si="194">AY14</f>
        <v>386</v>
      </c>
      <c r="CT14" s="111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1" t="s">
        <v>23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ref="BV15:BV17" si="199">E15</f>
        <v>6</v>
      </c>
      <c r="BW15" s="73">
        <f t="shared" ref="BW15:BW17" si="200">I15</f>
        <v>38</v>
      </c>
      <c r="BX15" s="74">
        <f t="shared" ref="BX15:BX17" si="201">M15</f>
        <v>42</v>
      </c>
      <c r="BY15" s="73">
        <f t="shared" ref="BY15:BY17" si="202">Q15</f>
        <v>73</v>
      </c>
      <c r="BZ15" s="74">
        <f t="shared" ref="BZ15:BZ17" si="203">U15</f>
        <v>76</v>
      </c>
      <c r="CA15" s="73">
        <f t="shared" ref="CA15:CA17" si="204">Y15</f>
        <v>112</v>
      </c>
      <c r="CB15" s="74">
        <f t="shared" ref="CB15:CB17" si="205">AC15</f>
        <v>120</v>
      </c>
      <c r="CC15" s="73">
        <f t="shared" ref="CC15:CC17" si="206">AG15</f>
        <v>169</v>
      </c>
      <c r="CD15" s="74">
        <f t="shared" ref="CD15:CD17" si="207">AK15</f>
        <v>176</v>
      </c>
      <c r="CE15" s="73">
        <f t="shared" ref="CE15:CE17" si="208">AO15</f>
        <v>221</v>
      </c>
      <c r="CF15" s="74">
        <f t="shared" ref="CF15:CF17" si="209">AS15</f>
        <v>266</v>
      </c>
      <c r="CG15" s="73">
        <f t="shared" ref="CG15:CG17" si="210">AW15</f>
        <v>292</v>
      </c>
      <c r="CH15" s="72">
        <f t="shared" ref="CH15:CH17" si="211">G15</f>
        <v>37</v>
      </c>
      <c r="CI15" s="73">
        <f t="shared" ref="CI15:CI17" si="212">K15</f>
        <v>41</v>
      </c>
      <c r="CJ15" s="74">
        <f t="shared" ref="CJ15:CJ17" si="213">O15</f>
        <v>72</v>
      </c>
      <c r="CK15" s="74">
        <f t="shared" ref="CK15:CK17" si="214">S15</f>
        <v>75</v>
      </c>
      <c r="CL15" s="74">
        <f t="shared" ref="CL15:CL17" si="215">W15</f>
        <v>111</v>
      </c>
      <c r="CM15" s="74">
        <f t="shared" ref="CM15:CM17" si="216">AA15</f>
        <v>119</v>
      </c>
      <c r="CN15" s="74">
        <f t="shared" ref="CN15:CN17" si="217">AE15</f>
        <v>145</v>
      </c>
      <c r="CO15" s="74">
        <f t="shared" ref="CO15:CO17" si="218">AI15</f>
        <v>171</v>
      </c>
      <c r="CP15" s="74">
        <f t="shared" ref="CP15:CP17" si="219">AM15</f>
        <v>215</v>
      </c>
      <c r="CQ15" s="74">
        <f t="shared" ref="CQ15:CQ17" si="220">AQ15</f>
        <v>260</v>
      </c>
      <c r="CR15" s="74">
        <f t="shared" ref="CR15:CR17" si="221">AU15</f>
        <v>291</v>
      </c>
      <c r="CS15" s="74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1">
        <v>3.3</v>
      </c>
      <c r="BG16" s="50" t="s">
        <v>1</v>
      </c>
      <c r="BH16" s="50" t="s">
        <v>1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ref="BV16" si="226">E16</f>
        <v>6</v>
      </c>
      <c r="BW16" s="73" t="str">
        <f t="shared" ref="BW16" si="227">I16</f>
        <v>-</v>
      </c>
      <c r="BX16" s="74">
        <f t="shared" ref="BX16" si="228">M16</f>
        <v>42</v>
      </c>
      <c r="BY16" s="73">
        <f t="shared" ref="BY16" si="229">Q16</f>
        <v>73</v>
      </c>
      <c r="BZ16" s="74">
        <f t="shared" ref="BZ16" si="230">U16</f>
        <v>76</v>
      </c>
      <c r="CA16" s="73">
        <f t="shared" ref="CA16" si="231">Y16</f>
        <v>112</v>
      </c>
      <c r="CB16" s="74">
        <f t="shared" ref="CB16" si="232">AC16</f>
        <v>120</v>
      </c>
      <c r="CC16" s="73">
        <f t="shared" ref="CC16" si="233">AG16</f>
        <v>169</v>
      </c>
      <c r="CD16" s="74">
        <f t="shared" ref="CD16" si="234">AK16</f>
        <v>176</v>
      </c>
      <c r="CE16" s="73">
        <f t="shared" ref="CE16" si="235">AO16</f>
        <v>223</v>
      </c>
      <c r="CF16" s="74">
        <f t="shared" ref="CF16" si="236">AS16</f>
        <v>266</v>
      </c>
      <c r="CG16" s="73" t="str">
        <f t="shared" ref="CG16" si="237">AW16</f>
        <v>-</v>
      </c>
      <c r="CH16" s="72">
        <f t="shared" ref="CH16" si="238">G16</f>
        <v>36</v>
      </c>
      <c r="CI16" s="73" t="str">
        <f t="shared" ref="CI16" si="239">K16</f>
        <v>-</v>
      </c>
      <c r="CJ16" s="74">
        <f t="shared" ref="CJ16" si="240">O16</f>
        <v>72</v>
      </c>
      <c r="CK16" s="74">
        <f t="shared" ref="CK16" si="241">S16</f>
        <v>75</v>
      </c>
      <c r="CL16" s="74">
        <f t="shared" ref="CL16" si="242">W16</f>
        <v>111</v>
      </c>
      <c r="CM16" s="74">
        <f t="shared" ref="CM16" si="243">AA16</f>
        <v>119</v>
      </c>
      <c r="CN16" s="74">
        <f t="shared" ref="CN16" si="244">AE16</f>
        <v>145</v>
      </c>
      <c r="CO16" s="74">
        <f t="shared" ref="CO16" si="245">AI16</f>
        <v>171</v>
      </c>
      <c r="CP16" s="74">
        <f t="shared" ref="CP16" si="246">AM16</f>
        <v>211</v>
      </c>
      <c r="CQ16" s="74">
        <f t="shared" ref="CQ16" si="247">AQ16</f>
        <v>260</v>
      </c>
      <c r="CR16" s="74">
        <f t="shared" ref="CR16" si="248">AU16</f>
        <v>295</v>
      </c>
      <c r="CS16" s="74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1">
        <v>3.2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199"/>
        <v>6</v>
      </c>
      <c r="BW17" s="73">
        <f t="shared" si="200"/>
        <v>38</v>
      </c>
      <c r="BX17" s="74">
        <f t="shared" si="201"/>
        <v>42</v>
      </c>
      <c r="BY17" s="73">
        <f t="shared" si="202"/>
        <v>73</v>
      </c>
      <c r="BZ17" s="74">
        <f t="shared" si="203"/>
        <v>76</v>
      </c>
      <c r="CA17" s="73">
        <f t="shared" si="204"/>
        <v>112</v>
      </c>
      <c r="CB17" s="74">
        <f t="shared" si="205"/>
        <v>120</v>
      </c>
      <c r="CC17" s="73">
        <f t="shared" si="206"/>
        <v>169</v>
      </c>
      <c r="CD17" s="74">
        <f t="shared" si="207"/>
        <v>176</v>
      </c>
      <c r="CE17" s="73">
        <f t="shared" si="208"/>
        <v>220</v>
      </c>
      <c r="CF17" s="74">
        <f t="shared" si="209"/>
        <v>266</v>
      </c>
      <c r="CG17" s="73">
        <f t="shared" si="210"/>
        <v>292</v>
      </c>
      <c r="CH17" s="72">
        <f t="shared" si="211"/>
        <v>37</v>
      </c>
      <c r="CI17" s="73">
        <f t="shared" si="212"/>
        <v>41</v>
      </c>
      <c r="CJ17" s="74">
        <f t="shared" si="213"/>
        <v>72</v>
      </c>
      <c r="CK17" s="74">
        <f t="shared" si="214"/>
        <v>75</v>
      </c>
      <c r="CL17" s="74">
        <f t="shared" si="215"/>
        <v>111</v>
      </c>
      <c r="CM17" s="74">
        <f t="shared" si="216"/>
        <v>119</v>
      </c>
      <c r="CN17" s="74">
        <f t="shared" si="217"/>
        <v>145</v>
      </c>
      <c r="CO17" s="74">
        <f t="shared" si="218"/>
        <v>171</v>
      </c>
      <c r="CP17" s="74">
        <f t="shared" si="219"/>
        <v>211</v>
      </c>
      <c r="CQ17" s="74">
        <f t="shared" si="220"/>
        <v>260</v>
      </c>
      <c r="CR17" s="74">
        <f t="shared" si="221"/>
        <v>291</v>
      </c>
      <c r="CS17" s="74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5" t="s">
        <v>1379</v>
      </c>
      <c r="BE18" s="3" t="s">
        <v>23</v>
      </c>
      <c r="BF18" s="121" t="s">
        <v>23</v>
      </c>
      <c r="BG18" s="50" t="s">
        <v>1379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1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1">
        <v>3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225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210</v>
      </c>
      <c r="CQ19" s="74">
        <f t="shared" si="24"/>
        <v>259</v>
      </c>
      <c r="CR19" s="74">
        <f t="shared" si="25"/>
        <v>291</v>
      </c>
      <c r="CS19" s="74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1">
        <v>2.6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224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210</v>
      </c>
      <c r="CQ20" s="74">
        <f t="shared" si="24"/>
        <v>259</v>
      </c>
      <c r="CR20" s="74">
        <f t="shared" si="25"/>
        <v>291</v>
      </c>
      <c r="CS20" s="74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1">
        <v>2.71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5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226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204</v>
      </c>
      <c r="CQ21" s="74">
        <f t="shared" si="24"/>
        <v>259</v>
      </c>
      <c r="CR21" s="74">
        <f t="shared" si="25"/>
        <v>291</v>
      </c>
      <c r="CS21" s="74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1">
        <v>3.31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7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210</v>
      </c>
      <c r="CQ22" s="74">
        <f t="shared" si="24"/>
        <v>259</v>
      </c>
      <c r="CR22" s="74">
        <f t="shared" si="25"/>
        <v>291</v>
      </c>
      <c r="CS22" s="74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1">
        <v>3.6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7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213</v>
      </c>
      <c r="CQ23" s="74">
        <f t="shared" si="24"/>
        <v>259</v>
      </c>
      <c r="CR23" s="74">
        <f t="shared" si="25"/>
        <v>291</v>
      </c>
      <c r="CS23" s="74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1">
        <v>3.27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7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1">
        <v>3.34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3"/>
        <v>7</v>
      </c>
      <c r="BW25" s="73">
        <f t="shared" si="4"/>
        <v>35</v>
      </c>
      <c r="BX25" s="74">
        <f t="shared" si="5"/>
        <v>39</v>
      </c>
      <c r="BY25" s="73">
        <f t="shared" si="6"/>
        <v>70</v>
      </c>
      <c r="BZ25" s="74">
        <f t="shared" si="7"/>
        <v>73</v>
      </c>
      <c r="CA25" s="73">
        <f t="shared" si="8"/>
        <v>109</v>
      </c>
      <c r="CB25" s="74">
        <f t="shared" si="9"/>
        <v>117</v>
      </c>
      <c r="CC25" s="73">
        <f t="shared" si="10"/>
        <v>166</v>
      </c>
      <c r="CD25" s="74">
        <f t="shared" si="11"/>
        <v>173</v>
      </c>
      <c r="CE25" s="73">
        <f t="shared" si="12"/>
        <v>219</v>
      </c>
      <c r="CF25" s="74">
        <f t="shared" si="13"/>
        <v>266</v>
      </c>
      <c r="CG25" s="73">
        <f t="shared" si="14"/>
        <v>292</v>
      </c>
      <c r="CH25" s="72">
        <f t="shared" si="15"/>
        <v>34</v>
      </c>
      <c r="CI25" s="73">
        <f t="shared" si="16"/>
        <v>38</v>
      </c>
      <c r="CJ25" s="74">
        <f t="shared" si="17"/>
        <v>69</v>
      </c>
      <c r="CK25" s="74">
        <f t="shared" si="18"/>
        <v>72</v>
      </c>
      <c r="CL25" s="74">
        <f t="shared" si="19"/>
        <v>108</v>
      </c>
      <c r="CM25" s="74">
        <f t="shared" si="20"/>
        <v>116</v>
      </c>
      <c r="CN25" s="74">
        <f t="shared" si="21"/>
        <v>142</v>
      </c>
      <c r="CO25" s="74">
        <f t="shared" si="22"/>
        <v>168</v>
      </c>
      <c r="CP25" s="74">
        <f t="shared" si="23"/>
        <v>213</v>
      </c>
      <c r="CQ25" s="74">
        <f t="shared" si="24"/>
        <v>259</v>
      </c>
      <c r="CR25" s="74">
        <f t="shared" si="25"/>
        <v>291</v>
      </c>
      <c r="CS25" s="74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1">
        <v>2.7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3"/>
        <v>6</v>
      </c>
      <c r="BW26" s="73">
        <f t="shared" si="4"/>
        <v>35</v>
      </c>
      <c r="BX26" s="74">
        <f t="shared" si="5"/>
        <v>39</v>
      </c>
      <c r="BY26" s="73">
        <f t="shared" si="6"/>
        <v>70</v>
      </c>
      <c r="BZ26" s="74">
        <f t="shared" si="7"/>
        <v>73</v>
      </c>
      <c r="CA26" s="73">
        <f t="shared" si="8"/>
        <v>109</v>
      </c>
      <c r="CB26" s="74">
        <f t="shared" si="9"/>
        <v>117</v>
      </c>
      <c r="CC26" s="73">
        <f t="shared" si="10"/>
        <v>166</v>
      </c>
      <c r="CD26" s="74">
        <f t="shared" si="11"/>
        <v>173</v>
      </c>
      <c r="CE26" s="73">
        <f t="shared" si="12"/>
        <v>221</v>
      </c>
      <c r="CF26" s="74">
        <f t="shared" si="13"/>
        <v>266</v>
      </c>
      <c r="CG26" s="73">
        <f t="shared" si="14"/>
        <v>292</v>
      </c>
      <c r="CH26" s="72">
        <f t="shared" si="15"/>
        <v>34</v>
      </c>
      <c r="CI26" s="73">
        <f t="shared" si="16"/>
        <v>38</v>
      </c>
      <c r="CJ26" s="74">
        <f t="shared" si="17"/>
        <v>69</v>
      </c>
      <c r="CK26" s="74">
        <f t="shared" si="18"/>
        <v>72</v>
      </c>
      <c r="CL26" s="74">
        <f t="shared" si="19"/>
        <v>108</v>
      </c>
      <c r="CM26" s="74">
        <f t="shared" si="20"/>
        <v>116</v>
      </c>
      <c r="CN26" s="74">
        <f t="shared" si="21"/>
        <v>142</v>
      </c>
      <c r="CO26" s="74">
        <f t="shared" si="22"/>
        <v>168</v>
      </c>
      <c r="CP26" s="74">
        <f t="shared" si="23"/>
        <v>214</v>
      </c>
      <c r="CQ26" s="74">
        <f t="shared" si="24"/>
        <v>259</v>
      </c>
      <c r="CR26" s="74">
        <f t="shared" si="25"/>
        <v>291</v>
      </c>
      <c r="CS26" s="74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1">
        <v>1.8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3"/>
        <v>2</v>
      </c>
      <c r="BW27" s="73">
        <f t="shared" si="4"/>
        <v>35</v>
      </c>
      <c r="BX27" s="74">
        <f t="shared" si="5"/>
        <v>39</v>
      </c>
      <c r="BY27" s="73">
        <f t="shared" si="6"/>
        <v>70</v>
      </c>
      <c r="BZ27" s="74">
        <f t="shared" si="7"/>
        <v>73</v>
      </c>
      <c r="CA27" s="73">
        <f t="shared" si="8"/>
        <v>109</v>
      </c>
      <c r="CB27" s="74">
        <f t="shared" si="9"/>
        <v>117</v>
      </c>
      <c r="CC27" s="73">
        <f t="shared" si="10"/>
        <v>166</v>
      </c>
      <c r="CD27" s="74">
        <f t="shared" si="11"/>
        <v>173</v>
      </c>
      <c r="CE27" s="73">
        <f t="shared" si="12"/>
        <v>219</v>
      </c>
      <c r="CF27" s="74">
        <f t="shared" si="13"/>
        <v>266</v>
      </c>
      <c r="CG27" s="73">
        <f t="shared" si="14"/>
        <v>292</v>
      </c>
      <c r="CH27" s="72">
        <f t="shared" si="15"/>
        <v>34</v>
      </c>
      <c r="CI27" s="73">
        <f t="shared" si="16"/>
        <v>38</v>
      </c>
      <c r="CJ27" s="74">
        <f t="shared" si="17"/>
        <v>69</v>
      </c>
      <c r="CK27" s="74">
        <f t="shared" si="18"/>
        <v>72</v>
      </c>
      <c r="CL27" s="74">
        <f t="shared" si="19"/>
        <v>108</v>
      </c>
      <c r="CM27" s="74">
        <f t="shared" si="20"/>
        <v>116</v>
      </c>
      <c r="CN27" s="74">
        <f t="shared" si="21"/>
        <v>142</v>
      </c>
      <c r="CO27" s="74">
        <f t="shared" si="22"/>
        <v>168</v>
      </c>
      <c r="CP27" s="74">
        <f t="shared" si="23"/>
        <v>207</v>
      </c>
      <c r="CQ27" s="74">
        <f t="shared" si="24"/>
        <v>259</v>
      </c>
      <c r="CR27" s="74">
        <f t="shared" si="25"/>
        <v>291</v>
      </c>
      <c r="CS27" s="74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1">
        <v>2.6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3"/>
        <v>6</v>
      </c>
      <c r="BW28" s="73">
        <f t="shared" si="4"/>
        <v>35</v>
      </c>
      <c r="BX28" s="74">
        <f t="shared" si="5"/>
        <v>39</v>
      </c>
      <c r="BY28" s="73">
        <f t="shared" si="6"/>
        <v>70</v>
      </c>
      <c r="BZ28" s="74">
        <f t="shared" si="7"/>
        <v>73</v>
      </c>
      <c r="CA28" s="73">
        <f t="shared" si="8"/>
        <v>109</v>
      </c>
      <c r="CB28" s="74">
        <f t="shared" si="9"/>
        <v>117</v>
      </c>
      <c r="CC28" s="73">
        <f t="shared" si="10"/>
        <v>166</v>
      </c>
      <c r="CD28" s="74">
        <f t="shared" si="11"/>
        <v>173</v>
      </c>
      <c r="CE28" s="73">
        <f t="shared" si="12"/>
        <v>219</v>
      </c>
      <c r="CF28" s="74">
        <f t="shared" si="13"/>
        <v>266</v>
      </c>
      <c r="CG28" s="73">
        <f t="shared" si="14"/>
        <v>292</v>
      </c>
      <c r="CH28" s="72">
        <f t="shared" si="15"/>
        <v>34</v>
      </c>
      <c r="CI28" s="73">
        <f t="shared" si="16"/>
        <v>38</v>
      </c>
      <c r="CJ28" s="74">
        <f t="shared" si="17"/>
        <v>69</v>
      </c>
      <c r="CK28" s="74">
        <f t="shared" si="18"/>
        <v>72</v>
      </c>
      <c r="CL28" s="74">
        <f t="shared" si="19"/>
        <v>108</v>
      </c>
      <c r="CM28" s="74">
        <f t="shared" si="20"/>
        <v>116</v>
      </c>
      <c r="CN28" s="74">
        <f t="shared" si="21"/>
        <v>142</v>
      </c>
      <c r="CO28" s="74">
        <f t="shared" si="22"/>
        <v>168</v>
      </c>
      <c r="CP28" s="74">
        <f t="shared" si="23"/>
        <v>213</v>
      </c>
      <c r="CQ28" s="74">
        <f t="shared" si="24"/>
        <v>259</v>
      </c>
      <c r="CR28" s="74">
        <f t="shared" si="25"/>
        <v>291</v>
      </c>
      <c r="CS28" s="74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ref="BC29:BC76" si="252">_xlfn.AGGREGATE(9,6,CH29:CS29)-_xlfn.AGGREGATE(9,6,BV29:CG29)+12</f>
        <v>251</v>
      </c>
      <c r="BD29" s="4" t="s">
        <v>1382</v>
      </c>
      <c r="BE29" s="3" t="s">
        <v>1297</v>
      </c>
      <c r="BF29" s="121">
        <v>3.4</v>
      </c>
      <c r="BG29" s="50" t="s">
        <v>1287</v>
      </c>
      <c r="BH29" s="50" t="s">
        <v>1287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ref="BV29:BV76" si="253">E29</f>
        <v>6</v>
      </c>
      <c r="BW29" s="73">
        <f t="shared" ref="BW29:BW76" si="254">I29</f>
        <v>35</v>
      </c>
      <c r="BX29" s="74">
        <f t="shared" ref="BX29:BX76" si="255">M29</f>
        <v>39</v>
      </c>
      <c r="BY29" s="73">
        <f t="shared" ref="BY29:BY76" si="256">Q29</f>
        <v>70</v>
      </c>
      <c r="BZ29" s="74">
        <f t="shared" ref="BZ29:BZ76" si="257">U29</f>
        <v>73</v>
      </c>
      <c r="CA29" s="73">
        <f t="shared" ref="CA29:CA76" si="258">Y29</f>
        <v>109</v>
      </c>
      <c r="CB29" s="74">
        <f t="shared" ref="CB29:CB76" si="259">AC29</f>
        <v>117</v>
      </c>
      <c r="CC29" s="73">
        <f t="shared" ref="CC29:CC76" si="260">AG29</f>
        <v>166</v>
      </c>
      <c r="CD29" s="74">
        <f t="shared" ref="CD29:CD76" si="261">AK29</f>
        <v>173</v>
      </c>
      <c r="CE29" s="73">
        <f t="shared" ref="CE29:CE76" si="262">AO29</f>
        <v>224</v>
      </c>
      <c r="CF29" s="74">
        <f t="shared" ref="CF29:CF76" si="263">AS29</f>
        <v>266</v>
      </c>
      <c r="CG29" s="73">
        <f t="shared" ref="CG29:CG76" si="264">AW29</f>
        <v>292</v>
      </c>
      <c r="CH29" s="72">
        <f t="shared" ref="CH29:CH76" si="265">G29</f>
        <v>34</v>
      </c>
      <c r="CI29" s="73">
        <f t="shared" ref="CI29:CI76" si="266">K29</f>
        <v>38</v>
      </c>
      <c r="CJ29" s="74">
        <f t="shared" ref="CJ29:CJ76" si="267">O29</f>
        <v>69</v>
      </c>
      <c r="CK29" s="74">
        <f t="shared" ref="CK29:CK76" si="268">S29</f>
        <v>72</v>
      </c>
      <c r="CL29" s="74">
        <f t="shared" ref="CL29:CL76" si="269">W29</f>
        <v>108</v>
      </c>
      <c r="CM29" s="74">
        <f t="shared" ref="CM29:CM76" si="270">AA29</f>
        <v>116</v>
      </c>
      <c r="CN29" s="74">
        <f t="shared" ref="CN29:CN76" si="271">AE29</f>
        <v>142</v>
      </c>
      <c r="CO29" s="74">
        <f t="shared" ref="CO29:CO76" si="272">AI29</f>
        <v>168</v>
      </c>
      <c r="CP29" s="74">
        <f t="shared" ref="CP29:CP76" si="273">AM29</f>
        <v>207</v>
      </c>
      <c r="CQ29" s="74">
        <f t="shared" ref="CQ29:CQ76" si="274">AQ29</f>
        <v>259</v>
      </c>
      <c r="CR29" s="74">
        <f t="shared" ref="CR29:CR76" si="275">AU29</f>
        <v>291</v>
      </c>
      <c r="CS29" s="74">
        <f t="shared" ref="CS29:CS76" si="276">AY29</f>
        <v>305</v>
      </c>
      <c r="CT29" s="23">
        <f t="shared" ref="CT29:CT76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1">
        <v>1.72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253"/>
        <v>2</v>
      </c>
      <c r="BW30" s="73">
        <f t="shared" si="254"/>
        <v>35</v>
      </c>
      <c r="BX30" s="74">
        <f t="shared" si="255"/>
        <v>39</v>
      </c>
      <c r="BY30" s="73">
        <f t="shared" si="256"/>
        <v>70</v>
      </c>
      <c r="BZ30" s="74">
        <f t="shared" si="257"/>
        <v>73</v>
      </c>
      <c r="CA30" s="73">
        <f t="shared" si="258"/>
        <v>109</v>
      </c>
      <c r="CB30" s="74">
        <f t="shared" si="259"/>
        <v>117</v>
      </c>
      <c r="CC30" s="73">
        <f t="shared" si="260"/>
        <v>166</v>
      </c>
      <c r="CD30" s="74">
        <f t="shared" si="261"/>
        <v>173</v>
      </c>
      <c r="CE30" s="73">
        <f t="shared" si="262"/>
        <v>219</v>
      </c>
      <c r="CF30" s="74">
        <f t="shared" si="263"/>
        <v>266</v>
      </c>
      <c r="CG30" s="73">
        <f t="shared" si="264"/>
        <v>292</v>
      </c>
      <c r="CH30" s="72">
        <f t="shared" si="265"/>
        <v>34</v>
      </c>
      <c r="CI30" s="73">
        <f t="shared" si="266"/>
        <v>38</v>
      </c>
      <c r="CJ30" s="74">
        <f t="shared" si="267"/>
        <v>69</v>
      </c>
      <c r="CK30" s="74">
        <f t="shared" si="268"/>
        <v>72</v>
      </c>
      <c r="CL30" s="74">
        <f t="shared" si="269"/>
        <v>108</v>
      </c>
      <c r="CM30" s="74">
        <f t="shared" si="270"/>
        <v>116</v>
      </c>
      <c r="CN30" s="74">
        <f t="shared" si="271"/>
        <v>142</v>
      </c>
      <c r="CO30" s="74">
        <f t="shared" si="272"/>
        <v>168</v>
      </c>
      <c r="CP30" s="74">
        <f t="shared" si="273"/>
        <v>208</v>
      </c>
      <c r="CQ30" s="74">
        <f t="shared" si="274"/>
        <v>259</v>
      </c>
      <c r="CR30" s="74">
        <f t="shared" si="275"/>
        <v>291</v>
      </c>
      <c r="CS30" s="74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1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253"/>
        <v>2</v>
      </c>
      <c r="BW31" s="73">
        <f t="shared" si="254"/>
        <v>35</v>
      </c>
      <c r="BX31" s="74">
        <f t="shared" si="255"/>
        <v>39</v>
      </c>
      <c r="BY31" s="73">
        <f t="shared" si="256"/>
        <v>70</v>
      </c>
      <c r="BZ31" s="74">
        <f t="shared" si="257"/>
        <v>73</v>
      </c>
      <c r="CA31" s="73">
        <f t="shared" si="258"/>
        <v>109</v>
      </c>
      <c r="CB31" s="74">
        <f t="shared" si="259"/>
        <v>117</v>
      </c>
      <c r="CC31" s="73">
        <f t="shared" si="260"/>
        <v>166</v>
      </c>
      <c r="CD31" s="74">
        <f t="shared" si="261"/>
        <v>173</v>
      </c>
      <c r="CE31" s="73">
        <f t="shared" si="262"/>
        <v>219</v>
      </c>
      <c r="CF31" s="74">
        <f t="shared" si="263"/>
        <v>266</v>
      </c>
      <c r="CG31" s="73">
        <f t="shared" si="264"/>
        <v>292</v>
      </c>
      <c r="CH31" s="72">
        <f t="shared" si="265"/>
        <v>34</v>
      </c>
      <c r="CI31" s="73">
        <f t="shared" si="266"/>
        <v>38</v>
      </c>
      <c r="CJ31" s="74">
        <f t="shared" si="267"/>
        <v>69</v>
      </c>
      <c r="CK31" s="74">
        <f t="shared" si="268"/>
        <v>72</v>
      </c>
      <c r="CL31" s="74">
        <f t="shared" si="269"/>
        <v>108</v>
      </c>
      <c r="CM31" s="74">
        <f t="shared" si="270"/>
        <v>116</v>
      </c>
      <c r="CN31" s="74">
        <f t="shared" si="271"/>
        <v>142</v>
      </c>
      <c r="CO31" s="74">
        <f t="shared" si="272"/>
        <v>168</v>
      </c>
      <c r="CP31" s="74">
        <f t="shared" si="273"/>
        <v>208</v>
      </c>
      <c r="CQ31" s="74">
        <f t="shared" si="274"/>
        <v>259</v>
      </c>
      <c r="CR31" s="74">
        <f t="shared" si="275"/>
        <v>291</v>
      </c>
      <c r="CS31" s="74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1">
        <v>2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253"/>
        <v>2</v>
      </c>
      <c r="BW32" s="73">
        <f t="shared" si="254"/>
        <v>35</v>
      </c>
      <c r="BX32" s="74">
        <f t="shared" si="255"/>
        <v>39</v>
      </c>
      <c r="BY32" s="73">
        <f t="shared" si="256"/>
        <v>70</v>
      </c>
      <c r="BZ32" s="74">
        <f t="shared" si="257"/>
        <v>73</v>
      </c>
      <c r="CA32" s="73">
        <f t="shared" si="258"/>
        <v>109</v>
      </c>
      <c r="CB32" s="74">
        <f t="shared" si="259"/>
        <v>117</v>
      </c>
      <c r="CC32" s="73">
        <f t="shared" si="260"/>
        <v>166</v>
      </c>
      <c r="CD32" s="74">
        <f t="shared" si="261"/>
        <v>173</v>
      </c>
      <c r="CE32" s="73">
        <f t="shared" si="262"/>
        <v>219</v>
      </c>
      <c r="CF32" s="74">
        <f t="shared" si="263"/>
        <v>266</v>
      </c>
      <c r="CG32" s="73">
        <f t="shared" si="264"/>
        <v>292</v>
      </c>
      <c r="CH32" s="72">
        <f t="shared" si="265"/>
        <v>34</v>
      </c>
      <c r="CI32" s="73">
        <f t="shared" si="266"/>
        <v>38</v>
      </c>
      <c r="CJ32" s="74">
        <f t="shared" si="267"/>
        <v>69</v>
      </c>
      <c r="CK32" s="74">
        <f t="shared" si="268"/>
        <v>72</v>
      </c>
      <c r="CL32" s="74">
        <f t="shared" si="269"/>
        <v>108</v>
      </c>
      <c r="CM32" s="74">
        <f t="shared" si="270"/>
        <v>116</v>
      </c>
      <c r="CN32" s="74">
        <f t="shared" si="271"/>
        <v>142</v>
      </c>
      <c r="CO32" s="74">
        <f t="shared" si="272"/>
        <v>168</v>
      </c>
      <c r="CP32" s="74">
        <f t="shared" si="273"/>
        <v>208</v>
      </c>
      <c r="CQ32" s="74">
        <f t="shared" si="274"/>
        <v>259</v>
      </c>
      <c r="CR32" s="74">
        <f t="shared" si="275"/>
        <v>291</v>
      </c>
      <c r="CS32" s="74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1">
        <v>2.2000000000000002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253"/>
        <v>2</v>
      </c>
      <c r="BW33" s="73">
        <f t="shared" si="254"/>
        <v>35</v>
      </c>
      <c r="BX33" s="74">
        <f t="shared" si="255"/>
        <v>39</v>
      </c>
      <c r="BY33" s="73">
        <f t="shared" si="256"/>
        <v>70</v>
      </c>
      <c r="BZ33" s="74">
        <f t="shared" si="257"/>
        <v>73</v>
      </c>
      <c r="CA33" s="73">
        <f t="shared" si="258"/>
        <v>109</v>
      </c>
      <c r="CB33" s="74">
        <f t="shared" si="259"/>
        <v>117</v>
      </c>
      <c r="CC33" s="73">
        <f t="shared" si="260"/>
        <v>166</v>
      </c>
      <c r="CD33" s="74">
        <f t="shared" si="261"/>
        <v>173</v>
      </c>
      <c r="CE33" s="73">
        <f t="shared" si="262"/>
        <v>219</v>
      </c>
      <c r="CF33" s="74">
        <f t="shared" si="263"/>
        <v>266</v>
      </c>
      <c r="CG33" s="73">
        <f t="shared" si="264"/>
        <v>292</v>
      </c>
      <c r="CH33" s="72">
        <f t="shared" si="265"/>
        <v>34</v>
      </c>
      <c r="CI33" s="73">
        <f t="shared" si="266"/>
        <v>38</v>
      </c>
      <c r="CJ33" s="74">
        <f t="shared" si="267"/>
        <v>69</v>
      </c>
      <c r="CK33" s="74">
        <f t="shared" si="268"/>
        <v>72</v>
      </c>
      <c r="CL33" s="74">
        <f t="shared" si="269"/>
        <v>108</v>
      </c>
      <c r="CM33" s="74">
        <f t="shared" si="270"/>
        <v>116</v>
      </c>
      <c r="CN33" s="74">
        <f t="shared" si="271"/>
        <v>142</v>
      </c>
      <c r="CO33" s="74">
        <f t="shared" si="272"/>
        <v>168</v>
      </c>
      <c r="CP33" s="74">
        <f t="shared" si="273"/>
        <v>208</v>
      </c>
      <c r="CQ33" s="74">
        <f t="shared" si="274"/>
        <v>259</v>
      </c>
      <c r="CR33" s="74">
        <f t="shared" si="275"/>
        <v>291</v>
      </c>
      <c r="CS33" s="74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1">
        <v>2.1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253"/>
        <v>2</v>
      </c>
      <c r="BW34" s="73">
        <f t="shared" si="254"/>
        <v>35</v>
      </c>
      <c r="BX34" s="74">
        <f t="shared" si="255"/>
        <v>39</v>
      </c>
      <c r="BY34" s="73">
        <f t="shared" si="256"/>
        <v>70</v>
      </c>
      <c r="BZ34" s="74">
        <f t="shared" si="257"/>
        <v>73</v>
      </c>
      <c r="CA34" s="73">
        <f t="shared" si="258"/>
        <v>109</v>
      </c>
      <c r="CB34" s="74">
        <f t="shared" si="259"/>
        <v>117</v>
      </c>
      <c r="CC34" s="73">
        <f t="shared" si="260"/>
        <v>166</v>
      </c>
      <c r="CD34" s="74">
        <f t="shared" si="261"/>
        <v>173</v>
      </c>
      <c r="CE34" s="73">
        <f t="shared" si="262"/>
        <v>219</v>
      </c>
      <c r="CF34" s="74">
        <f t="shared" si="263"/>
        <v>266</v>
      </c>
      <c r="CG34" s="73">
        <f t="shared" si="264"/>
        <v>292</v>
      </c>
      <c r="CH34" s="72">
        <f t="shared" si="265"/>
        <v>34</v>
      </c>
      <c r="CI34" s="73">
        <f t="shared" si="266"/>
        <v>38</v>
      </c>
      <c r="CJ34" s="74">
        <f t="shared" si="267"/>
        <v>69</v>
      </c>
      <c r="CK34" s="74">
        <f t="shared" si="268"/>
        <v>72</v>
      </c>
      <c r="CL34" s="74">
        <f t="shared" si="269"/>
        <v>108</v>
      </c>
      <c r="CM34" s="74">
        <f t="shared" si="270"/>
        <v>116</v>
      </c>
      <c r="CN34" s="74">
        <f t="shared" si="271"/>
        <v>142</v>
      </c>
      <c r="CO34" s="74">
        <f t="shared" si="272"/>
        <v>168</v>
      </c>
      <c r="CP34" s="74">
        <f t="shared" si="273"/>
        <v>208</v>
      </c>
      <c r="CQ34" s="74">
        <f t="shared" si="274"/>
        <v>259</v>
      </c>
      <c r="CR34" s="74">
        <f t="shared" si="275"/>
        <v>291</v>
      </c>
      <c r="CS34" s="74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1">
        <v>2.5</v>
      </c>
      <c r="BG35" s="50" t="s">
        <v>1384</v>
      </c>
      <c r="BH35" s="50" t="s">
        <v>1384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si="253"/>
        <v>2</v>
      </c>
      <c r="BW35" s="73">
        <f t="shared" si="254"/>
        <v>35</v>
      </c>
      <c r="BX35" s="74">
        <f t="shared" si="255"/>
        <v>39</v>
      </c>
      <c r="BY35" s="73">
        <f t="shared" si="256"/>
        <v>70</v>
      </c>
      <c r="BZ35" s="74">
        <f t="shared" si="257"/>
        <v>73</v>
      </c>
      <c r="CA35" s="73">
        <f t="shared" si="258"/>
        <v>109</v>
      </c>
      <c r="CB35" s="74">
        <f t="shared" si="259"/>
        <v>117</v>
      </c>
      <c r="CC35" s="73">
        <f t="shared" si="260"/>
        <v>166</v>
      </c>
      <c r="CD35" s="74">
        <f t="shared" si="261"/>
        <v>173</v>
      </c>
      <c r="CE35" s="73">
        <f t="shared" si="262"/>
        <v>219</v>
      </c>
      <c r="CF35" s="74">
        <f t="shared" si="263"/>
        <v>266</v>
      </c>
      <c r="CG35" s="73">
        <f t="shared" si="264"/>
        <v>292</v>
      </c>
      <c r="CH35" s="72">
        <f t="shared" si="265"/>
        <v>34</v>
      </c>
      <c r="CI35" s="73">
        <f t="shared" si="266"/>
        <v>38</v>
      </c>
      <c r="CJ35" s="74">
        <f t="shared" si="267"/>
        <v>69</v>
      </c>
      <c r="CK35" s="74">
        <f t="shared" si="268"/>
        <v>72</v>
      </c>
      <c r="CL35" s="74">
        <f t="shared" si="269"/>
        <v>108</v>
      </c>
      <c r="CM35" s="74">
        <f t="shared" si="270"/>
        <v>116</v>
      </c>
      <c r="CN35" s="74">
        <f t="shared" si="271"/>
        <v>142</v>
      </c>
      <c r="CO35" s="74">
        <f t="shared" si="272"/>
        <v>168</v>
      </c>
      <c r="CP35" s="74">
        <f t="shared" si="273"/>
        <v>208</v>
      </c>
      <c r="CQ35" s="74">
        <f t="shared" si="274"/>
        <v>259</v>
      </c>
      <c r="CR35" s="74">
        <f t="shared" si="275"/>
        <v>291</v>
      </c>
      <c r="CS35" s="74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1">
        <v>2.5</v>
      </c>
      <c r="BG36" s="50" t="s">
        <v>1384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253"/>
        <v>2</v>
      </c>
      <c r="BW36" s="73">
        <f t="shared" si="254"/>
        <v>35</v>
      </c>
      <c r="BX36" s="74">
        <f t="shared" si="255"/>
        <v>39</v>
      </c>
      <c r="BY36" s="73">
        <f t="shared" si="256"/>
        <v>70</v>
      </c>
      <c r="BZ36" s="74">
        <f t="shared" si="257"/>
        <v>73</v>
      </c>
      <c r="CA36" s="73">
        <f t="shared" si="258"/>
        <v>109</v>
      </c>
      <c r="CB36" s="74">
        <f t="shared" si="259"/>
        <v>117</v>
      </c>
      <c r="CC36" s="73">
        <f t="shared" si="260"/>
        <v>166</v>
      </c>
      <c r="CD36" s="74">
        <f t="shared" si="261"/>
        <v>173</v>
      </c>
      <c r="CE36" s="73">
        <f t="shared" si="262"/>
        <v>219</v>
      </c>
      <c r="CF36" s="74">
        <f t="shared" si="263"/>
        <v>266</v>
      </c>
      <c r="CG36" s="73">
        <f t="shared" si="264"/>
        <v>292</v>
      </c>
      <c r="CH36" s="72">
        <f t="shared" si="265"/>
        <v>34</v>
      </c>
      <c r="CI36" s="73">
        <f t="shared" si="266"/>
        <v>38</v>
      </c>
      <c r="CJ36" s="74">
        <f t="shared" si="267"/>
        <v>69</v>
      </c>
      <c r="CK36" s="74">
        <f t="shared" si="268"/>
        <v>72</v>
      </c>
      <c r="CL36" s="74">
        <f t="shared" si="269"/>
        <v>108</v>
      </c>
      <c r="CM36" s="74">
        <f t="shared" si="270"/>
        <v>116</v>
      </c>
      <c r="CN36" s="74">
        <f t="shared" si="271"/>
        <v>142</v>
      </c>
      <c r="CO36" s="74">
        <f t="shared" si="272"/>
        <v>168</v>
      </c>
      <c r="CP36" s="74">
        <f t="shared" si="273"/>
        <v>208</v>
      </c>
      <c r="CQ36" s="74">
        <f t="shared" si="274"/>
        <v>259</v>
      </c>
      <c r="CR36" s="74">
        <f t="shared" si="275"/>
        <v>291</v>
      </c>
      <c r="CS36" s="74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1">
        <v>1.9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253"/>
        <v>2</v>
      </c>
      <c r="BW37" s="73">
        <f t="shared" si="254"/>
        <v>35</v>
      </c>
      <c r="BX37" s="74">
        <f t="shared" si="255"/>
        <v>39</v>
      </c>
      <c r="BY37" s="73">
        <f t="shared" si="256"/>
        <v>70</v>
      </c>
      <c r="BZ37" s="74">
        <f t="shared" si="257"/>
        <v>73</v>
      </c>
      <c r="CA37" s="73">
        <f t="shared" si="258"/>
        <v>109</v>
      </c>
      <c r="CB37" s="74">
        <f t="shared" si="259"/>
        <v>117</v>
      </c>
      <c r="CC37" s="73">
        <f t="shared" si="260"/>
        <v>166</v>
      </c>
      <c r="CD37" s="74">
        <f t="shared" si="261"/>
        <v>173</v>
      </c>
      <c r="CE37" s="73">
        <f t="shared" si="262"/>
        <v>219</v>
      </c>
      <c r="CF37" s="74">
        <f t="shared" si="263"/>
        <v>266</v>
      </c>
      <c r="CG37" s="73">
        <f t="shared" si="264"/>
        <v>292</v>
      </c>
      <c r="CH37" s="72">
        <f t="shared" si="265"/>
        <v>34</v>
      </c>
      <c r="CI37" s="73">
        <f t="shared" si="266"/>
        <v>38</v>
      </c>
      <c r="CJ37" s="74">
        <f t="shared" si="267"/>
        <v>69</v>
      </c>
      <c r="CK37" s="74">
        <f t="shared" si="268"/>
        <v>72</v>
      </c>
      <c r="CL37" s="74">
        <f t="shared" si="269"/>
        <v>108</v>
      </c>
      <c r="CM37" s="74">
        <f t="shared" si="270"/>
        <v>116</v>
      </c>
      <c r="CN37" s="74">
        <f t="shared" si="271"/>
        <v>142</v>
      </c>
      <c r="CO37" s="74">
        <f t="shared" si="272"/>
        <v>168</v>
      </c>
      <c r="CP37" s="74">
        <f t="shared" si="273"/>
        <v>208</v>
      </c>
      <c r="CQ37" s="74">
        <f t="shared" si="274"/>
        <v>259</v>
      </c>
      <c r="CR37" s="74">
        <f t="shared" si="275"/>
        <v>291</v>
      </c>
      <c r="CS37" s="74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1">
        <v>1.9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253"/>
        <v>2</v>
      </c>
      <c r="BW38" s="73">
        <f t="shared" si="254"/>
        <v>35</v>
      </c>
      <c r="BX38" s="74">
        <f t="shared" si="255"/>
        <v>39</v>
      </c>
      <c r="BY38" s="73">
        <f t="shared" si="256"/>
        <v>70</v>
      </c>
      <c r="BZ38" s="74">
        <f t="shared" si="257"/>
        <v>73</v>
      </c>
      <c r="CA38" s="73">
        <f t="shared" si="258"/>
        <v>109</v>
      </c>
      <c r="CB38" s="74">
        <f t="shared" si="259"/>
        <v>117</v>
      </c>
      <c r="CC38" s="73">
        <f t="shared" si="260"/>
        <v>166</v>
      </c>
      <c r="CD38" s="74">
        <f t="shared" si="261"/>
        <v>173</v>
      </c>
      <c r="CE38" s="73">
        <f t="shared" si="262"/>
        <v>219</v>
      </c>
      <c r="CF38" s="74">
        <f t="shared" si="263"/>
        <v>266</v>
      </c>
      <c r="CG38" s="73">
        <f t="shared" si="264"/>
        <v>292</v>
      </c>
      <c r="CH38" s="72">
        <f t="shared" si="265"/>
        <v>34</v>
      </c>
      <c r="CI38" s="73">
        <f t="shared" si="266"/>
        <v>38</v>
      </c>
      <c r="CJ38" s="74">
        <f t="shared" si="267"/>
        <v>69</v>
      </c>
      <c r="CK38" s="74">
        <f t="shared" si="268"/>
        <v>72</v>
      </c>
      <c r="CL38" s="74">
        <f t="shared" si="269"/>
        <v>108</v>
      </c>
      <c r="CM38" s="74">
        <f t="shared" si="270"/>
        <v>116</v>
      </c>
      <c r="CN38" s="74">
        <f t="shared" si="271"/>
        <v>142</v>
      </c>
      <c r="CO38" s="74">
        <f t="shared" si="272"/>
        <v>168</v>
      </c>
      <c r="CP38" s="74">
        <f t="shared" si="273"/>
        <v>208</v>
      </c>
      <c r="CQ38" s="74">
        <f t="shared" si="274"/>
        <v>259</v>
      </c>
      <c r="CR38" s="74">
        <f t="shared" si="275"/>
        <v>291</v>
      </c>
      <c r="CS38" s="74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1">
        <v>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2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1">
        <v>3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2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9" t="str">
        <f>VLOOKUP(B41,Classification!A:D,2,0)</f>
        <v>A</v>
      </c>
      <c r="BA41" s="96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1">
        <v>2.9</v>
      </c>
      <c r="BG41" s="50" t="s">
        <v>1</v>
      </c>
      <c r="BH41" s="50" t="s">
        <v>1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ref="BV41" si="337">E41</f>
        <v>2</v>
      </c>
      <c r="BW41" s="73">
        <f t="shared" ref="BW41" si="338">I41</f>
        <v>35</v>
      </c>
      <c r="BX41" s="74">
        <f t="shared" ref="BX41" si="339">M41</f>
        <v>39</v>
      </c>
      <c r="BY41" s="73">
        <f t="shared" ref="BY41" si="340">Q41</f>
        <v>70</v>
      </c>
      <c r="BZ41" s="74">
        <f t="shared" ref="BZ41" si="341">U41</f>
        <v>73</v>
      </c>
      <c r="CA41" s="73">
        <f t="shared" ref="CA41" si="342">Y41</f>
        <v>109</v>
      </c>
      <c r="CB41" s="74">
        <f t="shared" ref="CB41" si="343">AC41</f>
        <v>117</v>
      </c>
      <c r="CC41" s="73">
        <f t="shared" ref="CC41" si="344">AG41</f>
        <v>166</v>
      </c>
      <c r="CD41" s="74">
        <f t="shared" ref="CD41" si="345">AK41</f>
        <v>173</v>
      </c>
      <c r="CE41" s="73">
        <f t="shared" ref="CE41" si="346">AO41</f>
        <v>219</v>
      </c>
      <c r="CF41" s="74">
        <f t="shared" ref="CF41" si="347">AS41</f>
        <v>266</v>
      </c>
      <c r="CG41" s="73">
        <f t="shared" ref="CG41" si="348">AW41</f>
        <v>292</v>
      </c>
      <c r="CH41" s="72">
        <f t="shared" ref="CH41" si="349">G41</f>
        <v>34</v>
      </c>
      <c r="CI41" s="73">
        <f t="shared" ref="CI41" si="350">K41</f>
        <v>38</v>
      </c>
      <c r="CJ41" s="74">
        <f t="shared" ref="CJ41" si="351">O41</f>
        <v>69</v>
      </c>
      <c r="CK41" s="74">
        <f t="shared" ref="CK41" si="352">S41</f>
        <v>72</v>
      </c>
      <c r="CL41" s="74">
        <f t="shared" ref="CL41" si="353">W41</f>
        <v>108</v>
      </c>
      <c r="CM41" s="74">
        <f t="shared" ref="CM41" si="354">AA41</f>
        <v>116</v>
      </c>
      <c r="CN41" s="74">
        <f t="shared" ref="CN41" si="355">AE41</f>
        <v>142</v>
      </c>
      <c r="CO41" s="74">
        <f t="shared" ref="CO41" si="356">AI41</f>
        <v>168</v>
      </c>
      <c r="CP41" s="74">
        <f t="shared" ref="CP41" si="357">AM41</f>
        <v>208</v>
      </c>
      <c r="CQ41" s="74">
        <f t="shared" ref="CQ41" si="358">AQ41</f>
        <v>259</v>
      </c>
      <c r="CR41" s="74">
        <f t="shared" ref="CR41" si="359">AU41</f>
        <v>291</v>
      </c>
      <c r="CS41" s="74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9" t="str">
        <f>VLOOKUP(B42,Classification!A:D,2,0)</f>
        <v>A</v>
      </c>
      <c r="BA42" s="96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1">
        <v>3.5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ref="BV42" si="365">E42</f>
        <v>4</v>
      </c>
      <c r="BW42" s="73">
        <f t="shared" ref="BW42" si="366">I42</f>
        <v>35</v>
      </c>
      <c r="BX42" s="74">
        <f t="shared" ref="BX42" si="367">M42</f>
        <v>39</v>
      </c>
      <c r="BY42" s="73">
        <f t="shared" ref="BY42" si="368">Q42</f>
        <v>70</v>
      </c>
      <c r="BZ42" s="74">
        <f t="shared" ref="BZ42" si="369">U42</f>
        <v>73</v>
      </c>
      <c r="CA42" s="73">
        <f t="shared" ref="CA42" si="370">Y42</f>
        <v>109</v>
      </c>
      <c r="CB42" s="74">
        <f t="shared" ref="CB42" si="371">AC42</f>
        <v>117</v>
      </c>
      <c r="CC42" s="73">
        <f t="shared" ref="CC42" si="372">AG42</f>
        <v>166</v>
      </c>
      <c r="CD42" s="74">
        <f t="shared" ref="CD42" si="373">AK42</f>
        <v>173</v>
      </c>
      <c r="CE42" s="73">
        <f t="shared" ref="CE42" si="374">AO42</f>
        <v>219</v>
      </c>
      <c r="CF42" s="74">
        <f t="shared" ref="CF42" si="375">AS42</f>
        <v>266</v>
      </c>
      <c r="CG42" s="73">
        <f t="shared" ref="CG42" si="376">AW42</f>
        <v>292</v>
      </c>
      <c r="CH42" s="72">
        <f t="shared" ref="CH42" si="377">G42</f>
        <v>34</v>
      </c>
      <c r="CI42" s="73">
        <f t="shared" ref="CI42" si="378">K42</f>
        <v>38</v>
      </c>
      <c r="CJ42" s="74">
        <f t="shared" ref="CJ42" si="379">O42</f>
        <v>69</v>
      </c>
      <c r="CK42" s="74">
        <f t="shared" ref="CK42" si="380">S42</f>
        <v>72</v>
      </c>
      <c r="CL42" s="74">
        <f t="shared" ref="CL42" si="381">W42</f>
        <v>108</v>
      </c>
      <c r="CM42" s="74">
        <f t="shared" ref="CM42" si="382">AA42</f>
        <v>116</v>
      </c>
      <c r="CN42" s="74">
        <f t="shared" ref="CN42" si="383">AE42</f>
        <v>142</v>
      </c>
      <c r="CO42" s="74">
        <f t="shared" ref="CO42" si="384">AI42</f>
        <v>168</v>
      </c>
      <c r="CP42" s="74">
        <f t="shared" ref="CP42" si="385">AM42</f>
        <v>208</v>
      </c>
      <c r="CQ42" s="74">
        <f t="shared" ref="CQ42" si="386">AQ42</f>
        <v>259</v>
      </c>
      <c r="CR42" s="74">
        <f t="shared" ref="CR42" si="387">AU42</f>
        <v>291</v>
      </c>
      <c r="CS42" s="74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9" t="str">
        <f>VLOOKUP(B43,Classification!A:D,2,0)</f>
        <v>A</v>
      </c>
      <c r="BA43" s="96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1">
        <v>3.2</v>
      </c>
      <c r="BG43" s="50" t="s">
        <v>1</v>
      </c>
      <c r="BH43" s="50" t="s">
        <v>1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ref="BV43" si="393">E43</f>
        <v>1</v>
      </c>
      <c r="BW43" s="73">
        <f t="shared" ref="BW43" si="394">I43</f>
        <v>35</v>
      </c>
      <c r="BX43" s="74">
        <f t="shared" ref="BX43" si="395">M43</f>
        <v>39</v>
      </c>
      <c r="BY43" s="73">
        <f t="shared" ref="BY43" si="396">Q43</f>
        <v>70</v>
      </c>
      <c r="BZ43" s="74">
        <f t="shared" ref="BZ43" si="397">U43</f>
        <v>73</v>
      </c>
      <c r="CA43" s="73">
        <f t="shared" ref="CA43" si="398">Y43</f>
        <v>109</v>
      </c>
      <c r="CB43" s="74">
        <f t="shared" ref="CB43" si="399">AC43</f>
        <v>117</v>
      </c>
      <c r="CC43" s="73">
        <f t="shared" ref="CC43" si="400">AG43</f>
        <v>166</v>
      </c>
      <c r="CD43" s="74">
        <f t="shared" ref="CD43" si="401">AK43</f>
        <v>173</v>
      </c>
      <c r="CE43" s="73">
        <f t="shared" ref="CE43" si="402">AO43</f>
        <v>219</v>
      </c>
      <c r="CF43" s="74">
        <f t="shared" ref="CF43" si="403">AS43</f>
        <v>266</v>
      </c>
      <c r="CG43" s="73">
        <f t="shared" ref="CG43" si="404">AW43</f>
        <v>292</v>
      </c>
      <c r="CH43" s="72">
        <f t="shared" ref="CH43" si="405">G43</f>
        <v>34</v>
      </c>
      <c r="CI43" s="73">
        <f t="shared" ref="CI43" si="406">K43</f>
        <v>38</v>
      </c>
      <c r="CJ43" s="74">
        <f t="shared" ref="CJ43" si="407">O43</f>
        <v>69</v>
      </c>
      <c r="CK43" s="74">
        <f t="shared" ref="CK43" si="408">S43</f>
        <v>72</v>
      </c>
      <c r="CL43" s="74">
        <f t="shared" ref="CL43" si="409">W43</f>
        <v>108</v>
      </c>
      <c r="CM43" s="74">
        <f t="shared" ref="CM43" si="410">AA43</f>
        <v>116</v>
      </c>
      <c r="CN43" s="74">
        <f t="shared" ref="CN43" si="411">AE43</f>
        <v>142</v>
      </c>
      <c r="CO43" s="74">
        <f t="shared" ref="CO43" si="412">AI43</f>
        <v>168</v>
      </c>
      <c r="CP43" s="74">
        <f t="shared" ref="CP43" si="413">AM43</f>
        <v>208</v>
      </c>
      <c r="CQ43" s="74">
        <f t="shared" ref="CQ43" si="414">AQ43</f>
        <v>259</v>
      </c>
      <c r="CR43" s="74">
        <f t="shared" ref="CR43" si="415">AU43</f>
        <v>291</v>
      </c>
      <c r="CS43" s="74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9" t="str">
        <f>VLOOKUP(B44,Classification!A:D,2,0)</f>
        <v>A</v>
      </c>
      <c r="BA44" s="96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1">
        <v>2.8</v>
      </c>
      <c r="BG44" s="50" t="s">
        <v>1</v>
      </c>
      <c r="BH44" s="50" t="s">
        <v>1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ref="BV44" si="421">E44</f>
        <v>1</v>
      </c>
      <c r="BW44" s="73">
        <f t="shared" ref="BW44" si="422">I44</f>
        <v>35</v>
      </c>
      <c r="BX44" s="74">
        <f t="shared" ref="BX44" si="423">M44</f>
        <v>39</v>
      </c>
      <c r="BY44" s="73">
        <f t="shared" ref="BY44" si="424">Q44</f>
        <v>70</v>
      </c>
      <c r="BZ44" s="74">
        <f t="shared" ref="BZ44" si="425">U44</f>
        <v>73</v>
      </c>
      <c r="CA44" s="73">
        <f t="shared" ref="CA44" si="426">Y44</f>
        <v>109</v>
      </c>
      <c r="CB44" s="74">
        <f t="shared" ref="CB44" si="427">AC44</f>
        <v>117</v>
      </c>
      <c r="CC44" s="73">
        <f t="shared" ref="CC44" si="428">AG44</f>
        <v>166</v>
      </c>
      <c r="CD44" s="74">
        <f t="shared" ref="CD44" si="429">AK44</f>
        <v>173</v>
      </c>
      <c r="CE44" s="73">
        <f t="shared" ref="CE44" si="430">AO44</f>
        <v>219</v>
      </c>
      <c r="CF44" s="74">
        <f t="shared" ref="CF44" si="431">AS44</f>
        <v>266</v>
      </c>
      <c r="CG44" s="73">
        <f t="shared" ref="CG44" si="432">AW44</f>
        <v>292</v>
      </c>
      <c r="CH44" s="72">
        <f t="shared" ref="CH44" si="433">G44</f>
        <v>34</v>
      </c>
      <c r="CI44" s="73">
        <f t="shared" ref="CI44" si="434">K44</f>
        <v>38</v>
      </c>
      <c r="CJ44" s="74">
        <f t="shared" ref="CJ44" si="435">O44</f>
        <v>69</v>
      </c>
      <c r="CK44" s="74">
        <f t="shared" ref="CK44" si="436">S44</f>
        <v>72</v>
      </c>
      <c r="CL44" s="74">
        <f t="shared" ref="CL44" si="437">W44</f>
        <v>108</v>
      </c>
      <c r="CM44" s="74">
        <f t="shared" ref="CM44" si="438">AA44</f>
        <v>116</v>
      </c>
      <c r="CN44" s="74">
        <f t="shared" ref="CN44" si="439">AE44</f>
        <v>142</v>
      </c>
      <c r="CO44" s="74">
        <f t="shared" ref="CO44" si="440">AI44</f>
        <v>168</v>
      </c>
      <c r="CP44" s="74">
        <f t="shared" ref="CP44" si="441">AM44</f>
        <v>208</v>
      </c>
      <c r="CQ44" s="74">
        <f t="shared" ref="CQ44" si="442">AQ44</f>
        <v>259</v>
      </c>
      <c r="CR44" s="74">
        <f t="shared" ref="CR44" si="443">AU44</f>
        <v>291</v>
      </c>
      <c r="CS44" s="74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1">
        <v>35</v>
      </c>
      <c r="J45" s="9" t="str">
        <f>IFERROR(MID(VLOOKUP($B45,Seqs!$A:$B,2,0),K45,1),"")</f>
        <v>Q</v>
      </c>
      <c r="K45" s="111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2" t="str">
        <f>VLOOKUP(B45,Classification!A:D,2,0)</f>
        <v>A</v>
      </c>
      <c r="BA45" s="100" t="str">
        <f>VLOOKUP(B45,Classification!A:D,4,0)</f>
        <v>Adenosine</v>
      </c>
      <c r="BB45" s="37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1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2">
        <v>1.95</v>
      </c>
      <c r="BG45" s="52" t="s">
        <v>1</v>
      </c>
      <c r="BH45" s="52" t="s">
        <v>1</v>
      </c>
      <c r="BJ45" s="113" t="s">
        <v>1293</v>
      </c>
      <c r="BK45" s="114" t="s">
        <v>1293</v>
      </c>
      <c r="BL45" s="114" t="s">
        <v>1293</v>
      </c>
      <c r="BM45" s="114" t="s">
        <v>1293</v>
      </c>
      <c r="BN45" s="114" t="s">
        <v>1293</v>
      </c>
      <c r="BO45" s="114" t="s">
        <v>1293</v>
      </c>
      <c r="BP45" s="114" t="s">
        <v>1293</v>
      </c>
      <c r="BQ45" s="114" t="s">
        <v>1293</v>
      </c>
      <c r="BR45" s="114" t="s">
        <v>1293</v>
      </c>
      <c r="BS45" s="114" t="s">
        <v>1293</v>
      </c>
      <c r="BT45" s="114" t="s">
        <v>1293</v>
      </c>
      <c r="BU45" s="114" t="s">
        <v>1293</v>
      </c>
      <c r="BV45" s="113">
        <f t="shared" ref="BV45" si="449">E45</f>
        <v>1</v>
      </c>
      <c r="BW45" s="115">
        <f t="shared" ref="BW45" si="450">I45</f>
        <v>35</v>
      </c>
      <c r="BX45" s="116">
        <f t="shared" ref="BX45" si="451">M45</f>
        <v>39</v>
      </c>
      <c r="BY45" s="115">
        <f t="shared" ref="BY45" si="452">Q45</f>
        <v>70</v>
      </c>
      <c r="BZ45" s="116">
        <f t="shared" ref="BZ45" si="453">U45</f>
        <v>73</v>
      </c>
      <c r="CA45" s="115">
        <f t="shared" ref="CA45" si="454">Y45</f>
        <v>109</v>
      </c>
      <c r="CB45" s="116">
        <f t="shared" ref="CB45" si="455">AC45</f>
        <v>117</v>
      </c>
      <c r="CC45" s="115">
        <f t="shared" ref="CC45" si="456">AG45</f>
        <v>166</v>
      </c>
      <c r="CD45" s="116">
        <f t="shared" ref="CD45" si="457">AK45</f>
        <v>173</v>
      </c>
      <c r="CE45" s="115">
        <f t="shared" ref="CE45" si="458">AO45</f>
        <v>219</v>
      </c>
      <c r="CF45" s="116">
        <f t="shared" ref="CF45" si="459">AS45</f>
        <v>266</v>
      </c>
      <c r="CG45" s="115">
        <f t="shared" ref="CG45" si="460">AW45</f>
        <v>292</v>
      </c>
      <c r="CH45" s="113">
        <f t="shared" ref="CH45" si="461">G45</f>
        <v>34</v>
      </c>
      <c r="CI45" s="115">
        <f t="shared" ref="CI45" si="462">K45</f>
        <v>38</v>
      </c>
      <c r="CJ45" s="116">
        <f t="shared" ref="CJ45" si="463">O45</f>
        <v>69</v>
      </c>
      <c r="CK45" s="116">
        <f t="shared" ref="CK45" si="464">S45</f>
        <v>72</v>
      </c>
      <c r="CL45" s="116">
        <f t="shared" ref="CL45" si="465">W45</f>
        <v>108</v>
      </c>
      <c r="CM45" s="116">
        <f t="shared" ref="CM45" si="466">AA45</f>
        <v>116</v>
      </c>
      <c r="CN45" s="116">
        <f t="shared" ref="CN45" si="467">AE45</f>
        <v>142</v>
      </c>
      <c r="CO45" s="116">
        <f t="shared" ref="CO45" si="468">AI45</f>
        <v>168</v>
      </c>
      <c r="CP45" s="116">
        <f t="shared" ref="CP45" si="469">AM45</f>
        <v>208</v>
      </c>
      <c r="CQ45" s="116">
        <f t="shared" ref="CQ45" si="470">AQ45</f>
        <v>259</v>
      </c>
      <c r="CR45" s="116">
        <f t="shared" ref="CR45" si="471">AU45</f>
        <v>291</v>
      </c>
      <c r="CS45" s="116">
        <f t="shared" ref="CS45" si="472">AY45</f>
        <v>305</v>
      </c>
      <c r="CT45" s="111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1">
        <v>35</v>
      </c>
      <c r="J46" s="9" t="str">
        <f>IFERROR(MID(VLOOKUP($B46,Seqs!$A:$B,2,0),K46,1),"")</f>
        <v>Q</v>
      </c>
      <c r="K46" s="111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2" t="str">
        <f>VLOOKUP(B46,Classification!A:D,2,0)</f>
        <v>A</v>
      </c>
      <c r="BA46" s="100" t="str">
        <f>VLOOKUP(B46,Classification!A:D,4,0)</f>
        <v>Adenosine</v>
      </c>
      <c r="BB46" s="37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1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2">
        <v>2.35</v>
      </c>
      <c r="BG46" s="52" t="s">
        <v>1</v>
      </c>
      <c r="BH46" s="52" t="s">
        <v>1</v>
      </c>
      <c r="BJ46" s="113" t="s">
        <v>1293</v>
      </c>
      <c r="BK46" s="114" t="s">
        <v>1293</v>
      </c>
      <c r="BL46" s="114" t="s">
        <v>1293</v>
      </c>
      <c r="BM46" s="114" t="s">
        <v>1293</v>
      </c>
      <c r="BN46" s="114" t="s">
        <v>1293</v>
      </c>
      <c r="BO46" s="114" t="s">
        <v>1293</v>
      </c>
      <c r="BP46" s="114" t="s">
        <v>1293</v>
      </c>
      <c r="BQ46" s="114" t="s">
        <v>1293</v>
      </c>
      <c r="BR46" s="114" t="s">
        <v>1293</v>
      </c>
      <c r="BS46" s="114" t="s">
        <v>1293</v>
      </c>
      <c r="BT46" s="114" t="s">
        <v>1293</v>
      </c>
      <c r="BU46" s="114" t="s">
        <v>1293</v>
      </c>
      <c r="BV46" s="113">
        <f t="shared" ref="BV46" si="477">E46</f>
        <v>1</v>
      </c>
      <c r="BW46" s="115">
        <f t="shared" ref="BW46" si="478">I46</f>
        <v>35</v>
      </c>
      <c r="BX46" s="116">
        <f t="shared" ref="BX46" si="479">M46</f>
        <v>39</v>
      </c>
      <c r="BY46" s="115">
        <f t="shared" ref="BY46" si="480">Q46</f>
        <v>70</v>
      </c>
      <c r="BZ46" s="116">
        <f t="shared" ref="BZ46" si="481">U46</f>
        <v>73</v>
      </c>
      <c r="CA46" s="115">
        <f t="shared" ref="CA46" si="482">Y46</f>
        <v>109</v>
      </c>
      <c r="CB46" s="116">
        <f t="shared" ref="CB46" si="483">AC46</f>
        <v>117</v>
      </c>
      <c r="CC46" s="115">
        <f t="shared" ref="CC46" si="484">AG46</f>
        <v>166</v>
      </c>
      <c r="CD46" s="116">
        <f t="shared" ref="CD46" si="485">AK46</f>
        <v>173</v>
      </c>
      <c r="CE46" s="115">
        <f t="shared" ref="CE46" si="486">AO46</f>
        <v>219</v>
      </c>
      <c r="CF46" s="116">
        <f t="shared" ref="CF46" si="487">AS46</f>
        <v>266</v>
      </c>
      <c r="CG46" s="115">
        <f t="shared" ref="CG46" si="488">AW46</f>
        <v>292</v>
      </c>
      <c r="CH46" s="113">
        <f t="shared" ref="CH46" si="489">G46</f>
        <v>34</v>
      </c>
      <c r="CI46" s="115">
        <f t="shared" ref="CI46" si="490">K46</f>
        <v>38</v>
      </c>
      <c r="CJ46" s="116">
        <f t="shared" ref="CJ46" si="491">O46</f>
        <v>69</v>
      </c>
      <c r="CK46" s="116">
        <f t="shared" ref="CK46" si="492">S46</f>
        <v>72</v>
      </c>
      <c r="CL46" s="116">
        <f t="shared" ref="CL46" si="493">W46</f>
        <v>108</v>
      </c>
      <c r="CM46" s="116">
        <f t="shared" ref="CM46" si="494">AA46</f>
        <v>116</v>
      </c>
      <c r="CN46" s="116">
        <f t="shared" ref="CN46" si="495">AE46</f>
        <v>142</v>
      </c>
      <c r="CO46" s="116">
        <f t="shared" ref="CO46" si="496">AI46</f>
        <v>168</v>
      </c>
      <c r="CP46" s="116">
        <f t="shared" ref="CP46" si="497">AM46</f>
        <v>208</v>
      </c>
      <c r="CQ46" s="116">
        <f t="shared" ref="CQ46" si="498">AQ46</f>
        <v>259</v>
      </c>
      <c r="CR46" s="116">
        <f t="shared" ref="CR46" si="499">AU46</f>
        <v>291</v>
      </c>
      <c r="CS46" s="116">
        <f t="shared" ref="CS46" si="500">AY46</f>
        <v>306</v>
      </c>
      <c r="CT46" s="111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1">
        <v>35</v>
      </c>
      <c r="J47" s="9" t="str">
        <f>IFERROR(MID(VLOOKUP($B47,Seqs!$A:$B,2,0),K47,1),"")</f>
        <v>Q</v>
      </c>
      <c r="K47" s="111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2" t="str">
        <f>VLOOKUP(B47,Classification!A:D,2,0)</f>
        <v>A</v>
      </c>
      <c r="BA47" s="100" t="str">
        <f>VLOOKUP(B47,Classification!A:D,4,0)</f>
        <v>Adenosine</v>
      </c>
      <c r="BB47" s="37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1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2">
        <v>1.87</v>
      </c>
      <c r="BG47" s="52" t="s">
        <v>1</v>
      </c>
      <c r="BH47" s="52" t="s">
        <v>1</v>
      </c>
      <c r="BJ47" s="113" t="s">
        <v>1293</v>
      </c>
      <c r="BK47" s="114" t="s">
        <v>1293</v>
      </c>
      <c r="BL47" s="114" t="s">
        <v>1293</v>
      </c>
      <c r="BM47" s="114" t="s">
        <v>1293</v>
      </c>
      <c r="BN47" s="114" t="s">
        <v>1293</v>
      </c>
      <c r="BO47" s="114" t="s">
        <v>1293</v>
      </c>
      <c r="BP47" s="114" t="s">
        <v>1293</v>
      </c>
      <c r="BQ47" s="114" t="s">
        <v>1293</v>
      </c>
      <c r="BR47" s="114" t="s">
        <v>1293</v>
      </c>
      <c r="BS47" s="114" t="s">
        <v>1293</v>
      </c>
      <c r="BT47" s="114" t="s">
        <v>1293</v>
      </c>
      <c r="BU47" s="114" t="s">
        <v>1293</v>
      </c>
      <c r="BV47" s="113">
        <f t="shared" ref="BV47" si="505">E47</f>
        <v>1</v>
      </c>
      <c r="BW47" s="115">
        <f t="shared" ref="BW47" si="506">I47</f>
        <v>35</v>
      </c>
      <c r="BX47" s="116">
        <f t="shared" ref="BX47" si="507">M47</f>
        <v>39</v>
      </c>
      <c r="BY47" s="115">
        <f t="shared" ref="BY47" si="508">Q47</f>
        <v>70</v>
      </c>
      <c r="BZ47" s="116">
        <f t="shared" ref="BZ47" si="509">U47</f>
        <v>73</v>
      </c>
      <c r="CA47" s="115">
        <f t="shared" ref="CA47" si="510">Y47</f>
        <v>109</v>
      </c>
      <c r="CB47" s="116">
        <f t="shared" ref="CB47" si="511">AC47</f>
        <v>117</v>
      </c>
      <c r="CC47" s="115">
        <f t="shared" ref="CC47" si="512">AG47</f>
        <v>166</v>
      </c>
      <c r="CD47" s="116">
        <f t="shared" ref="CD47" si="513">AK47</f>
        <v>173</v>
      </c>
      <c r="CE47" s="115">
        <f t="shared" ref="CE47" si="514">AO47</f>
        <v>219</v>
      </c>
      <c r="CF47" s="116">
        <f t="shared" ref="CF47" si="515">AS47</f>
        <v>266</v>
      </c>
      <c r="CG47" s="115">
        <f t="shared" ref="CG47" si="516">AW47</f>
        <v>292</v>
      </c>
      <c r="CH47" s="113">
        <f t="shared" ref="CH47" si="517">G47</f>
        <v>34</v>
      </c>
      <c r="CI47" s="115">
        <f t="shared" ref="CI47" si="518">K47</f>
        <v>38</v>
      </c>
      <c r="CJ47" s="116">
        <f t="shared" ref="CJ47" si="519">O47</f>
        <v>69</v>
      </c>
      <c r="CK47" s="116">
        <f t="shared" ref="CK47" si="520">S47</f>
        <v>72</v>
      </c>
      <c r="CL47" s="116">
        <f t="shared" ref="CL47" si="521">W47</f>
        <v>108</v>
      </c>
      <c r="CM47" s="116">
        <f t="shared" ref="CM47" si="522">AA47</f>
        <v>116</v>
      </c>
      <c r="CN47" s="116">
        <f t="shared" ref="CN47" si="523">AE47</f>
        <v>142</v>
      </c>
      <c r="CO47" s="116">
        <f t="shared" ref="CO47" si="524">AI47</f>
        <v>168</v>
      </c>
      <c r="CP47" s="116">
        <f t="shared" ref="CP47" si="525">AM47</f>
        <v>208</v>
      </c>
      <c r="CQ47" s="116">
        <f t="shared" ref="CQ47" si="526">AQ47</f>
        <v>259</v>
      </c>
      <c r="CR47" s="116">
        <f t="shared" ref="CR47" si="527">AU47</f>
        <v>291</v>
      </c>
      <c r="CS47" s="116">
        <f t="shared" ref="CS47" si="528">AY47</f>
        <v>305</v>
      </c>
      <c r="CT47" s="111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1">
        <v>35</v>
      </c>
      <c r="J48" s="9" t="str">
        <f>IFERROR(MID(VLOOKUP($B48,Seqs!$A:$B,2,0),K48,1),"")</f>
        <v>Q</v>
      </c>
      <c r="K48" s="111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2" t="str">
        <f>VLOOKUP(B48,Classification!A:D,2,0)</f>
        <v>A</v>
      </c>
      <c r="BA48" s="100" t="str">
        <f>VLOOKUP(B48,Classification!A:D,4,0)</f>
        <v>Adenosine</v>
      </c>
      <c r="BB48" s="37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1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2">
        <v>2.6</v>
      </c>
      <c r="BG48" s="52" t="s">
        <v>1</v>
      </c>
      <c r="BH48" s="52" t="s">
        <v>1</v>
      </c>
      <c r="BJ48" s="113" t="s">
        <v>1293</v>
      </c>
      <c r="BK48" s="114" t="s">
        <v>1293</v>
      </c>
      <c r="BL48" s="114" t="s">
        <v>1293</v>
      </c>
      <c r="BM48" s="114" t="s">
        <v>1293</v>
      </c>
      <c r="BN48" s="114" t="s">
        <v>1293</v>
      </c>
      <c r="BO48" s="114" t="s">
        <v>1293</v>
      </c>
      <c r="BP48" s="114" t="s">
        <v>1293</v>
      </c>
      <c r="BQ48" s="114" t="s">
        <v>1293</v>
      </c>
      <c r="BR48" s="114" t="s">
        <v>1293</v>
      </c>
      <c r="BS48" s="114" t="s">
        <v>1293</v>
      </c>
      <c r="BT48" s="114" t="s">
        <v>1293</v>
      </c>
      <c r="BU48" s="114" t="s">
        <v>1293</v>
      </c>
      <c r="BV48" s="113">
        <f t="shared" ref="BV48" si="533">E48</f>
        <v>1</v>
      </c>
      <c r="BW48" s="115">
        <f t="shared" ref="BW48" si="534">I48</f>
        <v>35</v>
      </c>
      <c r="BX48" s="116">
        <f t="shared" ref="BX48" si="535">M48</f>
        <v>39</v>
      </c>
      <c r="BY48" s="115">
        <f t="shared" ref="BY48" si="536">Q48</f>
        <v>70</v>
      </c>
      <c r="BZ48" s="116">
        <f t="shared" ref="BZ48" si="537">U48</f>
        <v>73</v>
      </c>
      <c r="CA48" s="115">
        <f t="shared" ref="CA48" si="538">Y48</f>
        <v>109</v>
      </c>
      <c r="CB48" s="116">
        <f t="shared" ref="CB48" si="539">AC48</f>
        <v>117</v>
      </c>
      <c r="CC48" s="115">
        <f t="shared" ref="CC48" si="540">AG48</f>
        <v>166</v>
      </c>
      <c r="CD48" s="116">
        <f t="shared" ref="CD48" si="541">AK48</f>
        <v>173</v>
      </c>
      <c r="CE48" s="115">
        <f t="shared" ref="CE48" si="542">AO48</f>
        <v>219</v>
      </c>
      <c r="CF48" s="116">
        <f t="shared" ref="CF48" si="543">AS48</f>
        <v>266</v>
      </c>
      <c r="CG48" s="115">
        <f t="shared" ref="CG48" si="544">AW48</f>
        <v>292</v>
      </c>
      <c r="CH48" s="113">
        <f t="shared" ref="CH48" si="545">G48</f>
        <v>34</v>
      </c>
      <c r="CI48" s="115">
        <f t="shared" ref="CI48" si="546">K48</f>
        <v>38</v>
      </c>
      <c r="CJ48" s="116">
        <f t="shared" ref="CJ48" si="547">O48</f>
        <v>69</v>
      </c>
      <c r="CK48" s="116">
        <f t="shared" ref="CK48" si="548">S48</f>
        <v>72</v>
      </c>
      <c r="CL48" s="116">
        <f t="shared" ref="CL48" si="549">W48</f>
        <v>108</v>
      </c>
      <c r="CM48" s="116">
        <f t="shared" ref="CM48" si="550">AA48</f>
        <v>116</v>
      </c>
      <c r="CN48" s="116">
        <f t="shared" ref="CN48" si="551">AE48</f>
        <v>142</v>
      </c>
      <c r="CO48" s="116">
        <f t="shared" ref="CO48" si="552">AI48</f>
        <v>168</v>
      </c>
      <c r="CP48" s="116">
        <f t="shared" ref="CP48" si="553">AM48</f>
        <v>208</v>
      </c>
      <c r="CQ48" s="116">
        <f t="shared" ref="CQ48" si="554">AQ48</f>
        <v>259</v>
      </c>
      <c r="CR48" s="116">
        <f t="shared" ref="CR48" si="555">AU48</f>
        <v>291</v>
      </c>
      <c r="CS48" s="116">
        <f t="shared" ref="CS48" si="556">AY48</f>
        <v>305</v>
      </c>
      <c r="CT48" s="111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1">
        <v>35</v>
      </c>
      <c r="J49" s="9" t="str">
        <f>IFERROR(MID(VLOOKUP($B49,Seqs!$A:$B,2,0),K49,1),"")</f>
        <v>Q</v>
      </c>
      <c r="K49" s="111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2" t="str">
        <f>VLOOKUP(B49,Classification!A:D,2,0)</f>
        <v>A</v>
      </c>
      <c r="BA49" s="100" t="str">
        <f>VLOOKUP(B49,Classification!A:D,4,0)</f>
        <v>Adenosine</v>
      </c>
      <c r="BB49" s="37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1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2">
        <v>3.1</v>
      </c>
      <c r="BG49" s="52" t="s">
        <v>1</v>
      </c>
      <c r="BH49" s="52" t="s">
        <v>1</v>
      </c>
      <c r="BJ49" s="113" t="s">
        <v>1293</v>
      </c>
      <c r="BK49" s="114" t="s">
        <v>1293</v>
      </c>
      <c r="BL49" s="114" t="s">
        <v>1293</v>
      </c>
      <c r="BM49" s="114" t="s">
        <v>1293</v>
      </c>
      <c r="BN49" s="114" t="s">
        <v>1293</v>
      </c>
      <c r="BO49" s="114" t="s">
        <v>1293</v>
      </c>
      <c r="BP49" s="114" t="s">
        <v>1293</v>
      </c>
      <c r="BQ49" s="114" t="s">
        <v>1293</v>
      </c>
      <c r="BR49" s="114" t="s">
        <v>1293</v>
      </c>
      <c r="BS49" s="114" t="s">
        <v>1293</v>
      </c>
      <c r="BT49" s="114" t="s">
        <v>1293</v>
      </c>
      <c r="BU49" s="114" t="s">
        <v>1293</v>
      </c>
      <c r="BV49" s="113">
        <f t="shared" ref="BV49" si="561">E49</f>
        <v>1</v>
      </c>
      <c r="BW49" s="115">
        <f t="shared" ref="BW49" si="562">I49</f>
        <v>35</v>
      </c>
      <c r="BX49" s="116">
        <f t="shared" ref="BX49" si="563">M49</f>
        <v>39</v>
      </c>
      <c r="BY49" s="115">
        <f t="shared" ref="BY49" si="564">Q49</f>
        <v>70</v>
      </c>
      <c r="BZ49" s="116">
        <f t="shared" ref="BZ49" si="565">U49</f>
        <v>73</v>
      </c>
      <c r="CA49" s="115">
        <f t="shared" ref="CA49" si="566">Y49</f>
        <v>109</v>
      </c>
      <c r="CB49" s="116">
        <f t="shared" ref="CB49" si="567">AC49</f>
        <v>117</v>
      </c>
      <c r="CC49" s="115">
        <f t="shared" ref="CC49" si="568">AG49</f>
        <v>166</v>
      </c>
      <c r="CD49" s="116">
        <f t="shared" ref="CD49" si="569">AK49</f>
        <v>173</v>
      </c>
      <c r="CE49" s="115">
        <f t="shared" ref="CE49" si="570">AO49</f>
        <v>219</v>
      </c>
      <c r="CF49" s="116">
        <f t="shared" ref="CF49" si="571">AS49</f>
        <v>266</v>
      </c>
      <c r="CG49" s="115">
        <f t="shared" ref="CG49" si="572">AW49</f>
        <v>292</v>
      </c>
      <c r="CH49" s="113">
        <f t="shared" ref="CH49" si="573">G49</f>
        <v>34</v>
      </c>
      <c r="CI49" s="115">
        <f t="shared" ref="CI49" si="574">K49</f>
        <v>38</v>
      </c>
      <c r="CJ49" s="116">
        <f t="shared" ref="CJ49" si="575">O49</f>
        <v>69</v>
      </c>
      <c r="CK49" s="116">
        <f t="shared" ref="CK49" si="576">S49</f>
        <v>72</v>
      </c>
      <c r="CL49" s="116">
        <f t="shared" ref="CL49" si="577">W49</f>
        <v>108</v>
      </c>
      <c r="CM49" s="116">
        <f t="shared" ref="CM49" si="578">AA49</f>
        <v>116</v>
      </c>
      <c r="CN49" s="116">
        <f t="shared" ref="CN49" si="579">AE49</f>
        <v>142</v>
      </c>
      <c r="CO49" s="116">
        <f t="shared" ref="CO49" si="580">AI49</f>
        <v>168</v>
      </c>
      <c r="CP49" s="116">
        <f t="shared" ref="CP49" si="581">AM49</f>
        <v>208</v>
      </c>
      <c r="CQ49" s="116">
        <f t="shared" ref="CQ49" si="582">AQ49</f>
        <v>259</v>
      </c>
      <c r="CR49" s="116">
        <f t="shared" ref="CR49" si="583">AU49</f>
        <v>291</v>
      </c>
      <c r="CS49" s="116">
        <f t="shared" ref="CS49" si="584">AY49</f>
        <v>305</v>
      </c>
      <c r="CT49" s="111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1">
        <v>35</v>
      </c>
      <c r="J50" s="9" t="str">
        <f>IFERROR(MID(VLOOKUP($B50,Seqs!$A:$B,2,0),K50,1),"")</f>
        <v>Q</v>
      </c>
      <c r="K50" s="111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2" t="str">
        <f>VLOOKUP(B50,Classification!A:D,2,0)</f>
        <v>A</v>
      </c>
      <c r="BA50" s="100" t="str">
        <f>VLOOKUP(B50,Classification!A:D,4,0)</f>
        <v>Adenosine</v>
      </c>
      <c r="BB50" s="37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1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2">
        <v>2</v>
      </c>
      <c r="BG50" s="52" t="s">
        <v>1</v>
      </c>
      <c r="BH50" s="52" t="s">
        <v>1</v>
      </c>
      <c r="BJ50" s="113" t="s">
        <v>1293</v>
      </c>
      <c r="BK50" s="114" t="s">
        <v>1293</v>
      </c>
      <c r="BL50" s="114" t="s">
        <v>1293</v>
      </c>
      <c r="BM50" s="114" t="s">
        <v>1293</v>
      </c>
      <c r="BN50" s="114" t="s">
        <v>1293</v>
      </c>
      <c r="BO50" s="114" t="s">
        <v>1293</v>
      </c>
      <c r="BP50" s="114" t="s">
        <v>1293</v>
      </c>
      <c r="BQ50" s="114" t="s">
        <v>1293</v>
      </c>
      <c r="BR50" s="114" t="s">
        <v>1293</v>
      </c>
      <c r="BS50" s="114" t="s">
        <v>1293</v>
      </c>
      <c r="BT50" s="114" t="s">
        <v>1293</v>
      </c>
      <c r="BU50" s="114" t="s">
        <v>1293</v>
      </c>
      <c r="BV50" s="113">
        <f t="shared" ref="BV50" si="589">E50</f>
        <v>1</v>
      </c>
      <c r="BW50" s="115">
        <f t="shared" ref="BW50" si="590">I50</f>
        <v>35</v>
      </c>
      <c r="BX50" s="116">
        <f t="shared" ref="BX50" si="591">M50</f>
        <v>39</v>
      </c>
      <c r="BY50" s="115">
        <f t="shared" ref="BY50" si="592">Q50</f>
        <v>70</v>
      </c>
      <c r="BZ50" s="116">
        <f t="shared" ref="BZ50" si="593">U50</f>
        <v>73</v>
      </c>
      <c r="CA50" s="115">
        <f t="shared" ref="CA50" si="594">Y50</f>
        <v>109</v>
      </c>
      <c r="CB50" s="116">
        <f t="shared" ref="CB50" si="595">AC50</f>
        <v>117</v>
      </c>
      <c r="CC50" s="115">
        <f t="shared" ref="CC50" si="596">AG50</f>
        <v>166</v>
      </c>
      <c r="CD50" s="116">
        <f t="shared" ref="CD50" si="597">AK50</f>
        <v>173</v>
      </c>
      <c r="CE50" s="115">
        <f t="shared" ref="CE50" si="598">AO50</f>
        <v>219</v>
      </c>
      <c r="CF50" s="116">
        <f t="shared" ref="CF50" si="599">AS50</f>
        <v>266</v>
      </c>
      <c r="CG50" s="115">
        <f t="shared" ref="CG50" si="600">AW50</f>
        <v>292</v>
      </c>
      <c r="CH50" s="113">
        <f t="shared" ref="CH50" si="601">G50</f>
        <v>34</v>
      </c>
      <c r="CI50" s="115">
        <f t="shared" ref="CI50" si="602">K50</f>
        <v>38</v>
      </c>
      <c r="CJ50" s="116">
        <f t="shared" ref="CJ50" si="603">O50</f>
        <v>69</v>
      </c>
      <c r="CK50" s="116">
        <f t="shared" ref="CK50" si="604">S50</f>
        <v>72</v>
      </c>
      <c r="CL50" s="116">
        <f t="shared" ref="CL50" si="605">W50</f>
        <v>108</v>
      </c>
      <c r="CM50" s="116">
        <f t="shared" ref="CM50" si="606">AA50</f>
        <v>116</v>
      </c>
      <c r="CN50" s="116">
        <f t="shared" ref="CN50" si="607">AE50</f>
        <v>142</v>
      </c>
      <c r="CO50" s="116">
        <f t="shared" ref="CO50" si="608">AI50</f>
        <v>168</v>
      </c>
      <c r="CP50" s="116">
        <f t="shared" ref="CP50" si="609">AM50</f>
        <v>208</v>
      </c>
      <c r="CQ50" s="116">
        <f t="shared" ref="CQ50" si="610">AQ50</f>
        <v>259</v>
      </c>
      <c r="CR50" s="116">
        <f t="shared" ref="CR50" si="611">AU50</f>
        <v>291</v>
      </c>
      <c r="CS50" s="116">
        <f t="shared" ref="CS50" si="612">AY50</f>
        <v>305</v>
      </c>
      <c r="CT50" s="111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1">
        <v>35</v>
      </c>
      <c r="J51" s="9" t="str">
        <f>IFERROR(MID(VLOOKUP($B51,Seqs!$A:$B,2,0),K51,1),"")</f>
        <v>Q</v>
      </c>
      <c r="K51" s="111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2" t="str">
        <f>VLOOKUP(B51,Classification!A:D,2,0)</f>
        <v>A</v>
      </c>
      <c r="BA51" s="100" t="str">
        <f>VLOOKUP(B51,Classification!A:D,4,0)</f>
        <v>Adenosine</v>
      </c>
      <c r="BB51" s="37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1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2">
        <v>1.9</v>
      </c>
      <c r="BG51" s="52" t="s">
        <v>1</v>
      </c>
      <c r="BH51" s="52" t="s">
        <v>1</v>
      </c>
      <c r="BJ51" s="113" t="s">
        <v>1293</v>
      </c>
      <c r="BK51" s="114" t="s">
        <v>1293</v>
      </c>
      <c r="BL51" s="114" t="s">
        <v>1293</v>
      </c>
      <c r="BM51" s="114" t="s">
        <v>1293</v>
      </c>
      <c r="BN51" s="114" t="s">
        <v>1293</v>
      </c>
      <c r="BO51" s="114" t="s">
        <v>1293</v>
      </c>
      <c r="BP51" s="114" t="s">
        <v>1293</v>
      </c>
      <c r="BQ51" s="114" t="s">
        <v>1293</v>
      </c>
      <c r="BR51" s="114" t="s">
        <v>1293</v>
      </c>
      <c r="BS51" s="114" t="s">
        <v>1293</v>
      </c>
      <c r="BT51" s="114" t="s">
        <v>1293</v>
      </c>
      <c r="BU51" s="114" t="s">
        <v>1293</v>
      </c>
      <c r="BV51" s="113">
        <f t="shared" ref="BV51" si="617">E51</f>
        <v>1</v>
      </c>
      <c r="BW51" s="115">
        <f t="shared" ref="BW51" si="618">I51</f>
        <v>35</v>
      </c>
      <c r="BX51" s="116">
        <f t="shared" ref="BX51" si="619">M51</f>
        <v>39</v>
      </c>
      <c r="BY51" s="115">
        <f t="shared" ref="BY51" si="620">Q51</f>
        <v>70</v>
      </c>
      <c r="BZ51" s="116">
        <f t="shared" ref="BZ51" si="621">U51</f>
        <v>73</v>
      </c>
      <c r="CA51" s="115">
        <f t="shared" ref="CA51" si="622">Y51</f>
        <v>109</v>
      </c>
      <c r="CB51" s="116">
        <f t="shared" ref="CB51" si="623">AC51</f>
        <v>117</v>
      </c>
      <c r="CC51" s="115">
        <f t="shared" ref="CC51" si="624">AG51</f>
        <v>166</v>
      </c>
      <c r="CD51" s="116">
        <f t="shared" ref="CD51" si="625">AK51</f>
        <v>173</v>
      </c>
      <c r="CE51" s="115">
        <f t="shared" ref="CE51" si="626">AO51</f>
        <v>219</v>
      </c>
      <c r="CF51" s="116">
        <f t="shared" ref="CF51" si="627">AS51</f>
        <v>266</v>
      </c>
      <c r="CG51" s="115">
        <f t="shared" ref="CG51" si="628">AW51</f>
        <v>292</v>
      </c>
      <c r="CH51" s="113">
        <f t="shared" ref="CH51" si="629">G51</f>
        <v>34</v>
      </c>
      <c r="CI51" s="115">
        <f t="shared" ref="CI51" si="630">K51</f>
        <v>38</v>
      </c>
      <c r="CJ51" s="116">
        <f t="shared" ref="CJ51" si="631">O51</f>
        <v>69</v>
      </c>
      <c r="CK51" s="116">
        <f t="shared" ref="CK51" si="632">S51</f>
        <v>72</v>
      </c>
      <c r="CL51" s="116">
        <f t="shared" ref="CL51" si="633">W51</f>
        <v>108</v>
      </c>
      <c r="CM51" s="116">
        <f t="shared" ref="CM51" si="634">AA51</f>
        <v>116</v>
      </c>
      <c r="CN51" s="116">
        <f t="shared" ref="CN51" si="635">AE51</f>
        <v>142</v>
      </c>
      <c r="CO51" s="116">
        <f t="shared" ref="CO51" si="636">AI51</f>
        <v>168</v>
      </c>
      <c r="CP51" s="116">
        <f t="shared" ref="CP51" si="637">AM51</f>
        <v>208</v>
      </c>
      <c r="CQ51" s="116">
        <f t="shared" ref="CQ51" si="638">AQ51</f>
        <v>259</v>
      </c>
      <c r="CR51" s="116">
        <f t="shared" ref="CR51" si="639">AU51</f>
        <v>291</v>
      </c>
      <c r="CS51" s="116">
        <f t="shared" ref="CS51" si="640">AY51</f>
        <v>305</v>
      </c>
      <c r="CT51" s="111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1">
        <v>35</v>
      </c>
      <c r="J52" s="9" t="str">
        <f>IFERROR(MID(VLOOKUP($B52,Seqs!$A:$B,2,0),K52,1),"")</f>
        <v>Q</v>
      </c>
      <c r="K52" s="111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2" t="str">
        <f>VLOOKUP(B52,Classification!A:D,2,0)</f>
        <v>A</v>
      </c>
      <c r="BA52" s="100" t="str">
        <f>VLOOKUP(B52,Classification!A:D,4,0)</f>
        <v>Adenosine</v>
      </c>
      <c r="BB52" s="37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1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2">
        <v>2.1</v>
      </c>
      <c r="BG52" s="52" t="s">
        <v>1</v>
      </c>
      <c r="BH52" s="52" t="s">
        <v>1</v>
      </c>
      <c r="BJ52" s="113" t="s">
        <v>1293</v>
      </c>
      <c r="BK52" s="114" t="s">
        <v>1293</v>
      </c>
      <c r="BL52" s="114" t="s">
        <v>1293</v>
      </c>
      <c r="BM52" s="114" t="s">
        <v>1293</v>
      </c>
      <c r="BN52" s="114" t="s">
        <v>1293</v>
      </c>
      <c r="BO52" s="114" t="s">
        <v>1293</v>
      </c>
      <c r="BP52" s="114" t="s">
        <v>1293</v>
      </c>
      <c r="BQ52" s="114" t="s">
        <v>1293</v>
      </c>
      <c r="BR52" s="114" t="s">
        <v>1293</v>
      </c>
      <c r="BS52" s="114" t="s">
        <v>1293</v>
      </c>
      <c r="BT52" s="114" t="s">
        <v>1293</v>
      </c>
      <c r="BU52" s="114" t="s">
        <v>1293</v>
      </c>
      <c r="BV52" s="113">
        <f t="shared" ref="BV52" si="645">E52</f>
        <v>1</v>
      </c>
      <c r="BW52" s="115">
        <f t="shared" ref="BW52" si="646">I52</f>
        <v>35</v>
      </c>
      <c r="BX52" s="116">
        <f t="shared" ref="BX52" si="647">M52</f>
        <v>39</v>
      </c>
      <c r="BY52" s="115">
        <f t="shared" ref="BY52" si="648">Q52</f>
        <v>70</v>
      </c>
      <c r="BZ52" s="116">
        <f t="shared" ref="BZ52" si="649">U52</f>
        <v>73</v>
      </c>
      <c r="CA52" s="115">
        <f t="shared" ref="CA52" si="650">Y52</f>
        <v>109</v>
      </c>
      <c r="CB52" s="116">
        <f t="shared" ref="CB52" si="651">AC52</f>
        <v>117</v>
      </c>
      <c r="CC52" s="115">
        <f t="shared" ref="CC52" si="652">AG52</f>
        <v>166</v>
      </c>
      <c r="CD52" s="116">
        <f t="shared" ref="CD52" si="653">AK52</f>
        <v>173</v>
      </c>
      <c r="CE52" s="115">
        <f t="shared" ref="CE52" si="654">AO52</f>
        <v>219</v>
      </c>
      <c r="CF52" s="116">
        <f t="shared" ref="CF52" si="655">AS52</f>
        <v>266</v>
      </c>
      <c r="CG52" s="115">
        <f t="shared" ref="CG52" si="656">AW52</f>
        <v>292</v>
      </c>
      <c r="CH52" s="113">
        <f t="shared" ref="CH52" si="657">G52</f>
        <v>34</v>
      </c>
      <c r="CI52" s="115">
        <f t="shared" ref="CI52" si="658">K52</f>
        <v>38</v>
      </c>
      <c r="CJ52" s="116">
        <f t="shared" ref="CJ52" si="659">O52</f>
        <v>69</v>
      </c>
      <c r="CK52" s="116">
        <f t="shared" ref="CK52" si="660">S52</f>
        <v>72</v>
      </c>
      <c r="CL52" s="116">
        <f t="shared" ref="CL52" si="661">W52</f>
        <v>108</v>
      </c>
      <c r="CM52" s="116">
        <f t="shared" ref="CM52" si="662">AA52</f>
        <v>116</v>
      </c>
      <c r="CN52" s="116">
        <f t="shared" ref="CN52" si="663">AE52</f>
        <v>142</v>
      </c>
      <c r="CO52" s="116">
        <f t="shared" ref="CO52" si="664">AI52</f>
        <v>168</v>
      </c>
      <c r="CP52" s="116">
        <f t="shared" ref="CP52" si="665">AM52</f>
        <v>208</v>
      </c>
      <c r="CQ52" s="116">
        <f t="shared" ref="CQ52" si="666">AQ52</f>
        <v>259</v>
      </c>
      <c r="CR52" s="116">
        <f t="shared" ref="CR52" si="667">AU52</f>
        <v>291</v>
      </c>
      <c r="CS52" s="116">
        <f t="shared" ref="CS52" si="668">AY52</f>
        <v>305</v>
      </c>
      <c r="CT52" s="111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1">
        <v>35</v>
      </c>
      <c r="J53" s="9" t="str">
        <f>IFERROR(MID(VLOOKUP($B53,Seqs!$A:$B,2,0),K53,1),"")</f>
        <v>Q</v>
      </c>
      <c r="K53" s="111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2" t="str">
        <f>VLOOKUP(B53,Classification!A:D,2,0)</f>
        <v>A</v>
      </c>
      <c r="BA53" s="100" t="str">
        <f>VLOOKUP(B53,Classification!A:D,4,0)</f>
        <v>Adenosine</v>
      </c>
      <c r="BB53" s="37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1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2">
        <v>2</v>
      </c>
      <c r="BG53" s="52" t="s">
        <v>1</v>
      </c>
      <c r="BH53" s="52" t="s">
        <v>1</v>
      </c>
      <c r="BJ53" s="113" t="s">
        <v>1293</v>
      </c>
      <c r="BK53" s="114" t="s">
        <v>1293</v>
      </c>
      <c r="BL53" s="114" t="s">
        <v>1293</v>
      </c>
      <c r="BM53" s="114" t="s">
        <v>1293</v>
      </c>
      <c r="BN53" s="114" t="s">
        <v>1293</v>
      </c>
      <c r="BO53" s="114" t="s">
        <v>1293</v>
      </c>
      <c r="BP53" s="114" t="s">
        <v>1293</v>
      </c>
      <c r="BQ53" s="114" t="s">
        <v>1293</v>
      </c>
      <c r="BR53" s="114" t="s">
        <v>1293</v>
      </c>
      <c r="BS53" s="114" t="s">
        <v>1293</v>
      </c>
      <c r="BT53" s="114" t="s">
        <v>1293</v>
      </c>
      <c r="BU53" s="114" t="s">
        <v>1293</v>
      </c>
      <c r="BV53" s="113">
        <f t="shared" ref="BV53" si="673">E53</f>
        <v>1</v>
      </c>
      <c r="BW53" s="115">
        <f t="shared" ref="BW53" si="674">I53</f>
        <v>35</v>
      </c>
      <c r="BX53" s="116">
        <f t="shared" ref="BX53" si="675">M53</f>
        <v>39</v>
      </c>
      <c r="BY53" s="115">
        <f t="shared" ref="BY53" si="676">Q53</f>
        <v>70</v>
      </c>
      <c r="BZ53" s="116">
        <f t="shared" ref="BZ53" si="677">U53</f>
        <v>73</v>
      </c>
      <c r="CA53" s="115">
        <f t="shared" ref="CA53" si="678">Y53</f>
        <v>109</v>
      </c>
      <c r="CB53" s="116">
        <f t="shared" ref="CB53" si="679">AC53</f>
        <v>117</v>
      </c>
      <c r="CC53" s="115">
        <f t="shared" ref="CC53" si="680">AG53</f>
        <v>166</v>
      </c>
      <c r="CD53" s="116">
        <f t="shared" ref="CD53" si="681">AK53</f>
        <v>173</v>
      </c>
      <c r="CE53" s="115">
        <f t="shared" ref="CE53" si="682">AO53</f>
        <v>219</v>
      </c>
      <c r="CF53" s="116">
        <f t="shared" ref="CF53" si="683">AS53</f>
        <v>266</v>
      </c>
      <c r="CG53" s="115">
        <f t="shared" ref="CG53" si="684">AW53</f>
        <v>292</v>
      </c>
      <c r="CH53" s="113">
        <f t="shared" ref="CH53" si="685">G53</f>
        <v>34</v>
      </c>
      <c r="CI53" s="115">
        <f t="shared" ref="CI53" si="686">K53</f>
        <v>38</v>
      </c>
      <c r="CJ53" s="116">
        <f t="shared" ref="CJ53" si="687">O53</f>
        <v>69</v>
      </c>
      <c r="CK53" s="116">
        <f t="shared" ref="CK53" si="688">S53</f>
        <v>72</v>
      </c>
      <c r="CL53" s="116">
        <f t="shared" ref="CL53" si="689">W53</f>
        <v>108</v>
      </c>
      <c r="CM53" s="116">
        <f t="shared" ref="CM53" si="690">AA53</f>
        <v>116</v>
      </c>
      <c r="CN53" s="116">
        <f t="shared" ref="CN53" si="691">AE53</f>
        <v>142</v>
      </c>
      <c r="CO53" s="116">
        <f t="shared" ref="CO53" si="692">AI53</f>
        <v>168</v>
      </c>
      <c r="CP53" s="116">
        <f t="shared" ref="CP53" si="693">AM53</f>
        <v>208</v>
      </c>
      <c r="CQ53" s="116">
        <f t="shared" ref="CQ53" si="694">AQ53</f>
        <v>259</v>
      </c>
      <c r="CR53" s="116">
        <f t="shared" ref="CR53" si="695">AU53</f>
        <v>291</v>
      </c>
      <c r="CS53" s="116">
        <f t="shared" ref="CS53" si="696">AY53</f>
        <v>307</v>
      </c>
      <c r="CT53" s="111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1">
        <v>35</v>
      </c>
      <c r="J54" s="9" t="str">
        <f>IFERROR(MID(VLOOKUP($B54,Seqs!$A:$B,2,0),K54,1),"")</f>
        <v>Q</v>
      </c>
      <c r="K54" s="111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2" t="str">
        <f>VLOOKUP(B54,Classification!A:D,2,0)</f>
        <v>A</v>
      </c>
      <c r="BA54" s="100" t="str">
        <f>VLOOKUP(B54,Classification!A:D,4,0)</f>
        <v>Adenosine</v>
      </c>
      <c r="BB54" s="37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1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2">
        <v>2.5099999999999998</v>
      </c>
      <c r="BG54" s="52" t="s">
        <v>1</v>
      </c>
      <c r="BH54" s="52" t="s">
        <v>1</v>
      </c>
      <c r="BJ54" s="113" t="s">
        <v>1293</v>
      </c>
      <c r="BK54" s="114" t="s">
        <v>1293</v>
      </c>
      <c r="BL54" s="114" t="s">
        <v>1293</v>
      </c>
      <c r="BM54" s="114" t="s">
        <v>1293</v>
      </c>
      <c r="BN54" s="114" t="s">
        <v>1293</v>
      </c>
      <c r="BO54" s="114" t="s">
        <v>1293</v>
      </c>
      <c r="BP54" s="114" t="s">
        <v>1293</v>
      </c>
      <c r="BQ54" s="114" t="s">
        <v>1293</v>
      </c>
      <c r="BR54" s="114" t="s">
        <v>1293</v>
      </c>
      <c r="BS54" s="114" t="s">
        <v>1293</v>
      </c>
      <c r="BT54" s="114" t="s">
        <v>1293</v>
      </c>
      <c r="BU54" s="114" t="s">
        <v>1293</v>
      </c>
      <c r="BV54" s="113">
        <f t="shared" ref="BV54" si="701">E54</f>
        <v>1</v>
      </c>
      <c r="BW54" s="115">
        <f t="shared" ref="BW54" si="702">I54</f>
        <v>35</v>
      </c>
      <c r="BX54" s="116">
        <f t="shared" ref="BX54" si="703">M54</f>
        <v>39</v>
      </c>
      <c r="BY54" s="115">
        <f t="shared" ref="BY54" si="704">Q54</f>
        <v>70</v>
      </c>
      <c r="BZ54" s="116">
        <f t="shared" ref="BZ54" si="705">U54</f>
        <v>73</v>
      </c>
      <c r="CA54" s="115">
        <f t="shared" ref="CA54" si="706">Y54</f>
        <v>109</v>
      </c>
      <c r="CB54" s="116">
        <f t="shared" ref="CB54" si="707">AC54</f>
        <v>117</v>
      </c>
      <c r="CC54" s="115">
        <f t="shared" ref="CC54" si="708">AG54</f>
        <v>166</v>
      </c>
      <c r="CD54" s="116">
        <f t="shared" ref="CD54" si="709">AK54</f>
        <v>173</v>
      </c>
      <c r="CE54" s="115">
        <f t="shared" ref="CE54" si="710">AO54</f>
        <v>219</v>
      </c>
      <c r="CF54" s="116">
        <f t="shared" ref="CF54" si="711">AS54</f>
        <v>266</v>
      </c>
      <c r="CG54" s="115">
        <f t="shared" ref="CG54" si="712">AW54</f>
        <v>292</v>
      </c>
      <c r="CH54" s="113">
        <f t="shared" ref="CH54" si="713">G54</f>
        <v>34</v>
      </c>
      <c r="CI54" s="115">
        <f t="shared" ref="CI54" si="714">K54</f>
        <v>38</v>
      </c>
      <c r="CJ54" s="116">
        <f t="shared" ref="CJ54" si="715">O54</f>
        <v>69</v>
      </c>
      <c r="CK54" s="116">
        <f t="shared" ref="CK54" si="716">S54</f>
        <v>72</v>
      </c>
      <c r="CL54" s="116">
        <f t="shared" ref="CL54" si="717">W54</f>
        <v>108</v>
      </c>
      <c r="CM54" s="116">
        <f t="shared" ref="CM54" si="718">AA54</f>
        <v>116</v>
      </c>
      <c r="CN54" s="116">
        <f t="shared" ref="CN54" si="719">AE54</f>
        <v>142</v>
      </c>
      <c r="CO54" s="116">
        <f t="shared" ref="CO54" si="720">AI54</f>
        <v>168</v>
      </c>
      <c r="CP54" s="116">
        <f t="shared" ref="CP54" si="721">AM54</f>
        <v>208</v>
      </c>
      <c r="CQ54" s="116">
        <f t="shared" ref="CQ54" si="722">AQ54</f>
        <v>259</v>
      </c>
      <c r="CR54" s="116">
        <f t="shared" ref="CR54" si="723">AU54</f>
        <v>291</v>
      </c>
      <c r="CS54" s="116">
        <f t="shared" ref="CS54" si="724">AY54</f>
        <v>306</v>
      </c>
      <c r="CT54" s="111">
        <f t="shared" ref="CT54" si="725">M54-K54</f>
        <v>1</v>
      </c>
    </row>
    <row r="55" spans="1:1029" x14ac:dyDescent="0.2">
      <c r="A55" s="3" t="str">
        <f t="shared" si="0"/>
        <v>acm1_human__wt</v>
      </c>
      <c r="B55" s="3" t="s">
        <v>146</v>
      </c>
      <c r="C55" s="3" t="s">
        <v>100</v>
      </c>
      <c r="D55" s="3" t="str">
        <f>IFERROR(MID(VLOOKUP($B55,Seqs!$A:$B,2,0),E55,1),"")</f>
        <v>P</v>
      </c>
      <c r="E55" s="3">
        <v>22</v>
      </c>
      <c r="F55" s="3" t="str">
        <f>IFERROR(MID(VLOOKUP($B55,Seqs!$A:$B,2,0),G55,1),"")</f>
        <v>N</v>
      </c>
      <c r="G55" s="3">
        <v>53</v>
      </c>
      <c r="H55" s="3" t="str">
        <f>IFERROR(MID(VLOOKUP($B55,Seqs!$A:$B,2,0),I55,1),"")</f>
        <v>T</v>
      </c>
      <c r="I55" s="23">
        <v>54</v>
      </c>
      <c r="J55" s="3" t="str">
        <f>IFERROR(MID(VLOOKUP($B55,Seqs!$A:$B,2,0),K55,1),"")</f>
        <v>K</v>
      </c>
      <c r="K55" s="23">
        <v>57</v>
      </c>
      <c r="L55" s="3" t="str">
        <f>IFERROR(MID(VLOOKUP($B55,Seqs!$A:$B,2,0),M55,1),"")</f>
        <v>T</v>
      </c>
      <c r="M55" s="3">
        <v>58</v>
      </c>
      <c r="N55" s="3" t="str">
        <f>IFERROR(MID(VLOOKUP($B55,Seqs!$A:$B,2,0),O55,1),"")</f>
        <v>M</v>
      </c>
      <c r="O55" s="3">
        <v>88</v>
      </c>
      <c r="P55" s="3" t="str">
        <f>IFERROR(MID(VLOOKUP($B55,Seqs!$A:$B,2,0),Q55,1),"")</f>
        <v>H</v>
      </c>
      <c r="Q55" s="3">
        <v>90</v>
      </c>
      <c r="R55" s="3" t="str">
        <f>IFERROR(MID(VLOOKUP($B55,Seqs!$A:$B,2,0),S55,1),"")</f>
        <v>L</v>
      </c>
      <c r="S55" s="3">
        <v>93</v>
      </c>
      <c r="T55" s="3" t="str">
        <f>IFERROR(MID(VLOOKUP($B55,Seqs!$A:$B,2,0),U55,1),"")</f>
        <v>G</v>
      </c>
      <c r="U55" s="3">
        <v>94</v>
      </c>
      <c r="V55" s="3" t="str">
        <f>IFERROR(MID(VLOOKUP($B55,Seqs!$A:$B,2,0),W55,1),"")</f>
        <v>R</v>
      </c>
      <c r="W55" s="3">
        <v>129</v>
      </c>
      <c r="X55" s="3" t="str">
        <f>IFERROR(MID(VLOOKUP($B55,Seqs!$A:$B,2,0),Y55,1),"")</f>
        <v>P</v>
      </c>
      <c r="Y55" s="3">
        <v>130</v>
      </c>
      <c r="Z55" s="3" t="str">
        <f>IFERROR(MID(VLOOKUP($B55,Seqs!$A:$B,2,0),AA55,1),"")</f>
        <v>R</v>
      </c>
      <c r="AA55" s="3">
        <v>137</v>
      </c>
      <c r="AB55" s="3" t="str">
        <f>IFERROR(MID(VLOOKUP($B55,Seqs!$A:$B,2,0),AC55,1),"")</f>
        <v>T</v>
      </c>
      <c r="AC55" s="9">
        <v>138</v>
      </c>
      <c r="AD55" s="3" t="str">
        <f>IFERROR(MID(VLOOKUP($B55,Seqs!$A:$B,2,0),AE55,1),"")</f>
        <v>G</v>
      </c>
      <c r="AE55" s="3">
        <v>169</v>
      </c>
      <c r="AF55" s="3" t="str">
        <f>IFERROR(MID(VLOOKUP($B55,Seqs!$A:$B,2,0),AG55,1),"")</f>
        <v>C</v>
      </c>
      <c r="AG55" s="3">
        <v>178</v>
      </c>
      <c r="AH55" s="3" t="str">
        <f>IFERROR(MID(VLOOKUP($B55,Seqs!$A:$B,2,0),AI55,1),"")</f>
        <v>I</v>
      </c>
      <c r="AI55" s="3">
        <v>180</v>
      </c>
      <c r="AJ55" s="3" t="str">
        <f>IFERROR(MID(VLOOKUP($B55,Seqs!$A:$B,2,0),AK55,1),"")</f>
        <v>Q</v>
      </c>
      <c r="AK55" s="3">
        <v>185</v>
      </c>
      <c r="AL55" s="3" t="str">
        <f>IFERROR(MID(VLOOKUP($B55,Seqs!$A:$B,2,0),AM55,1),"")</f>
        <v>L</v>
      </c>
      <c r="AM55" s="3">
        <v>225</v>
      </c>
      <c r="AN55" s="3" t="str">
        <f>IFERROR(MID(VLOOKUP($B55,Seqs!$A:$B,2,0),AO55,1),"")</f>
        <v>T</v>
      </c>
      <c r="AO55" s="3">
        <v>354</v>
      </c>
      <c r="AP55" s="3" t="str">
        <f>IFERROR(MID(VLOOKUP($B55,Seqs!$A:$B,2,0),AQ55,1),"")</f>
        <v>C</v>
      </c>
      <c r="AQ55" s="3">
        <v>391</v>
      </c>
      <c r="AR55" s="3" t="str">
        <f>IFERROR(MID(VLOOKUP($B55,Seqs!$A:$B,2,0),AS55,1),"")</f>
        <v>P</v>
      </c>
      <c r="AS55" s="3">
        <v>396</v>
      </c>
      <c r="AT55" s="3" t="str">
        <f>IFERROR(MID(VLOOKUP($B55,Seqs!$A:$B,2,0),AU55,1),"")</f>
        <v>C</v>
      </c>
      <c r="AU55" s="3">
        <v>421</v>
      </c>
      <c r="AV55" s="3" t="str">
        <f>IFERROR(MID(VLOOKUP($B55,Seqs!$A:$B,2,0),AW55,1),"")</f>
        <v>N</v>
      </c>
      <c r="AW55" s="3">
        <v>422</v>
      </c>
      <c r="AX55" s="3" t="str">
        <f>IFERROR(MID(VLOOKUP($B55,Seqs!$A:$B,2,0),AY55,1),"")</f>
        <v>L</v>
      </c>
      <c r="AY55" s="3">
        <v>434</v>
      </c>
      <c r="AZ55" s="79" t="str">
        <f>VLOOKUP(B55,Classification!A:D,2,0)</f>
        <v>A</v>
      </c>
      <c r="BA55" s="96" t="str">
        <f>VLOOKUP(B55,Classification!A:D,4,0)</f>
        <v>Acetylcholine(muscarinic)</v>
      </c>
      <c r="BB55" s="27" t="b">
        <f t="shared" si="1"/>
        <v>1</v>
      </c>
      <c r="BC55" s="23">
        <f t="shared" si="252"/>
        <v>268</v>
      </c>
      <c r="BD55" s="57" t="s">
        <v>1379</v>
      </c>
      <c r="BE55" s="3" t="s">
        <v>23</v>
      </c>
      <c r="BF55" s="121" t="s">
        <v>23</v>
      </c>
      <c r="BG55" s="50" t="s">
        <v>1379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253"/>
        <v>22</v>
      </c>
      <c r="BW55" s="73">
        <f t="shared" si="254"/>
        <v>54</v>
      </c>
      <c r="BX55" s="74">
        <f t="shared" si="255"/>
        <v>58</v>
      </c>
      <c r="BY55" s="73">
        <f t="shared" si="256"/>
        <v>90</v>
      </c>
      <c r="BZ55" s="74">
        <f t="shared" si="257"/>
        <v>94</v>
      </c>
      <c r="CA55" s="73">
        <f t="shared" si="258"/>
        <v>130</v>
      </c>
      <c r="CB55" s="74">
        <f t="shared" si="259"/>
        <v>138</v>
      </c>
      <c r="CC55" s="73">
        <f t="shared" si="260"/>
        <v>178</v>
      </c>
      <c r="CD55" s="74">
        <f t="shared" si="261"/>
        <v>185</v>
      </c>
      <c r="CE55" s="73">
        <f t="shared" si="262"/>
        <v>354</v>
      </c>
      <c r="CF55" s="74">
        <f t="shared" si="263"/>
        <v>396</v>
      </c>
      <c r="CG55" s="73">
        <f t="shared" si="264"/>
        <v>422</v>
      </c>
      <c r="CH55" s="72">
        <f t="shared" si="265"/>
        <v>53</v>
      </c>
      <c r="CI55" s="73">
        <f t="shared" si="266"/>
        <v>57</v>
      </c>
      <c r="CJ55" s="74">
        <f t="shared" si="267"/>
        <v>88</v>
      </c>
      <c r="CK55" s="74">
        <f t="shared" si="268"/>
        <v>93</v>
      </c>
      <c r="CL55" s="74">
        <f t="shared" si="269"/>
        <v>129</v>
      </c>
      <c r="CM55" s="74">
        <f t="shared" si="270"/>
        <v>137</v>
      </c>
      <c r="CN55" s="74">
        <f t="shared" si="271"/>
        <v>169</v>
      </c>
      <c r="CO55" s="74">
        <f t="shared" si="272"/>
        <v>180</v>
      </c>
      <c r="CP55" s="74">
        <f t="shared" si="273"/>
        <v>225</v>
      </c>
      <c r="CQ55" s="74">
        <f t="shared" si="274"/>
        <v>391</v>
      </c>
      <c r="CR55" s="74">
        <f t="shared" si="275"/>
        <v>421</v>
      </c>
      <c r="CS55" s="74">
        <f t="shared" si="276"/>
        <v>434</v>
      </c>
      <c r="CT55" s="23">
        <f t="shared" si="277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0"/>
        <v>acm1_human_5CXV</v>
      </c>
      <c r="B56" s="3" t="s">
        <v>146</v>
      </c>
      <c r="C56" s="3" t="s">
        <v>62</v>
      </c>
      <c r="D56" s="3" t="str">
        <f>IFERROR(MID(VLOOKUP($B56,Seqs!$A:$B,2,0),E56,1),"")</f>
        <v>P</v>
      </c>
      <c r="E56" s="3">
        <v>22</v>
      </c>
      <c r="F56" s="3" t="str">
        <f>IFERROR(MID(VLOOKUP($B56,Seqs!$A:$B,2,0),G56,1),"")</f>
        <v>N</v>
      </c>
      <c r="G56" s="3">
        <v>53</v>
      </c>
      <c r="H56" s="3" t="str">
        <f>IFERROR(MID(VLOOKUP($B56,Seqs!$A:$B,2,0),I56,1),"")</f>
        <v>T</v>
      </c>
      <c r="I56" s="23">
        <v>54</v>
      </c>
      <c r="J56" s="3" t="str">
        <f>IFERROR(MID(VLOOKUP($B56,Seqs!$A:$B,2,0),K56,1),"")</f>
        <v>K</v>
      </c>
      <c r="K56" s="23">
        <v>57</v>
      </c>
      <c r="L56" s="3" t="str">
        <f>IFERROR(MID(VLOOKUP($B56,Seqs!$A:$B,2,0),M56,1),"")</f>
        <v>T</v>
      </c>
      <c r="M56" s="3">
        <v>58</v>
      </c>
      <c r="N56" s="3" t="str">
        <f>IFERROR(MID(VLOOKUP($B56,Seqs!$A:$B,2,0),O56,1),"")</f>
        <v>M</v>
      </c>
      <c r="O56" s="3">
        <v>88</v>
      </c>
      <c r="P56" s="3" t="str">
        <f>IFERROR(MID(VLOOKUP($B56,Seqs!$A:$B,2,0),Q56,1),"")</f>
        <v>H</v>
      </c>
      <c r="Q56" s="3">
        <v>90</v>
      </c>
      <c r="R56" s="3" t="str">
        <f>IFERROR(MID(VLOOKUP($B56,Seqs!$A:$B,2,0),S56,1),"")</f>
        <v>L</v>
      </c>
      <c r="S56" s="3">
        <v>93</v>
      </c>
      <c r="T56" s="3" t="str">
        <f>IFERROR(MID(VLOOKUP($B56,Seqs!$A:$B,2,0),U56,1),"")</f>
        <v>G</v>
      </c>
      <c r="U56" s="3">
        <v>94</v>
      </c>
      <c r="V56" s="3" t="str">
        <f>IFERROR(MID(VLOOKUP($B56,Seqs!$A:$B,2,0),W56,1),"")</f>
        <v>R</v>
      </c>
      <c r="W56" s="3">
        <v>129</v>
      </c>
      <c r="X56" s="3" t="str">
        <f>IFERROR(MID(VLOOKUP($B56,Seqs!$A:$B,2,0),Y56,1),"")</f>
        <v>P</v>
      </c>
      <c r="Y56" s="3">
        <v>130</v>
      </c>
      <c r="Z56" s="3" t="str">
        <f>IFERROR(MID(VLOOKUP($B56,Seqs!$A:$B,2,0),AA56,1),"")</f>
        <v>R</v>
      </c>
      <c r="AA56" s="3">
        <v>137</v>
      </c>
      <c r="AB56" s="3" t="str">
        <f>IFERROR(MID(VLOOKUP($B56,Seqs!$A:$B,2,0),AC56,1),"")</f>
        <v>T</v>
      </c>
      <c r="AC56" s="9">
        <v>138</v>
      </c>
      <c r="AD56" s="3" t="str">
        <f>IFERROR(MID(VLOOKUP($B56,Seqs!$A:$B,2,0),AE56,1),"")</f>
        <v>G</v>
      </c>
      <c r="AE56" s="3">
        <v>169</v>
      </c>
      <c r="AF56" s="3" t="str">
        <f>IFERROR(MID(VLOOKUP($B56,Seqs!$A:$B,2,0),AG56,1),"")</f>
        <v>C</v>
      </c>
      <c r="AG56" s="3">
        <v>178</v>
      </c>
      <c r="AH56" s="3" t="str">
        <f>IFERROR(MID(VLOOKUP($B56,Seqs!$A:$B,2,0),AI56,1),"")</f>
        <v>I</v>
      </c>
      <c r="AI56" s="3">
        <v>180</v>
      </c>
      <c r="AJ56" s="3" t="str">
        <f>IFERROR(MID(VLOOKUP($B56,Seqs!$A:$B,2,0),AK56,1),"")</f>
        <v>Q</v>
      </c>
      <c r="AK56" s="3">
        <v>185</v>
      </c>
      <c r="AL56" s="3" t="str">
        <f>IFERROR(MID(VLOOKUP($B56,Seqs!$A:$B,2,0),AM56,1),"")</f>
        <v>R</v>
      </c>
      <c r="AM56" s="3">
        <v>213</v>
      </c>
      <c r="AN56" s="3" t="str">
        <f>IFERROR(MID(VLOOKUP($B56,Seqs!$A:$B,2,0),AO56,1),"")</f>
        <v>L</v>
      </c>
      <c r="AO56" s="3">
        <v>357</v>
      </c>
      <c r="AP56" s="3" t="str">
        <f>IFERROR(MID(VLOOKUP($B56,Seqs!$A:$B,2,0),AQ56,1),"")</f>
        <v>C</v>
      </c>
      <c r="AQ56" s="3">
        <v>391</v>
      </c>
      <c r="AR56" s="3" t="str">
        <f>IFERROR(MID(VLOOKUP($B56,Seqs!$A:$B,2,0),AS56,1),"")</f>
        <v>P</v>
      </c>
      <c r="AS56" s="3">
        <v>396</v>
      </c>
      <c r="AT56" s="3" t="str">
        <f>IFERROR(MID(VLOOKUP($B56,Seqs!$A:$B,2,0),AU56,1),"")</f>
        <v>C</v>
      </c>
      <c r="AU56" s="3">
        <v>421</v>
      </c>
      <c r="AV56" s="3" t="str">
        <f>IFERROR(MID(VLOOKUP($B56,Seqs!$A:$B,2,0),AW56,1),"")</f>
        <v>N</v>
      </c>
      <c r="AW56" s="3">
        <v>422</v>
      </c>
      <c r="AX56" s="3" t="str">
        <f>IFERROR(MID(VLOOKUP($B56,Seqs!$A:$B,2,0),AY56,1),"")</f>
        <v>L</v>
      </c>
      <c r="AY56" s="3">
        <v>434</v>
      </c>
      <c r="AZ56" s="79" t="str">
        <f>VLOOKUP(B56,Classification!A:D,2,0)</f>
        <v>A</v>
      </c>
      <c r="BA56" s="96" t="str">
        <f>VLOOKUP(B56,Classification!A:D,4,0)</f>
        <v>Acetylcholine(muscarinic)</v>
      </c>
      <c r="BB56" s="27" t="b">
        <f t="shared" si="1"/>
        <v>1</v>
      </c>
      <c r="BC56" s="23">
        <f t="shared" si="252"/>
        <v>253</v>
      </c>
      <c r="BD56" s="16" t="s">
        <v>1383</v>
      </c>
      <c r="BE56" s="3" t="s">
        <v>1381</v>
      </c>
      <c r="BF56" s="121">
        <v>2.7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253"/>
        <v>22</v>
      </c>
      <c r="BW56" s="73">
        <f t="shared" si="254"/>
        <v>54</v>
      </c>
      <c r="BX56" s="74">
        <f t="shared" si="255"/>
        <v>58</v>
      </c>
      <c r="BY56" s="73">
        <f t="shared" si="256"/>
        <v>90</v>
      </c>
      <c r="BZ56" s="74">
        <f t="shared" si="257"/>
        <v>94</v>
      </c>
      <c r="CA56" s="73">
        <f t="shared" si="258"/>
        <v>130</v>
      </c>
      <c r="CB56" s="74">
        <f t="shared" si="259"/>
        <v>138</v>
      </c>
      <c r="CC56" s="73">
        <f t="shared" si="260"/>
        <v>178</v>
      </c>
      <c r="CD56" s="74">
        <f t="shared" si="261"/>
        <v>185</v>
      </c>
      <c r="CE56" s="73">
        <f t="shared" si="262"/>
        <v>357</v>
      </c>
      <c r="CF56" s="74">
        <f t="shared" si="263"/>
        <v>396</v>
      </c>
      <c r="CG56" s="73">
        <f t="shared" si="264"/>
        <v>422</v>
      </c>
      <c r="CH56" s="72">
        <f t="shared" si="265"/>
        <v>53</v>
      </c>
      <c r="CI56" s="73">
        <f t="shared" si="266"/>
        <v>57</v>
      </c>
      <c r="CJ56" s="74">
        <f t="shared" si="267"/>
        <v>88</v>
      </c>
      <c r="CK56" s="74">
        <f t="shared" si="268"/>
        <v>93</v>
      </c>
      <c r="CL56" s="74">
        <f t="shared" si="269"/>
        <v>129</v>
      </c>
      <c r="CM56" s="74">
        <f t="shared" si="270"/>
        <v>137</v>
      </c>
      <c r="CN56" s="74">
        <f t="shared" si="271"/>
        <v>169</v>
      </c>
      <c r="CO56" s="74">
        <f t="shared" si="272"/>
        <v>180</v>
      </c>
      <c r="CP56" s="74">
        <f t="shared" si="273"/>
        <v>213</v>
      </c>
      <c r="CQ56" s="74">
        <f t="shared" si="274"/>
        <v>391</v>
      </c>
      <c r="CR56" s="74">
        <f t="shared" si="275"/>
        <v>421</v>
      </c>
      <c r="CS56" s="74">
        <f t="shared" si="276"/>
        <v>434</v>
      </c>
      <c r="CT56" s="23">
        <f t="shared" si="277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0"/>
        <v>acm2_human__wt</v>
      </c>
      <c r="B57" s="3" t="s">
        <v>147</v>
      </c>
      <c r="C57" s="3" t="s">
        <v>100</v>
      </c>
      <c r="D57" s="3" t="str">
        <f>IFERROR(MID(VLOOKUP($B57,Seqs!$A:$B,2,0),E57,1),"")</f>
        <v>K</v>
      </c>
      <c r="E57" s="3">
        <v>19</v>
      </c>
      <c r="F57" s="3" t="str">
        <f>IFERROR(MID(VLOOKUP($B57,Seqs!$A:$B,2,0),G57,1),"")</f>
        <v>N</v>
      </c>
      <c r="G57" s="3">
        <v>51</v>
      </c>
      <c r="H57" s="3" t="str">
        <f>IFERROR(MID(VLOOKUP($B57,Seqs!$A:$B,2,0),I57,1),"")</f>
        <v>R</v>
      </c>
      <c r="I57" s="23">
        <v>52</v>
      </c>
      <c r="J57" s="3" t="str">
        <f>IFERROR(MID(VLOOKUP($B57,Seqs!$A:$B,2,0),K57,1),"")</f>
        <v>Q</v>
      </c>
      <c r="K57" s="23">
        <v>55</v>
      </c>
      <c r="L57" s="3" t="str">
        <f>IFERROR(MID(VLOOKUP($B57,Seqs!$A:$B,2,0),M57,1),"")</f>
        <v>T</v>
      </c>
      <c r="M57" s="3">
        <v>56</v>
      </c>
      <c r="N57" s="3" t="str">
        <f>IFERROR(MID(VLOOKUP($B57,Seqs!$A:$B,2,0),O57,1),"")</f>
        <v>I</v>
      </c>
      <c r="O57" s="3">
        <v>86</v>
      </c>
      <c r="P57" s="3" t="str">
        <f>IFERROR(MID(VLOOKUP($B57,Seqs!$A:$B,2,0),Q57,1),"")</f>
        <v>Y</v>
      </c>
      <c r="Q57" s="3">
        <v>88</v>
      </c>
      <c r="R57" s="3" t="str">
        <f>IFERROR(MID(VLOOKUP($B57,Seqs!$A:$B,2,0),S57,1),"")</f>
        <v>L</v>
      </c>
      <c r="S57" s="3">
        <v>91</v>
      </c>
      <c r="T57" s="3" t="str">
        <f>IFERROR(MID(VLOOKUP($B57,Seqs!$A:$B,2,0),U57,1),"")</f>
        <v>G</v>
      </c>
      <c r="U57" s="3">
        <v>92</v>
      </c>
      <c r="V57" s="3" t="str">
        <f>IFERROR(MID(VLOOKUP($B57,Seqs!$A:$B,2,0),W57,1),"")</f>
        <v>K</v>
      </c>
      <c r="W57" s="3">
        <v>127</v>
      </c>
      <c r="X57" s="3" t="str">
        <f>IFERROR(MID(VLOOKUP($B57,Seqs!$A:$B,2,0),Y57,1),"")</f>
        <v>P</v>
      </c>
      <c r="Y57" s="3">
        <v>128</v>
      </c>
      <c r="Z57" s="3" t="str">
        <f>IFERROR(MID(VLOOKUP($B57,Seqs!$A:$B,2,0),AA57,1),"")</f>
        <v>R</v>
      </c>
      <c r="AA57" s="3">
        <v>135</v>
      </c>
      <c r="AB57" s="3" t="str">
        <f>IFERROR(MID(VLOOKUP($B57,Seqs!$A:$B,2,0),AC57,1),"")</f>
        <v>T</v>
      </c>
      <c r="AC57" s="9">
        <v>136</v>
      </c>
      <c r="AD57" s="3" t="str">
        <f>IFERROR(MID(VLOOKUP($B57,Seqs!$A:$B,2,0),AE57,1),"")</f>
        <v>G</v>
      </c>
      <c r="AE57" s="3">
        <v>167</v>
      </c>
      <c r="AF57" s="3" t="str">
        <f>IFERROR(MID(VLOOKUP($B57,Seqs!$A:$B,2,0),AG57,1),"")</f>
        <v>C</v>
      </c>
      <c r="AG57" s="3">
        <v>176</v>
      </c>
      <c r="AH57" s="3" t="str">
        <f>IFERROR(MID(VLOOKUP($B57,Seqs!$A:$B,2,0),AI57,1),"")</f>
        <v>I</v>
      </c>
      <c r="AI57" s="3">
        <v>178</v>
      </c>
      <c r="AJ57" s="3" t="str">
        <f>IFERROR(MID(VLOOKUP($B57,Seqs!$A:$B,2,0),AK57,1),"")</f>
        <v>N</v>
      </c>
      <c r="AK57" s="3">
        <v>183</v>
      </c>
      <c r="AL57" s="3" t="str">
        <f>IFERROR(MID(VLOOKUP($B57,Seqs!$A:$B,2,0),AM57,1),"")</f>
        <v>E</v>
      </c>
      <c r="AM57" s="3">
        <v>223</v>
      </c>
      <c r="AN57" s="3" t="str">
        <f>IFERROR(MID(VLOOKUP($B57,Seqs!$A:$B,2,0),AO57,1),"")</f>
        <v>K</v>
      </c>
      <c r="AO57" s="3">
        <v>376</v>
      </c>
      <c r="AP57" s="3" t="str">
        <f>IFERROR(MID(VLOOKUP($B57,Seqs!$A:$B,2,0),AQ57,1),"")</f>
        <v>C</v>
      </c>
      <c r="AQ57" s="3">
        <v>413</v>
      </c>
      <c r="AR57" s="3" t="str">
        <f>IFERROR(MID(VLOOKUP($B57,Seqs!$A:$B,2,0),AS57,1),"")</f>
        <v>P</v>
      </c>
      <c r="AS57" s="3">
        <v>418</v>
      </c>
      <c r="AT57" s="3" t="str">
        <f>IFERROR(MID(VLOOKUP($B57,Seqs!$A:$B,2,0),AU57,1),"")</f>
        <v>C</v>
      </c>
      <c r="AU57" s="3">
        <v>443</v>
      </c>
      <c r="AV57" s="3" t="str">
        <f>IFERROR(MID(VLOOKUP($B57,Seqs!$A:$B,2,0),AW57,1),"")</f>
        <v>N</v>
      </c>
      <c r="AW57" s="3">
        <v>444</v>
      </c>
      <c r="AX57" s="3" t="str">
        <f>IFERROR(MID(VLOOKUP($B57,Seqs!$A:$B,2,0),AY57,1),"")</f>
        <v>M</v>
      </c>
      <c r="AY57" s="3">
        <v>456</v>
      </c>
      <c r="AZ57" s="79" t="str">
        <f>VLOOKUP(B57,Classification!A:D,2,0)</f>
        <v>A</v>
      </c>
      <c r="BA57" s="96" t="str">
        <f>VLOOKUP(B57,Classification!A:D,4,0)</f>
        <v>Acetylcholine(muscarinic)</v>
      </c>
      <c r="BB57" s="27" t="b">
        <f t="shared" si="1"/>
        <v>1</v>
      </c>
      <c r="BC57" s="23">
        <f t="shared" si="252"/>
        <v>269</v>
      </c>
      <c r="BD57" s="57" t="s">
        <v>1379</v>
      </c>
      <c r="BE57" s="3" t="s">
        <v>23</v>
      </c>
      <c r="BF57" s="121" t="s">
        <v>23</v>
      </c>
      <c r="BG57" s="50" t="s">
        <v>1379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253"/>
        <v>19</v>
      </c>
      <c r="BW57" s="73">
        <f t="shared" si="254"/>
        <v>52</v>
      </c>
      <c r="BX57" s="74">
        <f t="shared" si="255"/>
        <v>56</v>
      </c>
      <c r="BY57" s="73">
        <f t="shared" si="256"/>
        <v>88</v>
      </c>
      <c r="BZ57" s="74">
        <f t="shared" si="257"/>
        <v>92</v>
      </c>
      <c r="CA57" s="73">
        <f t="shared" si="258"/>
        <v>128</v>
      </c>
      <c r="CB57" s="74">
        <f t="shared" si="259"/>
        <v>136</v>
      </c>
      <c r="CC57" s="73">
        <f t="shared" si="260"/>
        <v>176</v>
      </c>
      <c r="CD57" s="74">
        <f t="shared" si="261"/>
        <v>183</v>
      </c>
      <c r="CE57" s="73">
        <f t="shared" si="262"/>
        <v>376</v>
      </c>
      <c r="CF57" s="74">
        <f t="shared" si="263"/>
        <v>418</v>
      </c>
      <c r="CG57" s="73">
        <f t="shared" si="264"/>
        <v>444</v>
      </c>
      <c r="CH57" s="72">
        <f t="shared" si="265"/>
        <v>51</v>
      </c>
      <c r="CI57" s="73">
        <f t="shared" si="266"/>
        <v>55</v>
      </c>
      <c r="CJ57" s="74">
        <f t="shared" si="267"/>
        <v>86</v>
      </c>
      <c r="CK57" s="74">
        <f t="shared" si="268"/>
        <v>91</v>
      </c>
      <c r="CL57" s="74">
        <f t="shared" si="269"/>
        <v>127</v>
      </c>
      <c r="CM57" s="74">
        <f t="shared" si="270"/>
        <v>135</v>
      </c>
      <c r="CN57" s="74">
        <f t="shared" si="271"/>
        <v>167</v>
      </c>
      <c r="CO57" s="74">
        <f t="shared" si="272"/>
        <v>178</v>
      </c>
      <c r="CP57" s="74">
        <f t="shared" si="273"/>
        <v>223</v>
      </c>
      <c r="CQ57" s="74">
        <f t="shared" si="274"/>
        <v>413</v>
      </c>
      <c r="CR57" s="74">
        <f t="shared" si="275"/>
        <v>443</v>
      </c>
      <c r="CS57" s="74">
        <f t="shared" si="276"/>
        <v>456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ref="A58:A89" si="726">CONCATENATE(B58,"_",C58)</f>
        <v>acm2_human_3UON</v>
      </c>
      <c r="B58" s="3" t="s">
        <v>147</v>
      </c>
      <c r="C58" s="3" t="s">
        <v>79</v>
      </c>
      <c r="D58" s="3" t="str">
        <f>IFERROR(MID(VLOOKUP($B58,Seqs!$A:$B,2,0),E58,1),"")</f>
        <v>V</v>
      </c>
      <c r="E58" s="3">
        <v>23</v>
      </c>
      <c r="F58" s="3" t="str">
        <f>IFERROR(MID(VLOOKUP($B58,Seqs!$A:$B,2,0),G58,1),"")</f>
        <v>N</v>
      </c>
      <c r="G58" s="3">
        <v>51</v>
      </c>
      <c r="H58" s="3" t="str">
        <f>IFERROR(MID(VLOOKUP($B58,Seqs!$A:$B,2,0),I58,1),"")</f>
        <v>R</v>
      </c>
      <c r="I58" s="23">
        <v>52</v>
      </c>
      <c r="J58" s="3" t="str">
        <f>IFERROR(MID(VLOOKUP($B58,Seqs!$A:$B,2,0),K58,1),"")</f>
        <v>Q</v>
      </c>
      <c r="K58" s="23">
        <v>55</v>
      </c>
      <c r="L58" s="3" t="str">
        <f>IFERROR(MID(VLOOKUP($B58,Seqs!$A:$B,2,0),M58,1),"")</f>
        <v>T</v>
      </c>
      <c r="M58" s="3">
        <v>56</v>
      </c>
      <c r="N58" s="3" t="str">
        <f>IFERROR(MID(VLOOKUP($B58,Seqs!$A:$B,2,0),O58,1),"")</f>
        <v>I</v>
      </c>
      <c r="O58" s="3">
        <v>86</v>
      </c>
      <c r="P58" s="3" t="str">
        <f>IFERROR(MID(VLOOKUP($B58,Seqs!$A:$B,2,0),Q58,1),"")</f>
        <v>Y</v>
      </c>
      <c r="Q58" s="3">
        <v>88</v>
      </c>
      <c r="R58" s="3" t="str">
        <f>IFERROR(MID(VLOOKUP($B58,Seqs!$A:$B,2,0),S58,1),"")</f>
        <v>L</v>
      </c>
      <c r="S58" s="3">
        <v>91</v>
      </c>
      <c r="T58" s="3" t="str">
        <f>IFERROR(MID(VLOOKUP($B58,Seqs!$A:$B,2,0),U58,1),"")</f>
        <v>G</v>
      </c>
      <c r="U58" s="3">
        <v>92</v>
      </c>
      <c r="V58" s="3" t="str">
        <f>IFERROR(MID(VLOOKUP($B58,Seqs!$A:$B,2,0),W58,1),"")</f>
        <v>K</v>
      </c>
      <c r="W58" s="3">
        <v>127</v>
      </c>
      <c r="X58" s="3" t="str">
        <f>IFERROR(MID(VLOOKUP($B58,Seqs!$A:$B,2,0),Y58,1),"")</f>
        <v>P</v>
      </c>
      <c r="Y58" s="3">
        <v>128</v>
      </c>
      <c r="Z58" s="3" t="str">
        <f>IFERROR(MID(VLOOKUP($B58,Seqs!$A:$B,2,0),AA58,1),"")</f>
        <v>R</v>
      </c>
      <c r="AA58" s="3">
        <v>135</v>
      </c>
      <c r="AB58" s="3" t="str">
        <f>IFERROR(MID(VLOOKUP($B58,Seqs!$A:$B,2,0),AC58,1),"")</f>
        <v>T</v>
      </c>
      <c r="AC58" s="9">
        <v>136</v>
      </c>
      <c r="AD58" s="3" t="str">
        <f>IFERROR(MID(VLOOKUP($B58,Seqs!$A:$B,2,0),AE58,1),"")</f>
        <v>G</v>
      </c>
      <c r="AE58" s="3">
        <v>167</v>
      </c>
      <c r="AF58" s="3" t="str">
        <f>IFERROR(MID(VLOOKUP($B58,Seqs!$A:$B,2,0),AG58,1),"")</f>
        <v>C</v>
      </c>
      <c r="AG58" s="3">
        <v>176</v>
      </c>
      <c r="AH58" s="3" t="str">
        <f>IFERROR(MID(VLOOKUP($B58,Seqs!$A:$B,2,0),AI58,1),"")</f>
        <v>I</v>
      </c>
      <c r="AI58" s="3">
        <v>178</v>
      </c>
      <c r="AJ58" s="3" t="str">
        <f>IFERROR(MID(VLOOKUP($B58,Seqs!$A:$B,2,0),AK58,1),"")</f>
        <v>N</v>
      </c>
      <c r="AK58" s="3">
        <v>183</v>
      </c>
      <c r="AL58" s="3" t="str">
        <f>IFERROR(MID(VLOOKUP($B58,Seqs!$A:$B,2,0),AM58,1),"")</f>
        <v>S</v>
      </c>
      <c r="AM58" s="3">
        <v>213</v>
      </c>
      <c r="AN58" s="3" t="str">
        <f>IFERROR(MID(VLOOKUP($B58,Seqs!$A:$B,2,0),AO58,1),"")</f>
        <v>K</v>
      </c>
      <c r="AO58" s="3">
        <v>384</v>
      </c>
      <c r="AP58" s="3" t="str">
        <f>IFERROR(MID(VLOOKUP($B58,Seqs!$A:$B,2,0),AQ58,1),"")</f>
        <v>C</v>
      </c>
      <c r="AQ58" s="3">
        <v>413</v>
      </c>
      <c r="AR58" s="3" t="str">
        <f>IFERROR(MID(VLOOKUP($B58,Seqs!$A:$B,2,0),AS58,1),"")</f>
        <v>P</v>
      </c>
      <c r="AS58" s="3">
        <v>418</v>
      </c>
      <c r="AT58" s="3" t="str">
        <f>IFERROR(MID(VLOOKUP($B58,Seqs!$A:$B,2,0),AU58,1),"")</f>
        <v>C</v>
      </c>
      <c r="AU58" s="3">
        <v>443</v>
      </c>
      <c r="AV58" s="3" t="str">
        <f>IFERROR(MID(VLOOKUP($B58,Seqs!$A:$B,2,0),AW58,1),"")</f>
        <v>N</v>
      </c>
      <c r="AW58" s="3">
        <v>444</v>
      </c>
      <c r="AX58" s="3" t="str">
        <f>IFERROR(MID(VLOOKUP($B58,Seqs!$A:$B,2,0),AY58,1),"")</f>
        <v>M</v>
      </c>
      <c r="AY58" s="3">
        <v>456</v>
      </c>
      <c r="AZ58" s="79" t="str">
        <f>VLOOKUP(B58,Classification!A:D,2,0)</f>
        <v>A</v>
      </c>
      <c r="BA58" s="96" t="str">
        <f>VLOOKUP(B58,Classification!A:D,4,0)</f>
        <v>Acetylcholine(muscarinic)</v>
      </c>
      <c r="BB58" s="27" t="b">
        <f t="shared" ref="BB58:BB89" si="727">AND(E58&lt;G58,OR(G58&lt;I58,I58="-"),OR(I58&lt;K58,I58="-"),OR(K58&lt;M58,K58="-"),M58&lt;O58,OR(O58&lt;Q58,Q58="-"),OR(Q58&lt;S58,Q58="-"),OR(S58&lt;U58,S58="-"),U58&lt;W58,OR(W58&lt;Y58,Y58="-"),OR(Y58&lt;AA58,Y58="-"),OR(AA58&lt;AC58,AA58="-"),AC58&lt;AE58,OR(AE58&lt;AG58,AG58="-"),OR(AG58&lt;AI58,AG58="-"),OR(AI58&lt;AK58,AI58="-"),AK58&lt;AM58,AM58&lt;AO58,AO58&lt;AQ58,AQ58&lt;AS58,AS58&lt;AU58,OR(AU58&lt;AW58,AW58="-"),OR(AW58&lt;AY58,AW58="-"))</f>
        <v>1</v>
      </c>
      <c r="BC58" s="23">
        <f t="shared" si="252"/>
        <v>247</v>
      </c>
      <c r="BD58" s="16" t="s">
        <v>1383</v>
      </c>
      <c r="BE58" s="3" t="s">
        <v>1381</v>
      </c>
      <c r="BF58" s="121">
        <v>3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253"/>
        <v>23</v>
      </c>
      <c r="BW58" s="73">
        <f t="shared" si="254"/>
        <v>52</v>
      </c>
      <c r="BX58" s="74">
        <f t="shared" si="255"/>
        <v>56</v>
      </c>
      <c r="BY58" s="73">
        <f t="shared" si="256"/>
        <v>88</v>
      </c>
      <c r="BZ58" s="74">
        <f t="shared" si="257"/>
        <v>92</v>
      </c>
      <c r="CA58" s="73">
        <f t="shared" si="258"/>
        <v>128</v>
      </c>
      <c r="CB58" s="74">
        <f t="shared" si="259"/>
        <v>136</v>
      </c>
      <c r="CC58" s="73">
        <f t="shared" si="260"/>
        <v>176</v>
      </c>
      <c r="CD58" s="74">
        <f t="shared" si="261"/>
        <v>183</v>
      </c>
      <c r="CE58" s="73">
        <f t="shared" si="262"/>
        <v>384</v>
      </c>
      <c r="CF58" s="74">
        <f t="shared" si="263"/>
        <v>418</v>
      </c>
      <c r="CG58" s="73">
        <f t="shared" si="264"/>
        <v>444</v>
      </c>
      <c r="CH58" s="72">
        <f t="shared" si="265"/>
        <v>51</v>
      </c>
      <c r="CI58" s="73">
        <f t="shared" si="266"/>
        <v>55</v>
      </c>
      <c r="CJ58" s="74">
        <f t="shared" si="267"/>
        <v>86</v>
      </c>
      <c r="CK58" s="74">
        <f t="shared" si="268"/>
        <v>91</v>
      </c>
      <c r="CL58" s="74">
        <f t="shared" si="269"/>
        <v>127</v>
      </c>
      <c r="CM58" s="74">
        <f t="shared" si="270"/>
        <v>135</v>
      </c>
      <c r="CN58" s="74">
        <f t="shared" si="271"/>
        <v>167</v>
      </c>
      <c r="CO58" s="74">
        <f t="shared" si="272"/>
        <v>178</v>
      </c>
      <c r="CP58" s="74">
        <f t="shared" si="273"/>
        <v>213</v>
      </c>
      <c r="CQ58" s="74">
        <f t="shared" si="274"/>
        <v>413</v>
      </c>
      <c r="CR58" s="74">
        <f t="shared" si="275"/>
        <v>443</v>
      </c>
      <c r="CS58" s="74">
        <f t="shared" si="276"/>
        <v>456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726"/>
        <v>acm2_human_4MQS</v>
      </c>
      <c r="B59" s="3" t="s">
        <v>147</v>
      </c>
      <c r="C59" s="3" t="s">
        <v>68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K</v>
      </c>
      <c r="AM59" s="3">
        <v>214</v>
      </c>
      <c r="AN59" s="3" t="str">
        <f>IFERROR(MID(VLOOKUP($B59,Seqs!$A:$B,2,0),AO59,1),"")</f>
        <v>S</v>
      </c>
      <c r="AO59" s="3">
        <v>380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9" t="str">
        <f>VLOOKUP(B59,Classification!A:D,2,0)</f>
        <v>A</v>
      </c>
      <c r="BA59" s="96" t="str">
        <f>VLOOKUP(B59,Classification!A:D,4,0)</f>
        <v>Acetylcholine(muscarinic)</v>
      </c>
      <c r="BB59" s="27" t="b">
        <f t="shared" si="727"/>
        <v>1</v>
      </c>
      <c r="BC59" s="23">
        <f t="shared" si="252"/>
        <v>256</v>
      </c>
      <c r="BD59" s="4" t="s">
        <v>23</v>
      </c>
      <c r="BE59" s="3" t="s">
        <v>1297</v>
      </c>
      <c r="BF59" s="121">
        <v>3.5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253"/>
        <v>19</v>
      </c>
      <c r="BW59" s="73">
        <f t="shared" si="254"/>
        <v>52</v>
      </c>
      <c r="BX59" s="74">
        <f t="shared" si="255"/>
        <v>56</v>
      </c>
      <c r="BY59" s="73">
        <f t="shared" si="256"/>
        <v>88</v>
      </c>
      <c r="BZ59" s="74">
        <f t="shared" si="257"/>
        <v>92</v>
      </c>
      <c r="CA59" s="73">
        <f t="shared" si="258"/>
        <v>128</v>
      </c>
      <c r="CB59" s="74">
        <f t="shared" si="259"/>
        <v>136</v>
      </c>
      <c r="CC59" s="73">
        <f t="shared" si="260"/>
        <v>176</v>
      </c>
      <c r="CD59" s="74">
        <f t="shared" si="261"/>
        <v>183</v>
      </c>
      <c r="CE59" s="73">
        <f t="shared" si="262"/>
        <v>380</v>
      </c>
      <c r="CF59" s="74">
        <f t="shared" si="263"/>
        <v>418</v>
      </c>
      <c r="CG59" s="73">
        <f t="shared" si="264"/>
        <v>444</v>
      </c>
      <c r="CH59" s="72">
        <f t="shared" si="265"/>
        <v>51</v>
      </c>
      <c r="CI59" s="73">
        <f t="shared" si="266"/>
        <v>55</v>
      </c>
      <c r="CJ59" s="74">
        <f t="shared" si="267"/>
        <v>86</v>
      </c>
      <c r="CK59" s="74">
        <f t="shared" si="268"/>
        <v>91</v>
      </c>
      <c r="CL59" s="74">
        <f t="shared" si="269"/>
        <v>127</v>
      </c>
      <c r="CM59" s="74">
        <f t="shared" si="270"/>
        <v>135</v>
      </c>
      <c r="CN59" s="74">
        <f t="shared" si="271"/>
        <v>167</v>
      </c>
      <c r="CO59" s="74">
        <f t="shared" si="272"/>
        <v>178</v>
      </c>
      <c r="CP59" s="74">
        <f t="shared" si="273"/>
        <v>214</v>
      </c>
      <c r="CQ59" s="74">
        <f t="shared" si="274"/>
        <v>413</v>
      </c>
      <c r="CR59" s="74">
        <f t="shared" si="275"/>
        <v>443</v>
      </c>
      <c r="CS59" s="74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726"/>
        <v>acm2_human_4MQT</v>
      </c>
      <c r="B60" s="3" t="s">
        <v>147</v>
      </c>
      <c r="C60" s="3" t="s">
        <v>1047</v>
      </c>
      <c r="D60" s="3" t="str">
        <f>IFERROR(MID(VLOOKUP($B60,Seqs!$A:$B,2,0),E60,1),"")</f>
        <v>K</v>
      </c>
      <c r="E60" s="3">
        <v>19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215</v>
      </c>
      <c r="AN60" s="3" t="str">
        <f>IFERROR(MID(VLOOKUP($B60,Seqs!$A:$B,2,0),AO60,1),"")</f>
        <v>P</v>
      </c>
      <c r="AO60" s="3">
        <v>379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C</v>
      </c>
      <c r="AY60" s="3">
        <v>457</v>
      </c>
      <c r="AZ60" s="79" t="str">
        <f>VLOOKUP(B60,Classification!A:D,2,0)</f>
        <v>A</v>
      </c>
      <c r="BA60" s="96" t="str">
        <f>VLOOKUP(B60,Classification!A:D,4,0)</f>
        <v>Acetylcholine(muscarinic)</v>
      </c>
      <c r="BB60" s="27" t="b">
        <f t="shared" si="727"/>
        <v>1</v>
      </c>
      <c r="BC60" s="23">
        <f t="shared" si="252"/>
        <v>259</v>
      </c>
      <c r="BD60" s="4" t="s">
        <v>1382</v>
      </c>
      <c r="BE60" s="3" t="s">
        <v>1297</v>
      </c>
      <c r="BF60" s="121">
        <v>3.7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253"/>
        <v>19</v>
      </c>
      <c r="BW60" s="73">
        <f t="shared" si="254"/>
        <v>52</v>
      </c>
      <c r="BX60" s="74">
        <f t="shared" si="255"/>
        <v>56</v>
      </c>
      <c r="BY60" s="73">
        <f t="shared" si="256"/>
        <v>88</v>
      </c>
      <c r="BZ60" s="74">
        <f t="shared" si="257"/>
        <v>92</v>
      </c>
      <c r="CA60" s="73">
        <f t="shared" si="258"/>
        <v>128</v>
      </c>
      <c r="CB60" s="74">
        <f t="shared" si="259"/>
        <v>136</v>
      </c>
      <c r="CC60" s="73">
        <f t="shared" si="260"/>
        <v>176</v>
      </c>
      <c r="CD60" s="74">
        <f t="shared" si="261"/>
        <v>183</v>
      </c>
      <c r="CE60" s="73">
        <f t="shared" si="262"/>
        <v>379</v>
      </c>
      <c r="CF60" s="74">
        <f t="shared" si="263"/>
        <v>418</v>
      </c>
      <c r="CG60" s="73">
        <f t="shared" si="264"/>
        <v>444</v>
      </c>
      <c r="CH60" s="72">
        <f t="shared" si="265"/>
        <v>51</v>
      </c>
      <c r="CI60" s="73">
        <f t="shared" si="266"/>
        <v>55</v>
      </c>
      <c r="CJ60" s="74">
        <f t="shared" si="267"/>
        <v>86</v>
      </c>
      <c r="CK60" s="74">
        <f t="shared" si="268"/>
        <v>91</v>
      </c>
      <c r="CL60" s="74">
        <f t="shared" si="269"/>
        <v>127</v>
      </c>
      <c r="CM60" s="74">
        <f t="shared" si="270"/>
        <v>135</v>
      </c>
      <c r="CN60" s="74">
        <f t="shared" si="271"/>
        <v>167</v>
      </c>
      <c r="CO60" s="74">
        <f t="shared" si="272"/>
        <v>178</v>
      </c>
      <c r="CP60" s="74">
        <f t="shared" si="273"/>
        <v>215</v>
      </c>
      <c r="CQ60" s="74">
        <f t="shared" si="274"/>
        <v>413</v>
      </c>
      <c r="CR60" s="74">
        <f t="shared" si="275"/>
        <v>443</v>
      </c>
      <c r="CS60" s="74">
        <f t="shared" si="276"/>
        <v>457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26"/>
        <v>acm3_rat__wt</v>
      </c>
      <c r="B61" s="3" t="s">
        <v>910</v>
      </c>
      <c r="C61" s="3" t="s">
        <v>100</v>
      </c>
      <c r="D61" s="3" t="str">
        <f>IFERROR(MID(VLOOKUP($B61,Seqs!$A:$B,2,0),E61,1),"")</f>
        <v>I</v>
      </c>
      <c r="E61" s="3">
        <v>64</v>
      </c>
      <c r="F61" s="3" t="str">
        <f>IFERROR(MID(VLOOKUP($B61,Seqs!$A:$B,2,0),G61,1),"")</f>
        <v>N</v>
      </c>
      <c r="G61" s="3">
        <v>95</v>
      </c>
      <c r="H61" s="3" t="str">
        <f>IFERROR(MID(VLOOKUP($B61,Seqs!$A:$B,2,0),I61,1),"")</f>
        <v>K</v>
      </c>
      <c r="I61" s="23">
        <v>96</v>
      </c>
      <c r="J61" s="3" t="str">
        <f>IFERROR(MID(VLOOKUP($B61,Seqs!$A:$B,2,0),K61,1),"")</f>
        <v>K</v>
      </c>
      <c r="K61" s="23">
        <v>99</v>
      </c>
      <c r="L61" s="3" t="str">
        <f>IFERROR(MID(VLOOKUP($B61,Seqs!$A:$B,2,0),M61,1),"")</f>
        <v>T</v>
      </c>
      <c r="M61" s="3">
        <v>100</v>
      </c>
      <c r="N61" s="3" t="str">
        <f>IFERROR(MID(VLOOKUP($B61,Seqs!$A:$B,2,0),O61,1),"")</f>
        <v>M</v>
      </c>
      <c r="O61" s="3">
        <v>130</v>
      </c>
      <c r="P61" s="3" t="str">
        <f>IFERROR(MID(VLOOKUP($B61,Seqs!$A:$B,2,0),Q61,1),"")</f>
        <v>R</v>
      </c>
      <c r="Q61" s="3">
        <v>132</v>
      </c>
      <c r="R61" s="3" t="str">
        <f>IFERROR(MID(VLOOKUP($B61,Seqs!$A:$B,2,0),S61,1),"")</f>
        <v>L</v>
      </c>
      <c r="S61" s="3">
        <v>135</v>
      </c>
      <c r="T61" s="3" t="str">
        <f>IFERROR(MID(VLOOKUP($B61,Seqs!$A:$B,2,0),U61,1),"")</f>
        <v>G</v>
      </c>
      <c r="U61" s="3">
        <v>136</v>
      </c>
      <c r="V61" s="3" t="str">
        <f>IFERROR(MID(VLOOKUP($B61,Seqs!$A:$B,2,0),W61,1),"")</f>
        <v>R</v>
      </c>
      <c r="W61" s="3">
        <v>171</v>
      </c>
      <c r="X61" s="3" t="str">
        <f>IFERROR(MID(VLOOKUP($B61,Seqs!$A:$B,2,0),Y61,1),"")</f>
        <v>P</v>
      </c>
      <c r="Y61" s="3">
        <v>172</v>
      </c>
      <c r="Z61" s="3" t="str">
        <f>IFERROR(MID(VLOOKUP($B61,Seqs!$A:$B,2,0),AA61,1),"")</f>
        <v>R</v>
      </c>
      <c r="AA61" s="3">
        <v>179</v>
      </c>
      <c r="AB61" s="3" t="str">
        <f>IFERROR(MID(VLOOKUP($B61,Seqs!$A:$B,2,0),AC61,1),"")</f>
        <v>T</v>
      </c>
      <c r="AC61" s="9">
        <v>180</v>
      </c>
      <c r="AD61" s="3" t="str">
        <f>IFERROR(MID(VLOOKUP($B61,Seqs!$A:$B,2,0),AE61,1),"")</f>
        <v>G</v>
      </c>
      <c r="AE61" s="3">
        <v>211</v>
      </c>
      <c r="AF61" s="3" t="str">
        <f>IFERROR(MID(VLOOKUP($B61,Seqs!$A:$B,2,0),AG61,1),"")</f>
        <v>C</v>
      </c>
      <c r="AG61" s="3">
        <v>220</v>
      </c>
      <c r="AH61" s="3" t="str">
        <f>IFERROR(MID(VLOOKUP($B61,Seqs!$A:$B,2,0),AI61,1),"")</f>
        <v>I</v>
      </c>
      <c r="AI61" s="3">
        <v>222</v>
      </c>
      <c r="AJ61" s="3" t="str">
        <f>IFERROR(MID(VLOOKUP($B61,Seqs!$A:$B,2,0),AK61,1),"")</f>
        <v>E</v>
      </c>
      <c r="AK61" s="3">
        <v>227</v>
      </c>
      <c r="AL61" s="3" t="str">
        <f>IFERROR(MID(VLOOKUP($B61,Seqs!$A:$B,2,0),AM61,1),"")</f>
        <v>L</v>
      </c>
      <c r="AM61" s="3">
        <v>267</v>
      </c>
      <c r="AN61" s="3" t="str">
        <f>IFERROR(MID(VLOOKUP($B61,Seqs!$A:$B,2,0),AO61,1),"")</f>
        <v>R</v>
      </c>
      <c r="AO61" s="3">
        <v>479</v>
      </c>
      <c r="AP61" s="3" t="str">
        <f>IFERROR(MID(VLOOKUP($B61,Seqs!$A:$B,2,0),AQ61,1),"")</f>
        <v>C</v>
      </c>
      <c r="AQ61" s="3">
        <v>516</v>
      </c>
      <c r="AR61" s="3" t="str">
        <f>IFERROR(MID(VLOOKUP($B61,Seqs!$A:$B,2,0),AS61,1),"")</f>
        <v>P</v>
      </c>
      <c r="AS61" s="3">
        <v>521</v>
      </c>
      <c r="AT61" s="3" t="str">
        <f>IFERROR(MID(VLOOKUP($B61,Seqs!$A:$B,2,0),AU61,1),"")</f>
        <v>C</v>
      </c>
      <c r="AU61" s="3">
        <v>546</v>
      </c>
      <c r="AV61" s="3" t="str">
        <f>IFERROR(MID(VLOOKUP($B61,Seqs!$A:$B,2,0),AW61,1),"")</f>
        <v>N</v>
      </c>
      <c r="AW61" s="3">
        <v>547</v>
      </c>
      <c r="AX61" s="3" t="str">
        <f>IFERROR(MID(VLOOKUP($B61,Seqs!$A:$B,2,0),AY61,1),"")</f>
        <v>L</v>
      </c>
      <c r="AY61" s="3">
        <v>558</v>
      </c>
      <c r="AZ61" s="79" t="str">
        <f>VLOOKUP(B61,Classification!A:D,2,0)</f>
        <v>A</v>
      </c>
      <c r="BA61" s="96" t="str">
        <f>VLOOKUP(B61,Classification!A:D,4,0)</f>
        <v>Acetylcholine(muscarinic)</v>
      </c>
      <c r="BB61" s="27" t="b">
        <f t="shared" si="727"/>
        <v>1</v>
      </c>
      <c r="BC61" s="23">
        <f t="shared" si="252"/>
        <v>267</v>
      </c>
      <c r="BD61" s="57" t="s">
        <v>1379</v>
      </c>
      <c r="BE61" s="3" t="s">
        <v>23</v>
      </c>
      <c r="BF61" s="121" t="s">
        <v>23</v>
      </c>
      <c r="BG61" s="50" t="s">
        <v>1379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253"/>
        <v>64</v>
      </c>
      <c r="BW61" s="73">
        <f t="shared" si="254"/>
        <v>96</v>
      </c>
      <c r="BX61" s="74">
        <f t="shared" si="255"/>
        <v>100</v>
      </c>
      <c r="BY61" s="73">
        <f t="shared" si="256"/>
        <v>132</v>
      </c>
      <c r="BZ61" s="74">
        <f t="shared" si="257"/>
        <v>136</v>
      </c>
      <c r="CA61" s="73">
        <f t="shared" si="258"/>
        <v>172</v>
      </c>
      <c r="CB61" s="74">
        <f t="shared" si="259"/>
        <v>180</v>
      </c>
      <c r="CC61" s="73">
        <f t="shared" si="260"/>
        <v>220</v>
      </c>
      <c r="CD61" s="74">
        <f t="shared" si="261"/>
        <v>227</v>
      </c>
      <c r="CE61" s="73">
        <f t="shared" si="262"/>
        <v>479</v>
      </c>
      <c r="CF61" s="74">
        <f t="shared" si="263"/>
        <v>521</v>
      </c>
      <c r="CG61" s="73">
        <f t="shared" si="264"/>
        <v>547</v>
      </c>
      <c r="CH61" s="72">
        <f t="shared" si="265"/>
        <v>95</v>
      </c>
      <c r="CI61" s="73">
        <f t="shared" si="266"/>
        <v>99</v>
      </c>
      <c r="CJ61" s="74">
        <f t="shared" si="267"/>
        <v>130</v>
      </c>
      <c r="CK61" s="74">
        <f t="shared" si="268"/>
        <v>135</v>
      </c>
      <c r="CL61" s="74">
        <f t="shared" si="269"/>
        <v>171</v>
      </c>
      <c r="CM61" s="74">
        <f t="shared" si="270"/>
        <v>179</v>
      </c>
      <c r="CN61" s="74">
        <f t="shared" si="271"/>
        <v>211</v>
      </c>
      <c r="CO61" s="74">
        <f t="shared" si="272"/>
        <v>222</v>
      </c>
      <c r="CP61" s="74">
        <f t="shared" si="273"/>
        <v>267</v>
      </c>
      <c r="CQ61" s="74">
        <f t="shared" si="274"/>
        <v>516</v>
      </c>
      <c r="CR61" s="74">
        <f t="shared" si="275"/>
        <v>546</v>
      </c>
      <c r="CS61" s="74">
        <f t="shared" si="276"/>
        <v>558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26"/>
        <v>acm3_rat_4U15</v>
      </c>
      <c r="B62" s="3" t="s">
        <v>910</v>
      </c>
      <c r="C62" s="3" t="s">
        <v>71</v>
      </c>
      <c r="D62" s="3" t="str">
        <f>IFERROR(MID(VLOOKUP($B62,Seqs!$A:$B,2,0),E62,1),"")</f>
        <v>I</v>
      </c>
      <c r="E62" s="3">
        <v>64</v>
      </c>
      <c r="F62" s="3" t="str">
        <f>IFERROR(MID(VLOOKUP($B62,Seqs!$A:$B,2,0),G62,1),"")</f>
        <v>N</v>
      </c>
      <c r="G62" s="3">
        <v>95</v>
      </c>
      <c r="H62" s="3" t="str">
        <f>IFERROR(MID(VLOOKUP($B62,Seqs!$A:$B,2,0),I62,1),"")</f>
        <v>K</v>
      </c>
      <c r="I62" s="23">
        <v>96</v>
      </c>
      <c r="J62" s="3" t="str">
        <f>IFERROR(MID(VLOOKUP($B62,Seqs!$A:$B,2,0),K62,1),"")</f>
        <v>K</v>
      </c>
      <c r="K62" s="23">
        <v>99</v>
      </c>
      <c r="L62" s="3" t="str">
        <f>IFERROR(MID(VLOOKUP($B62,Seqs!$A:$B,2,0),M62,1),"")</f>
        <v>T</v>
      </c>
      <c r="M62" s="3">
        <v>100</v>
      </c>
      <c r="N62" s="3" t="str">
        <f>IFERROR(MID(VLOOKUP($B62,Seqs!$A:$B,2,0),O62,1),"")</f>
        <v>M</v>
      </c>
      <c r="O62" s="3">
        <v>130</v>
      </c>
      <c r="P62" s="3" t="str">
        <f>IFERROR(MID(VLOOKUP($B62,Seqs!$A:$B,2,0),Q62,1),"")</f>
        <v>R</v>
      </c>
      <c r="Q62" s="3">
        <v>132</v>
      </c>
      <c r="R62" s="3" t="str">
        <f>IFERROR(MID(VLOOKUP($B62,Seqs!$A:$B,2,0),S62,1),"")</f>
        <v>L</v>
      </c>
      <c r="S62" s="3">
        <v>135</v>
      </c>
      <c r="T62" s="3" t="str">
        <f>IFERROR(MID(VLOOKUP($B62,Seqs!$A:$B,2,0),U62,1),"")</f>
        <v>G</v>
      </c>
      <c r="U62" s="3">
        <v>136</v>
      </c>
      <c r="V62" s="3" t="str">
        <f>IFERROR(MID(VLOOKUP($B62,Seqs!$A:$B,2,0),W62,1),"")</f>
        <v>R</v>
      </c>
      <c r="W62" s="3">
        <v>171</v>
      </c>
      <c r="X62" s="3" t="str">
        <f>IFERROR(MID(VLOOKUP($B62,Seqs!$A:$B,2,0),Y62,1),"")</f>
        <v>P</v>
      </c>
      <c r="Y62" s="3">
        <v>172</v>
      </c>
      <c r="Z62" s="3" t="str">
        <f>IFERROR(MID(VLOOKUP($B62,Seqs!$A:$B,2,0),AA62,1),"")</f>
        <v>R</v>
      </c>
      <c r="AA62" s="3">
        <v>179</v>
      </c>
      <c r="AB62" s="3" t="str">
        <f>IFERROR(MID(VLOOKUP($B62,Seqs!$A:$B,2,0),AC62,1),"")</f>
        <v>T</v>
      </c>
      <c r="AC62" s="9">
        <v>180</v>
      </c>
      <c r="AD62" s="3" t="str">
        <f>IFERROR(MID(VLOOKUP($B62,Seqs!$A:$B,2,0),AE62,1),"")</f>
        <v>G</v>
      </c>
      <c r="AE62" s="3">
        <v>211</v>
      </c>
      <c r="AF62" s="3" t="str">
        <f>IFERROR(MID(VLOOKUP($B62,Seqs!$A:$B,2,0),AG62,1),"")</f>
        <v>C</v>
      </c>
      <c r="AG62" s="3">
        <v>220</v>
      </c>
      <c r="AH62" s="3" t="str">
        <f>IFERROR(MID(VLOOKUP($B62,Seqs!$A:$B,2,0),AI62,1),"")</f>
        <v>I</v>
      </c>
      <c r="AI62" s="3">
        <v>222</v>
      </c>
      <c r="AJ62" s="3" t="str">
        <f>IFERROR(MID(VLOOKUP($B62,Seqs!$A:$B,2,0),AK62,1),"")</f>
        <v>E</v>
      </c>
      <c r="AK62" s="3">
        <v>227</v>
      </c>
      <c r="AL62" s="3" t="str">
        <f>IFERROR(MID(VLOOKUP($B62,Seqs!$A:$B,2,0),AM62,1),"")</f>
        <v>K</v>
      </c>
      <c r="AM62" s="3">
        <v>259</v>
      </c>
      <c r="AN62" s="3" t="str">
        <f>IFERROR(MID(VLOOKUP($B62,Seqs!$A:$B,2,0),AO62,1),"")</f>
        <v>I</v>
      </c>
      <c r="AO62" s="3">
        <v>483</v>
      </c>
      <c r="AP62" s="3" t="str">
        <f>IFERROR(MID(VLOOKUP($B62,Seqs!$A:$B,2,0),AQ62,1),"")</f>
        <v>C</v>
      </c>
      <c r="AQ62" s="3">
        <v>516</v>
      </c>
      <c r="AR62" s="3" t="str">
        <f>IFERROR(MID(VLOOKUP($B62,Seqs!$A:$B,2,0),AS62,1),"")</f>
        <v>P</v>
      </c>
      <c r="AS62" s="3">
        <v>521</v>
      </c>
      <c r="AT62" s="3" t="str">
        <f>IFERROR(MID(VLOOKUP($B62,Seqs!$A:$B,2,0),AU62,1),"")</f>
        <v>C</v>
      </c>
      <c r="AU62" s="3">
        <v>546</v>
      </c>
      <c r="AV62" s="3" t="str">
        <f>IFERROR(MID(VLOOKUP($B62,Seqs!$A:$B,2,0),AW62,1),"")</f>
        <v>N</v>
      </c>
      <c r="AW62" s="3">
        <v>547</v>
      </c>
      <c r="AX62" s="3" t="str">
        <f>IFERROR(MID(VLOOKUP($B62,Seqs!$A:$B,2,0),AY62,1),"")</f>
        <v>L</v>
      </c>
      <c r="AY62" s="3">
        <v>558</v>
      </c>
      <c r="AZ62" s="79" t="str">
        <f>VLOOKUP(B62,Classification!A:D,2,0)</f>
        <v>A</v>
      </c>
      <c r="BA62" s="96" t="str">
        <f>VLOOKUP(B62,Classification!A:D,4,0)</f>
        <v>Acetylcholine(muscarinic)</v>
      </c>
      <c r="BB62" s="27" t="b">
        <f t="shared" si="727"/>
        <v>1</v>
      </c>
      <c r="BC62" s="23">
        <f t="shared" si="252"/>
        <v>255</v>
      </c>
      <c r="BD62" s="16" t="s">
        <v>1383</v>
      </c>
      <c r="BE62" s="3" t="s">
        <v>1381</v>
      </c>
      <c r="BF62" s="121">
        <v>2.8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253"/>
        <v>64</v>
      </c>
      <c r="BW62" s="73">
        <f t="shared" si="254"/>
        <v>96</v>
      </c>
      <c r="BX62" s="74">
        <f t="shared" si="255"/>
        <v>100</v>
      </c>
      <c r="BY62" s="73">
        <f t="shared" si="256"/>
        <v>132</v>
      </c>
      <c r="BZ62" s="74">
        <f t="shared" si="257"/>
        <v>136</v>
      </c>
      <c r="CA62" s="73">
        <f t="shared" si="258"/>
        <v>172</v>
      </c>
      <c r="CB62" s="74">
        <f t="shared" si="259"/>
        <v>180</v>
      </c>
      <c r="CC62" s="73">
        <f t="shared" si="260"/>
        <v>220</v>
      </c>
      <c r="CD62" s="74">
        <f t="shared" si="261"/>
        <v>227</v>
      </c>
      <c r="CE62" s="73">
        <f t="shared" si="262"/>
        <v>483</v>
      </c>
      <c r="CF62" s="74">
        <f t="shared" si="263"/>
        <v>521</v>
      </c>
      <c r="CG62" s="73">
        <f t="shared" si="264"/>
        <v>547</v>
      </c>
      <c r="CH62" s="72">
        <f t="shared" si="265"/>
        <v>95</v>
      </c>
      <c r="CI62" s="73">
        <f t="shared" si="266"/>
        <v>99</v>
      </c>
      <c r="CJ62" s="74">
        <f t="shared" si="267"/>
        <v>130</v>
      </c>
      <c r="CK62" s="74">
        <f t="shared" si="268"/>
        <v>135</v>
      </c>
      <c r="CL62" s="74">
        <f t="shared" si="269"/>
        <v>171</v>
      </c>
      <c r="CM62" s="74">
        <f t="shared" si="270"/>
        <v>179</v>
      </c>
      <c r="CN62" s="74">
        <f t="shared" si="271"/>
        <v>211</v>
      </c>
      <c r="CO62" s="74">
        <f t="shared" si="272"/>
        <v>222</v>
      </c>
      <c r="CP62" s="74">
        <f t="shared" si="273"/>
        <v>259</v>
      </c>
      <c r="CQ62" s="74">
        <f t="shared" si="274"/>
        <v>516</v>
      </c>
      <c r="CR62" s="74">
        <f t="shared" si="275"/>
        <v>546</v>
      </c>
      <c r="CS62" s="74">
        <f t="shared" si="276"/>
        <v>558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26"/>
        <v>acm3_rat_4U16</v>
      </c>
      <c r="B63" s="3" t="s">
        <v>910</v>
      </c>
      <c r="C63" s="3" t="s">
        <v>1054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K</v>
      </c>
      <c r="AM63" s="3">
        <v>259</v>
      </c>
      <c r="AN63" s="3" t="str">
        <f>IFERROR(MID(VLOOKUP($B63,Seqs!$A:$B,2,0),AO63,1),"")</f>
        <v>I</v>
      </c>
      <c r="AO63" s="3">
        <v>483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/>
      </c>
      <c r="AW63" s="3" t="s">
        <v>23</v>
      </c>
      <c r="AX63" s="3" t="str">
        <f>IFERROR(MID(VLOOKUP($B63,Seqs!$A:$B,2,0),AY63,1),"")</f>
        <v/>
      </c>
      <c r="AY63" s="3" t="s">
        <v>23</v>
      </c>
      <c r="AZ63" s="79" t="str">
        <f>VLOOKUP(B63,Classification!A:D,2,0)</f>
        <v>A</v>
      </c>
      <c r="BA63" s="96" t="str">
        <f>VLOOKUP(B63,Classification!A:D,4,0)</f>
        <v>Acetylcholine(muscarinic)</v>
      </c>
      <c r="BB63" s="27" t="b">
        <f t="shared" si="727"/>
        <v>1</v>
      </c>
      <c r="BC63" s="23">
        <f t="shared" si="252"/>
        <v>244</v>
      </c>
      <c r="BD63" s="4" t="s">
        <v>23</v>
      </c>
      <c r="BE63" s="3" t="s">
        <v>1381</v>
      </c>
      <c r="BF63" s="121">
        <v>3.7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253"/>
        <v>64</v>
      </c>
      <c r="BW63" s="73">
        <f t="shared" si="254"/>
        <v>96</v>
      </c>
      <c r="BX63" s="74">
        <f t="shared" si="255"/>
        <v>100</v>
      </c>
      <c r="BY63" s="73">
        <f t="shared" si="256"/>
        <v>132</v>
      </c>
      <c r="BZ63" s="74">
        <f t="shared" si="257"/>
        <v>136</v>
      </c>
      <c r="CA63" s="73">
        <f t="shared" si="258"/>
        <v>172</v>
      </c>
      <c r="CB63" s="74">
        <f t="shared" si="259"/>
        <v>180</v>
      </c>
      <c r="CC63" s="73">
        <f t="shared" si="260"/>
        <v>220</v>
      </c>
      <c r="CD63" s="74">
        <f t="shared" si="261"/>
        <v>227</v>
      </c>
      <c r="CE63" s="73">
        <f t="shared" si="262"/>
        <v>483</v>
      </c>
      <c r="CF63" s="74">
        <f t="shared" si="263"/>
        <v>521</v>
      </c>
      <c r="CG63" s="73" t="str">
        <f t="shared" si="264"/>
        <v>-</v>
      </c>
      <c r="CH63" s="72">
        <f t="shared" si="265"/>
        <v>95</v>
      </c>
      <c r="CI63" s="73">
        <f t="shared" si="266"/>
        <v>99</v>
      </c>
      <c r="CJ63" s="74">
        <f t="shared" si="267"/>
        <v>130</v>
      </c>
      <c r="CK63" s="74">
        <f t="shared" si="268"/>
        <v>135</v>
      </c>
      <c r="CL63" s="74">
        <f t="shared" si="269"/>
        <v>171</v>
      </c>
      <c r="CM63" s="74">
        <f t="shared" si="270"/>
        <v>179</v>
      </c>
      <c r="CN63" s="74">
        <f t="shared" si="271"/>
        <v>211</v>
      </c>
      <c r="CO63" s="74">
        <f t="shared" si="272"/>
        <v>222</v>
      </c>
      <c r="CP63" s="74">
        <f t="shared" si="273"/>
        <v>259</v>
      </c>
      <c r="CQ63" s="74">
        <f t="shared" si="274"/>
        <v>516</v>
      </c>
      <c r="CR63" s="74">
        <f t="shared" si="275"/>
        <v>546</v>
      </c>
      <c r="CS63" s="74" t="str">
        <f t="shared" si="276"/>
        <v>-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26"/>
        <v>acm4_human__wt</v>
      </c>
      <c r="B64" s="3" t="s">
        <v>149</v>
      </c>
      <c r="C64" s="3" t="s">
        <v>100</v>
      </c>
      <c r="D64" s="3" t="str">
        <f>IFERROR(MID(VLOOKUP($B64,Seqs!$A:$B,2,0),E64,1),"")</f>
        <v>R</v>
      </c>
      <c r="E64" s="3">
        <v>26</v>
      </c>
      <c r="F64" s="3" t="str">
        <f>IFERROR(MID(VLOOKUP($B64,Seqs!$A:$B,2,0),G64,1),"")</f>
        <v>N</v>
      </c>
      <c r="G64" s="3">
        <v>60</v>
      </c>
      <c r="H64" s="3" t="str">
        <f>IFERROR(MID(VLOOKUP($B64,Seqs!$A:$B,2,0),I64,1),"")</f>
        <v>R</v>
      </c>
      <c r="I64" s="23">
        <v>61</v>
      </c>
      <c r="J64" s="3" t="str">
        <f>IFERROR(MID(VLOOKUP($B64,Seqs!$A:$B,2,0),K64,1),"")</f>
        <v>Q</v>
      </c>
      <c r="K64" s="23">
        <v>64</v>
      </c>
      <c r="L64" s="3" t="str">
        <f>IFERROR(MID(VLOOKUP($B64,Seqs!$A:$B,2,0),M64,1),"")</f>
        <v>T</v>
      </c>
      <c r="M64" s="3">
        <v>65</v>
      </c>
      <c r="N64" s="3" t="str">
        <f>IFERROR(MID(VLOOKUP($B64,Seqs!$A:$B,2,0),O64,1),"")</f>
        <v>K</v>
      </c>
      <c r="O64" s="3">
        <v>95</v>
      </c>
      <c r="P64" s="3" t="str">
        <f>IFERROR(MID(VLOOKUP($B64,Seqs!$A:$B,2,0),Q64,1),"")</f>
        <v>Y</v>
      </c>
      <c r="Q64" s="3">
        <v>97</v>
      </c>
      <c r="R64" s="3" t="str">
        <f>IFERROR(MID(VLOOKUP($B64,Seqs!$A:$B,2,0),S64,1),"")</f>
        <v>L</v>
      </c>
      <c r="S64" s="3">
        <v>100</v>
      </c>
      <c r="T64" s="3" t="str">
        <f>IFERROR(MID(VLOOKUP($B64,Seqs!$A:$B,2,0),U64,1),"")</f>
        <v>G</v>
      </c>
      <c r="U64" s="3">
        <v>101</v>
      </c>
      <c r="V64" s="3" t="str">
        <f>IFERROR(MID(VLOOKUP($B64,Seqs!$A:$B,2,0),W64,1),"")</f>
        <v>K</v>
      </c>
      <c r="W64" s="3">
        <v>136</v>
      </c>
      <c r="X64" s="3" t="str">
        <f>IFERROR(MID(VLOOKUP($B64,Seqs!$A:$B,2,0),Y64,1),"")</f>
        <v>P</v>
      </c>
      <c r="Y64" s="3">
        <v>137</v>
      </c>
      <c r="Z64" s="3" t="str">
        <f>IFERROR(MID(VLOOKUP($B64,Seqs!$A:$B,2,0),AA64,1),"")</f>
        <v>R</v>
      </c>
      <c r="AA64" s="3">
        <v>144</v>
      </c>
      <c r="AB64" s="3" t="str">
        <f>IFERROR(MID(VLOOKUP($B64,Seqs!$A:$B,2,0),AC64,1),"")</f>
        <v>T</v>
      </c>
      <c r="AC64" s="9">
        <v>145</v>
      </c>
      <c r="AD64" s="3" t="str">
        <f>IFERROR(MID(VLOOKUP($B64,Seqs!$A:$B,2,0),AE64,1),"")</f>
        <v>G</v>
      </c>
      <c r="AE64" s="3">
        <v>176</v>
      </c>
      <c r="AF64" s="3" t="str">
        <f>IFERROR(MID(VLOOKUP($B64,Seqs!$A:$B,2,0),AG64,1),"")</f>
        <v>C</v>
      </c>
      <c r="AG64" s="3">
        <v>185</v>
      </c>
      <c r="AH64" s="3" t="str">
        <f>IFERROR(MID(VLOOKUP($B64,Seqs!$A:$B,2,0),AI64,1),"")</f>
        <v>I</v>
      </c>
      <c r="AI64" s="3">
        <v>187</v>
      </c>
      <c r="AJ64" s="3" t="str">
        <f>IFERROR(MID(VLOOKUP($B64,Seqs!$A:$B,2,0),AK64,1),"")</f>
        <v>N</v>
      </c>
      <c r="AK64" s="3">
        <v>192</v>
      </c>
      <c r="AL64" s="3" t="str">
        <f>IFERROR(MID(VLOOKUP($B64,Seqs!$A:$B,2,0),AM64,1),"")</f>
        <v>E</v>
      </c>
      <c r="AM64" s="3">
        <v>232</v>
      </c>
      <c r="AN64" s="3" t="str">
        <f>IFERROR(MID(VLOOKUP($B64,Seqs!$A:$B,2,0),AO64,1),"")</f>
        <v>R</v>
      </c>
      <c r="AO64" s="3">
        <v>389</v>
      </c>
      <c r="AP64" s="3" t="str">
        <f>IFERROR(MID(VLOOKUP($B64,Seqs!$A:$B,2,0),AQ64,1),"")</f>
        <v>C</v>
      </c>
      <c r="AQ64" s="3">
        <v>426</v>
      </c>
      <c r="AR64" s="3" t="str">
        <f>IFERROR(MID(VLOOKUP($B64,Seqs!$A:$B,2,0),AS64,1),"")</f>
        <v>P</v>
      </c>
      <c r="AS64" s="3">
        <v>431</v>
      </c>
      <c r="AT64" s="3" t="str">
        <f>IFERROR(MID(VLOOKUP($B64,Seqs!$A:$B,2,0),AU64,1),"")</f>
        <v>C</v>
      </c>
      <c r="AU64" s="3">
        <v>456</v>
      </c>
      <c r="AV64" s="3" t="str">
        <f>IFERROR(MID(VLOOKUP($B64,Seqs!$A:$B,2,0),AW64,1),"")</f>
        <v>N</v>
      </c>
      <c r="AW64" s="3">
        <v>457</v>
      </c>
      <c r="AX64" s="3" t="str">
        <f>IFERROR(MID(VLOOKUP($B64,Seqs!$A:$B,2,0),AY64,1),"")</f>
        <v>L</v>
      </c>
      <c r="AY64" s="3">
        <v>469</v>
      </c>
      <c r="AZ64" s="79" t="str">
        <f>VLOOKUP(B64,Classification!A:D,2,0)</f>
        <v>A</v>
      </c>
      <c r="BA64" s="96" t="str">
        <f>VLOOKUP(B64,Classification!A:D,4,0)</f>
        <v>Acetylcholine(muscarinic)</v>
      </c>
      <c r="BB64" s="27" t="b">
        <f t="shared" si="727"/>
        <v>1</v>
      </c>
      <c r="BC64" s="23">
        <f t="shared" si="252"/>
        <v>271</v>
      </c>
      <c r="BD64" s="35" t="s">
        <v>1379</v>
      </c>
      <c r="BE64" s="3" t="s">
        <v>23</v>
      </c>
      <c r="BF64" s="121" t="s">
        <v>23</v>
      </c>
      <c r="BG64" s="50" t="s">
        <v>1379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253"/>
        <v>26</v>
      </c>
      <c r="BW64" s="73">
        <f t="shared" si="254"/>
        <v>61</v>
      </c>
      <c r="BX64" s="74">
        <f t="shared" si="255"/>
        <v>65</v>
      </c>
      <c r="BY64" s="73">
        <f t="shared" si="256"/>
        <v>97</v>
      </c>
      <c r="BZ64" s="74">
        <f t="shared" si="257"/>
        <v>101</v>
      </c>
      <c r="CA64" s="73">
        <f t="shared" si="258"/>
        <v>137</v>
      </c>
      <c r="CB64" s="74">
        <f t="shared" si="259"/>
        <v>145</v>
      </c>
      <c r="CC64" s="73">
        <f t="shared" si="260"/>
        <v>185</v>
      </c>
      <c r="CD64" s="74">
        <f t="shared" si="261"/>
        <v>192</v>
      </c>
      <c r="CE64" s="73">
        <f t="shared" si="262"/>
        <v>389</v>
      </c>
      <c r="CF64" s="74">
        <f t="shared" si="263"/>
        <v>431</v>
      </c>
      <c r="CG64" s="73">
        <f t="shared" si="264"/>
        <v>457</v>
      </c>
      <c r="CH64" s="72">
        <f t="shared" si="265"/>
        <v>60</v>
      </c>
      <c r="CI64" s="73">
        <f t="shared" si="266"/>
        <v>64</v>
      </c>
      <c r="CJ64" s="74">
        <f t="shared" si="267"/>
        <v>95</v>
      </c>
      <c r="CK64" s="74">
        <f t="shared" si="268"/>
        <v>100</v>
      </c>
      <c r="CL64" s="74">
        <f t="shared" si="269"/>
        <v>136</v>
      </c>
      <c r="CM64" s="74">
        <f t="shared" si="270"/>
        <v>144</v>
      </c>
      <c r="CN64" s="74">
        <f t="shared" si="271"/>
        <v>176</v>
      </c>
      <c r="CO64" s="74">
        <f t="shared" si="272"/>
        <v>187</v>
      </c>
      <c r="CP64" s="74">
        <f t="shared" si="273"/>
        <v>232</v>
      </c>
      <c r="CQ64" s="74">
        <f t="shared" si="274"/>
        <v>426</v>
      </c>
      <c r="CR64" s="74">
        <f t="shared" si="275"/>
        <v>456</v>
      </c>
      <c r="CS64" s="74">
        <f t="shared" si="276"/>
        <v>469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26"/>
        <v>acm4_human_5DSG</v>
      </c>
      <c r="B65" s="3" t="s">
        <v>149</v>
      </c>
      <c r="C65" s="3" t="s">
        <v>61</v>
      </c>
      <c r="D65" s="3" t="str">
        <f>IFERROR(MID(VLOOKUP($B65,Seqs!$A:$B,2,0),E65,1),"")</f>
        <v>R</v>
      </c>
      <c r="E65" s="3">
        <v>26</v>
      </c>
      <c r="F65" s="3" t="str">
        <f>IFERROR(MID(VLOOKUP($B65,Seqs!$A:$B,2,0),G65,1),"")</f>
        <v>N</v>
      </c>
      <c r="G65" s="3">
        <v>60</v>
      </c>
      <c r="H65" s="3" t="str">
        <f>IFERROR(MID(VLOOKUP($B65,Seqs!$A:$B,2,0),I65,1),"")</f>
        <v>R</v>
      </c>
      <c r="I65" s="23">
        <v>61</v>
      </c>
      <c r="J65" s="3" t="str">
        <f>IFERROR(MID(VLOOKUP($B65,Seqs!$A:$B,2,0),K65,1),"")</f>
        <v>Q</v>
      </c>
      <c r="K65" s="23">
        <v>64</v>
      </c>
      <c r="L65" s="3" t="str">
        <f>IFERROR(MID(VLOOKUP($B65,Seqs!$A:$B,2,0),M65,1),"")</f>
        <v>T</v>
      </c>
      <c r="M65" s="3">
        <v>65</v>
      </c>
      <c r="N65" s="3" t="str">
        <f>IFERROR(MID(VLOOKUP($B65,Seqs!$A:$B,2,0),O65,1),"")</f>
        <v>K</v>
      </c>
      <c r="O65" s="3">
        <v>95</v>
      </c>
      <c r="P65" s="3" t="str">
        <f>IFERROR(MID(VLOOKUP($B65,Seqs!$A:$B,2,0),Q65,1),"")</f>
        <v>Y</v>
      </c>
      <c r="Q65" s="3">
        <v>97</v>
      </c>
      <c r="R65" s="3" t="str">
        <f>IFERROR(MID(VLOOKUP($B65,Seqs!$A:$B,2,0),S65,1),"")</f>
        <v>L</v>
      </c>
      <c r="S65" s="3">
        <v>100</v>
      </c>
      <c r="T65" s="3" t="str">
        <f>IFERROR(MID(VLOOKUP($B65,Seqs!$A:$B,2,0),U65,1),"")</f>
        <v>G</v>
      </c>
      <c r="U65" s="3">
        <v>101</v>
      </c>
      <c r="V65" s="3" t="str">
        <f>IFERROR(MID(VLOOKUP($B65,Seqs!$A:$B,2,0),W65,1),"")</f>
        <v>K</v>
      </c>
      <c r="W65" s="3">
        <v>136</v>
      </c>
      <c r="X65" s="3" t="str">
        <f>IFERROR(MID(VLOOKUP($B65,Seqs!$A:$B,2,0),Y65,1),"")</f>
        <v>P</v>
      </c>
      <c r="Y65" s="3">
        <v>137</v>
      </c>
      <c r="Z65" s="3" t="str">
        <f>IFERROR(MID(VLOOKUP($B65,Seqs!$A:$B,2,0),AA65,1),"")</f>
        <v>R</v>
      </c>
      <c r="AA65" s="3">
        <v>144</v>
      </c>
      <c r="AB65" s="3" t="str">
        <f>IFERROR(MID(VLOOKUP($B65,Seqs!$A:$B,2,0),AC65,1),"")</f>
        <v>T</v>
      </c>
      <c r="AC65" s="9">
        <v>145</v>
      </c>
      <c r="AD65" s="3" t="str">
        <f>IFERROR(MID(VLOOKUP($B65,Seqs!$A:$B,2,0),AE65,1),"")</f>
        <v>G</v>
      </c>
      <c r="AE65" s="3">
        <v>176</v>
      </c>
      <c r="AF65" s="3" t="str">
        <f>IFERROR(MID(VLOOKUP($B65,Seqs!$A:$B,2,0),AG65,1),"")</f>
        <v>C</v>
      </c>
      <c r="AG65" s="3">
        <v>185</v>
      </c>
      <c r="AH65" s="3" t="str">
        <f>IFERROR(MID(VLOOKUP($B65,Seqs!$A:$B,2,0),AI65,1),"")</f>
        <v>I</v>
      </c>
      <c r="AI65" s="3">
        <v>187</v>
      </c>
      <c r="AJ65" s="3" t="str">
        <f>IFERROR(MID(VLOOKUP($B65,Seqs!$A:$B,2,0),AK65,1),"")</f>
        <v>N</v>
      </c>
      <c r="AK65" s="3">
        <v>192</v>
      </c>
      <c r="AL65" s="3" t="str">
        <f>IFERROR(MID(VLOOKUP($B65,Seqs!$A:$B,2,0),AM65,1),"")</f>
        <v>L</v>
      </c>
      <c r="AM65" s="3">
        <v>220</v>
      </c>
      <c r="AN65" s="3" t="str">
        <f>IFERROR(MID(VLOOKUP($B65,Seqs!$A:$B,2,0),AO65,1),"")</f>
        <v>R</v>
      </c>
      <c r="AO65" s="3">
        <v>396</v>
      </c>
      <c r="AP65" s="3" t="str">
        <f>IFERROR(MID(VLOOKUP($B65,Seqs!$A:$B,2,0),AQ65,1),"")</f>
        <v>C</v>
      </c>
      <c r="AQ65" s="3">
        <v>426</v>
      </c>
      <c r="AR65" s="3" t="str">
        <f>IFERROR(MID(VLOOKUP($B65,Seqs!$A:$B,2,0),AS65,1),"")</f>
        <v>P</v>
      </c>
      <c r="AS65" s="3">
        <v>431</v>
      </c>
      <c r="AT65" s="3" t="str">
        <f>IFERROR(MID(VLOOKUP($B65,Seqs!$A:$B,2,0),AU65,1),"")</f>
        <v>C</v>
      </c>
      <c r="AU65" s="3">
        <v>456</v>
      </c>
      <c r="AV65" s="3" t="str">
        <f>IFERROR(MID(VLOOKUP($B65,Seqs!$A:$B,2,0),AW65,1),"")</f>
        <v>N</v>
      </c>
      <c r="AW65" s="3">
        <v>457</v>
      </c>
      <c r="AX65" s="3" t="str">
        <f>IFERROR(MID(VLOOKUP($B65,Seqs!$A:$B,2,0),AY65,1),"")</f>
        <v>L</v>
      </c>
      <c r="AY65" s="3">
        <v>469</v>
      </c>
      <c r="AZ65" s="79" t="str">
        <f>VLOOKUP(B65,Classification!A:D,2,0)</f>
        <v>A</v>
      </c>
      <c r="BA65" s="96" t="str">
        <f>VLOOKUP(B65,Classification!A:D,4,0)</f>
        <v>Acetylcholine(muscarinic)</v>
      </c>
      <c r="BB65" s="27" t="b">
        <f t="shared" si="727"/>
        <v>1</v>
      </c>
      <c r="BC65" s="23">
        <f t="shared" si="252"/>
        <v>252</v>
      </c>
      <c r="BD65" s="2" t="s">
        <v>1383</v>
      </c>
      <c r="BE65" s="3" t="s">
        <v>1381</v>
      </c>
      <c r="BF65" s="121">
        <v>2.6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253"/>
        <v>26</v>
      </c>
      <c r="BW65" s="73">
        <f t="shared" si="254"/>
        <v>61</v>
      </c>
      <c r="BX65" s="74">
        <f t="shared" si="255"/>
        <v>65</v>
      </c>
      <c r="BY65" s="73">
        <f t="shared" si="256"/>
        <v>97</v>
      </c>
      <c r="BZ65" s="74">
        <f t="shared" si="257"/>
        <v>101</v>
      </c>
      <c r="CA65" s="73">
        <f t="shared" si="258"/>
        <v>137</v>
      </c>
      <c r="CB65" s="74">
        <f t="shared" si="259"/>
        <v>145</v>
      </c>
      <c r="CC65" s="73">
        <f t="shared" si="260"/>
        <v>185</v>
      </c>
      <c r="CD65" s="74">
        <f t="shared" si="261"/>
        <v>192</v>
      </c>
      <c r="CE65" s="73">
        <f t="shared" si="262"/>
        <v>396</v>
      </c>
      <c r="CF65" s="74">
        <f t="shared" si="263"/>
        <v>431</v>
      </c>
      <c r="CG65" s="73">
        <f t="shared" si="264"/>
        <v>457</v>
      </c>
      <c r="CH65" s="72">
        <f t="shared" si="265"/>
        <v>60</v>
      </c>
      <c r="CI65" s="73">
        <f t="shared" si="266"/>
        <v>64</v>
      </c>
      <c r="CJ65" s="74">
        <f t="shared" si="267"/>
        <v>95</v>
      </c>
      <c r="CK65" s="74">
        <f t="shared" si="268"/>
        <v>100</v>
      </c>
      <c r="CL65" s="74">
        <f t="shared" si="269"/>
        <v>136</v>
      </c>
      <c r="CM65" s="74">
        <f t="shared" si="270"/>
        <v>144</v>
      </c>
      <c r="CN65" s="74">
        <f t="shared" si="271"/>
        <v>176</v>
      </c>
      <c r="CO65" s="74">
        <f t="shared" si="272"/>
        <v>187</v>
      </c>
      <c r="CP65" s="74">
        <f t="shared" si="273"/>
        <v>220</v>
      </c>
      <c r="CQ65" s="74">
        <f t="shared" si="274"/>
        <v>426</v>
      </c>
      <c r="CR65" s="74">
        <f t="shared" si="275"/>
        <v>456</v>
      </c>
      <c r="CS65" s="74">
        <f t="shared" si="276"/>
        <v>469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26"/>
        <v>adrb1_melga__wt</v>
      </c>
      <c r="B66" s="3" t="s">
        <v>912</v>
      </c>
      <c r="C66" s="3" t="s">
        <v>100</v>
      </c>
      <c r="D66" s="3" t="str">
        <f>IFERROR(MID(VLOOKUP($B66,Seqs!$A:$B,2,0),E66,1),"")</f>
        <v>A</v>
      </c>
      <c r="E66" s="3">
        <v>33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E</v>
      </c>
      <c r="AM66" s="3">
        <v>245</v>
      </c>
      <c r="AN66" s="3" t="str">
        <f>IFERROR(MID(VLOOKUP($B66,Seqs!$A:$B,2,0),AO66,1),"")</f>
        <v>R</v>
      </c>
      <c r="AO66" s="3">
        <v>275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C</v>
      </c>
      <c r="AY66" s="3">
        <v>358</v>
      </c>
      <c r="AZ66" s="79" t="str">
        <f>VLOOKUP(B66,Classification!A:D,2,0)</f>
        <v>A</v>
      </c>
      <c r="BA66" s="96" t="str">
        <f>VLOOKUP(B66,Classification!A:D,4,0)</f>
        <v>Adrenoceptors</v>
      </c>
      <c r="BB66" s="27" t="b">
        <f t="shared" si="727"/>
        <v>1</v>
      </c>
      <c r="BC66" s="23">
        <f t="shared" si="252"/>
        <v>272</v>
      </c>
      <c r="BD66" s="35" t="s">
        <v>1379</v>
      </c>
      <c r="BE66" s="3" t="s">
        <v>23</v>
      </c>
      <c r="BF66" s="121" t="s">
        <v>23</v>
      </c>
      <c r="BG66" s="50" t="s">
        <v>1379</v>
      </c>
      <c r="BH66" s="50" t="s">
        <v>1384</v>
      </c>
      <c r="BI66" s="3" t="s">
        <v>1166</v>
      </c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253"/>
        <v>33</v>
      </c>
      <c r="BW66" s="73">
        <f t="shared" si="254"/>
        <v>70</v>
      </c>
      <c r="BX66" s="74">
        <f t="shared" si="255"/>
        <v>74</v>
      </c>
      <c r="BY66" s="73">
        <f t="shared" si="256"/>
        <v>106</v>
      </c>
      <c r="BZ66" s="74">
        <f t="shared" si="257"/>
        <v>110</v>
      </c>
      <c r="CA66" s="73">
        <f t="shared" si="258"/>
        <v>146</v>
      </c>
      <c r="CB66" s="74">
        <f t="shared" si="259"/>
        <v>154</v>
      </c>
      <c r="CC66" s="73">
        <f t="shared" si="260"/>
        <v>199</v>
      </c>
      <c r="CD66" s="74">
        <f t="shared" si="261"/>
        <v>204</v>
      </c>
      <c r="CE66" s="73">
        <f t="shared" si="262"/>
        <v>275</v>
      </c>
      <c r="CF66" s="74">
        <f t="shared" si="263"/>
        <v>321</v>
      </c>
      <c r="CG66" s="73">
        <f t="shared" si="264"/>
        <v>346</v>
      </c>
      <c r="CH66" s="72">
        <f t="shared" si="265"/>
        <v>69</v>
      </c>
      <c r="CI66" s="73">
        <f t="shared" si="266"/>
        <v>73</v>
      </c>
      <c r="CJ66" s="74">
        <f t="shared" si="267"/>
        <v>104</v>
      </c>
      <c r="CK66" s="74">
        <f t="shared" si="268"/>
        <v>109</v>
      </c>
      <c r="CL66" s="74">
        <f t="shared" si="269"/>
        <v>145</v>
      </c>
      <c r="CM66" s="74">
        <f t="shared" si="270"/>
        <v>153</v>
      </c>
      <c r="CN66" s="74">
        <f t="shared" si="271"/>
        <v>180</v>
      </c>
      <c r="CO66" s="74">
        <f t="shared" si="272"/>
        <v>201</v>
      </c>
      <c r="CP66" s="74">
        <f t="shared" si="273"/>
        <v>245</v>
      </c>
      <c r="CQ66" s="74">
        <f t="shared" si="274"/>
        <v>316</v>
      </c>
      <c r="CR66" s="74">
        <f t="shared" si="275"/>
        <v>345</v>
      </c>
      <c r="CS66" s="74">
        <f t="shared" si="276"/>
        <v>358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26"/>
        <v>adrb1_melga_2Y00</v>
      </c>
      <c r="B67" s="3" t="s">
        <v>912</v>
      </c>
      <c r="C67" s="3" t="s">
        <v>1023</v>
      </c>
      <c r="D67" s="3" t="str">
        <f>IFERROR(MID(VLOOKUP($B67,Seqs!$A:$B,2,0),E67,1),"")</f>
        <v>A</v>
      </c>
      <c r="E67" s="3">
        <v>33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I</v>
      </c>
      <c r="AM67" s="3">
        <v>238</v>
      </c>
      <c r="AN67" s="3" t="str">
        <f>IFERROR(MID(VLOOKUP($B67,Seqs!$A:$B,2,0),AO67,1),"")</f>
        <v>R</v>
      </c>
      <c r="AO67" s="3">
        <v>275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C</v>
      </c>
      <c r="AY67" s="3">
        <v>358</v>
      </c>
      <c r="AZ67" s="79" t="str">
        <f>VLOOKUP(B67,Classification!A:D,2,0)</f>
        <v>A</v>
      </c>
      <c r="BA67" s="96" t="str">
        <f>VLOOKUP(B67,Classification!A:D,4,0)</f>
        <v>Adrenoceptors</v>
      </c>
      <c r="BB67" s="27" t="b">
        <f t="shared" si="727"/>
        <v>1</v>
      </c>
      <c r="BC67" s="23">
        <f t="shared" si="252"/>
        <v>265</v>
      </c>
      <c r="BD67" s="4" t="s">
        <v>23</v>
      </c>
      <c r="BE67" s="3" t="s">
        <v>1381</v>
      </c>
      <c r="BF67" s="121">
        <v>2.5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253"/>
        <v>33</v>
      </c>
      <c r="BW67" s="73">
        <f t="shared" si="254"/>
        <v>70</v>
      </c>
      <c r="BX67" s="74">
        <f t="shared" si="255"/>
        <v>74</v>
      </c>
      <c r="BY67" s="73">
        <f t="shared" si="256"/>
        <v>106</v>
      </c>
      <c r="BZ67" s="74">
        <f t="shared" si="257"/>
        <v>110</v>
      </c>
      <c r="CA67" s="73">
        <f t="shared" si="258"/>
        <v>146</v>
      </c>
      <c r="CB67" s="74">
        <f t="shared" si="259"/>
        <v>154</v>
      </c>
      <c r="CC67" s="73">
        <f t="shared" si="260"/>
        <v>199</v>
      </c>
      <c r="CD67" s="74">
        <f t="shared" si="261"/>
        <v>204</v>
      </c>
      <c r="CE67" s="73">
        <f t="shared" si="262"/>
        <v>275</v>
      </c>
      <c r="CF67" s="74">
        <f t="shared" si="263"/>
        <v>321</v>
      </c>
      <c r="CG67" s="73">
        <f t="shared" si="264"/>
        <v>346</v>
      </c>
      <c r="CH67" s="72">
        <f t="shared" si="265"/>
        <v>69</v>
      </c>
      <c r="CI67" s="73">
        <f t="shared" si="266"/>
        <v>73</v>
      </c>
      <c r="CJ67" s="74">
        <f t="shared" si="267"/>
        <v>104</v>
      </c>
      <c r="CK67" s="74">
        <f t="shared" si="268"/>
        <v>109</v>
      </c>
      <c r="CL67" s="74">
        <f t="shared" si="269"/>
        <v>145</v>
      </c>
      <c r="CM67" s="74">
        <f t="shared" si="270"/>
        <v>153</v>
      </c>
      <c r="CN67" s="74">
        <f t="shared" si="271"/>
        <v>180</v>
      </c>
      <c r="CO67" s="74">
        <f t="shared" si="272"/>
        <v>201</v>
      </c>
      <c r="CP67" s="74">
        <f t="shared" si="273"/>
        <v>238</v>
      </c>
      <c r="CQ67" s="74">
        <f t="shared" si="274"/>
        <v>316</v>
      </c>
      <c r="CR67" s="74">
        <f t="shared" si="275"/>
        <v>345</v>
      </c>
      <c r="CS67" s="74">
        <f t="shared" si="276"/>
        <v>358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26"/>
        <v>adrb1_melga_2Y02</v>
      </c>
      <c r="B68" s="3" t="s">
        <v>912</v>
      </c>
      <c r="C68" s="3" t="s">
        <v>1024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I</v>
      </c>
      <c r="AM68" s="3">
        <v>238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727"/>
        <v>1</v>
      </c>
      <c r="BC68" s="23">
        <f t="shared" si="252"/>
        <v>265</v>
      </c>
      <c r="BD68" s="4" t="s">
        <v>23</v>
      </c>
      <c r="BE68" s="3" t="s">
        <v>1381</v>
      </c>
      <c r="BF68" s="121">
        <v>2.6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253"/>
        <v>33</v>
      </c>
      <c r="BW68" s="73">
        <f t="shared" si="254"/>
        <v>70</v>
      </c>
      <c r="BX68" s="74">
        <f t="shared" si="255"/>
        <v>74</v>
      </c>
      <c r="BY68" s="73">
        <f t="shared" si="256"/>
        <v>106</v>
      </c>
      <c r="BZ68" s="74">
        <f t="shared" si="257"/>
        <v>110</v>
      </c>
      <c r="CA68" s="73">
        <f t="shared" si="258"/>
        <v>146</v>
      </c>
      <c r="CB68" s="74">
        <f t="shared" si="259"/>
        <v>154</v>
      </c>
      <c r="CC68" s="73">
        <f t="shared" si="260"/>
        <v>199</v>
      </c>
      <c r="CD68" s="74">
        <f t="shared" si="261"/>
        <v>204</v>
      </c>
      <c r="CE68" s="73">
        <f t="shared" si="262"/>
        <v>275</v>
      </c>
      <c r="CF68" s="74">
        <f t="shared" si="263"/>
        <v>321</v>
      </c>
      <c r="CG68" s="73">
        <f t="shared" si="264"/>
        <v>346</v>
      </c>
      <c r="CH68" s="72">
        <f t="shared" si="265"/>
        <v>69</v>
      </c>
      <c r="CI68" s="73">
        <f t="shared" si="266"/>
        <v>73</v>
      </c>
      <c r="CJ68" s="74">
        <f t="shared" si="267"/>
        <v>104</v>
      </c>
      <c r="CK68" s="74">
        <f t="shared" si="268"/>
        <v>109</v>
      </c>
      <c r="CL68" s="74">
        <f t="shared" si="269"/>
        <v>145</v>
      </c>
      <c r="CM68" s="74">
        <f t="shared" si="270"/>
        <v>153</v>
      </c>
      <c r="CN68" s="74">
        <f t="shared" si="271"/>
        <v>180</v>
      </c>
      <c r="CO68" s="74">
        <f t="shared" si="272"/>
        <v>201</v>
      </c>
      <c r="CP68" s="74">
        <f t="shared" si="273"/>
        <v>238</v>
      </c>
      <c r="CQ68" s="74">
        <f t="shared" si="274"/>
        <v>316</v>
      </c>
      <c r="CR68" s="74">
        <f t="shared" si="275"/>
        <v>345</v>
      </c>
      <c r="CS68" s="74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26"/>
        <v>adrb1_melga_2Y03</v>
      </c>
      <c r="B69" s="3" t="s">
        <v>912</v>
      </c>
      <c r="C69" s="3" t="s">
        <v>1025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727"/>
        <v>1</v>
      </c>
      <c r="BC69" s="23">
        <f t="shared" si="252"/>
        <v>265</v>
      </c>
      <c r="BD69" s="4" t="s">
        <v>23</v>
      </c>
      <c r="BE69" s="3" t="s">
        <v>1381</v>
      </c>
      <c r="BF69" s="121">
        <v>2.85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253"/>
        <v>33</v>
      </c>
      <c r="BW69" s="73">
        <f t="shared" si="254"/>
        <v>70</v>
      </c>
      <c r="BX69" s="74">
        <f t="shared" si="255"/>
        <v>74</v>
      </c>
      <c r="BY69" s="73">
        <f t="shared" si="256"/>
        <v>106</v>
      </c>
      <c r="BZ69" s="74">
        <f t="shared" si="257"/>
        <v>110</v>
      </c>
      <c r="CA69" s="73">
        <f t="shared" si="258"/>
        <v>146</v>
      </c>
      <c r="CB69" s="74">
        <f t="shared" si="259"/>
        <v>154</v>
      </c>
      <c r="CC69" s="73">
        <f t="shared" si="260"/>
        <v>199</v>
      </c>
      <c r="CD69" s="74">
        <f t="shared" si="261"/>
        <v>204</v>
      </c>
      <c r="CE69" s="73">
        <f t="shared" si="262"/>
        <v>275</v>
      </c>
      <c r="CF69" s="74">
        <f t="shared" si="263"/>
        <v>321</v>
      </c>
      <c r="CG69" s="73">
        <f t="shared" si="264"/>
        <v>346</v>
      </c>
      <c r="CH69" s="72">
        <f t="shared" si="265"/>
        <v>69</v>
      </c>
      <c r="CI69" s="73">
        <f t="shared" si="266"/>
        <v>73</v>
      </c>
      <c r="CJ69" s="74">
        <f t="shared" si="267"/>
        <v>104</v>
      </c>
      <c r="CK69" s="74">
        <f t="shared" si="268"/>
        <v>109</v>
      </c>
      <c r="CL69" s="74">
        <f t="shared" si="269"/>
        <v>145</v>
      </c>
      <c r="CM69" s="74">
        <f t="shared" si="270"/>
        <v>153</v>
      </c>
      <c r="CN69" s="74">
        <f t="shared" si="271"/>
        <v>180</v>
      </c>
      <c r="CO69" s="74">
        <f t="shared" si="272"/>
        <v>201</v>
      </c>
      <c r="CP69" s="74">
        <f t="shared" si="273"/>
        <v>238</v>
      </c>
      <c r="CQ69" s="74">
        <f t="shared" si="274"/>
        <v>316</v>
      </c>
      <c r="CR69" s="74">
        <f t="shared" si="275"/>
        <v>345</v>
      </c>
      <c r="CS69" s="74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26"/>
        <v>adrb1_melga_2Y04</v>
      </c>
      <c r="B70" s="3" t="s">
        <v>912</v>
      </c>
      <c r="C70" s="3" t="s">
        <v>1026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727"/>
        <v>1</v>
      </c>
      <c r="BC70" s="23">
        <f t="shared" si="252"/>
        <v>265</v>
      </c>
      <c r="BD70" s="4" t="s">
        <v>23</v>
      </c>
      <c r="BE70" s="3" t="s">
        <v>1381</v>
      </c>
      <c r="BF70" s="121">
        <v>3.05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253"/>
        <v>33</v>
      </c>
      <c r="BW70" s="73">
        <f t="shared" si="254"/>
        <v>70</v>
      </c>
      <c r="BX70" s="74">
        <f t="shared" si="255"/>
        <v>74</v>
      </c>
      <c r="BY70" s="73">
        <f t="shared" si="256"/>
        <v>106</v>
      </c>
      <c r="BZ70" s="74">
        <f t="shared" si="257"/>
        <v>110</v>
      </c>
      <c r="CA70" s="73">
        <f t="shared" si="258"/>
        <v>146</v>
      </c>
      <c r="CB70" s="74">
        <f t="shared" si="259"/>
        <v>154</v>
      </c>
      <c r="CC70" s="73">
        <f t="shared" si="260"/>
        <v>199</v>
      </c>
      <c r="CD70" s="74">
        <f t="shared" si="261"/>
        <v>204</v>
      </c>
      <c r="CE70" s="73">
        <f t="shared" si="262"/>
        <v>275</v>
      </c>
      <c r="CF70" s="74">
        <f t="shared" si="263"/>
        <v>321</v>
      </c>
      <c r="CG70" s="73">
        <f t="shared" si="264"/>
        <v>346</v>
      </c>
      <c r="CH70" s="72">
        <f t="shared" si="265"/>
        <v>69</v>
      </c>
      <c r="CI70" s="73">
        <f t="shared" si="266"/>
        <v>73</v>
      </c>
      <c r="CJ70" s="74">
        <f t="shared" si="267"/>
        <v>104</v>
      </c>
      <c r="CK70" s="74">
        <f t="shared" si="268"/>
        <v>109</v>
      </c>
      <c r="CL70" s="74">
        <f t="shared" si="269"/>
        <v>145</v>
      </c>
      <c r="CM70" s="74">
        <f t="shared" si="270"/>
        <v>153</v>
      </c>
      <c r="CN70" s="74">
        <f t="shared" si="271"/>
        <v>180</v>
      </c>
      <c r="CO70" s="74">
        <f t="shared" si="272"/>
        <v>201</v>
      </c>
      <c r="CP70" s="74">
        <f t="shared" si="273"/>
        <v>238</v>
      </c>
      <c r="CQ70" s="74">
        <f t="shared" si="274"/>
        <v>316</v>
      </c>
      <c r="CR70" s="74">
        <f t="shared" si="275"/>
        <v>345</v>
      </c>
      <c r="CS70" s="74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26"/>
        <v>adrb1_melga_2YCW</v>
      </c>
      <c r="B71" s="3" t="s">
        <v>912</v>
      </c>
      <c r="C71" s="3" t="s">
        <v>1027</v>
      </c>
      <c r="D71" s="3" t="str">
        <f>IFERROR(MID(VLOOKUP($B71,Seqs!$A:$B,2,0),E71,1),"")</f>
        <v>S</v>
      </c>
      <c r="E71" s="3">
        <v>37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K</v>
      </c>
      <c r="AM71" s="3">
        <v>240</v>
      </c>
      <c r="AN71" s="3" t="str">
        <f>IFERROR(MID(VLOOKUP($B71,Seqs!$A:$B,2,0),AO71,1),"")</f>
        <v>L</v>
      </c>
      <c r="AO71" s="3">
        <v>289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727"/>
        <v>1</v>
      </c>
      <c r="BC71" s="23">
        <f t="shared" si="252"/>
        <v>249</v>
      </c>
      <c r="BD71" s="4" t="s">
        <v>23</v>
      </c>
      <c r="BE71" s="3" t="s">
        <v>1381</v>
      </c>
      <c r="BF71" s="121">
        <v>3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253"/>
        <v>37</v>
      </c>
      <c r="BW71" s="73">
        <f t="shared" si="254"/>
        <v>70</v>
      </c>
      <c r="BX71" s="74">
        <f t="shared" si="255"/>
        <v>74</v>
      </c>
      <c r="BY71" s="73">
        <f t="shared" si="256"/>
        <v>106</v>
      </c>
      <c r="BZ71" s="74">
        <f t="shared" si="257"/>
        <v>110</v>
      </c>
      <c r="CA71" s="73">
        <f t="shared" si="258"/>
        <v>146</v>
      </c>
      <c r="CB71" s="74">
        <f t="shared" si="259"/>
        <v>154</v>
      </c>
      <c r="CC71" s="73">
        <f t="shared" si="260"/>
        <v>199</v>
      </c>
      <c r="CD71" s="74">
        <f t="shared" si="261"/>
        <v>204</v>
      </c>
      <c r="CE71" s="73">
        <f t="shared" si="262"/>
        <v>289</v>
      </c>
      <c r="CF71" s="74">
        <f t="shared" si="263"/>
        <v>321</v>
      </c>
      <c r="CG71" s="73">
        <f t="shared" si="264"/>
        <v>346</v>
      </c>
      <c r="CH71" s="72">
        <f t="shared" si="265"/>
        <v>69</v>
      </c>
      <c r="CI71" s="73">
        <f t="shared" si="266"/>
        <v>73</v>
      </c>
      <c r="CJ71" s="74">
        <f t="shared" si="267"/>
        <v>104</v>
      </c>
      <c r="CK71" s="74">
        <f t="shared" si="268"/>
        <v>109</v>
      </c>
      <c r="CL71" s="74">
        <f t="shared" si="269"/>
        <v>145</v>
      </c>
      <c r="CM71" s="74">
        <f t="shared" si="270"/>
        <v>153</v>
      </c>
      <c r="CN71" s="74">
        <f t="shared" si="271"/>
        <v>180</v>
      </c>
      <c r="CO71" s="74">
        <f t="shared" si="272"/>
        <v>201</v>
      </c>
      <c r="CP71" s="74">
        <f t="shared" si="273"/>
        <v>240</v>
      </c>
      <c r="CQ71" s="74">
        <f t="shared" si="274"/>
        <v>316</v>
      </c>
      <c r="CR71" s="74">
        <f t="shared" si="275"/>
        <v>345</v>
      </c>
      <c r="CS71" s="74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26"/>
        <v>adrb1_melga_2YCZ</v>
      </c>
      <c r="B72" s="3" t="s">
        <v>912</v>
      </c>
      <c r="C72" s="3" t="s">
        <v>1028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K</v>
      </c>
      <c r="AM72" s="3">
        <v>240</v>
      </c>
      <c r="AN72" s="3" t="str">
        <f>IFERROR(MID(VLOOKUP($B72,Seqs!$A:$B,2,0),AO72,1),"")</f>
        <v>A</v>
      </c>
      <c r="AO72" s="3">
        <v>288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727"/>
        <v>1</v>
      </c>
      <c r="BC72" s="23">
        <f t="shared" si="252"/>
        <v>254</v>
      </c>
      <c r="BD72" s="16" t="s">
        <v>23</v>
      </c>
      <c r="BE72" s="3" t="s">
        <v>1381</v>
      </c>
      <c r="BF72" s="121">
        <v>3.65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253"/>
        <v>33</v>
      </c>
      <c r="BW72" s="73">
        <f t="shared" si="254"/>
        <v>70</v>
      </c>
      <c r="BX72" s="74">
        <f t="shared" si="255"/>
        <v>74</v>
      </c>
      <c r="BY72" s="73">
        <f t="shared" si="256"/>
        <v>106</v>
      </c>
      <c r="BZ72" s="74">
        <f t="shared" si="257"/>
        <v>110</v>
      </c>
      <c r="CA72" s="73">
        <f t="shared" si="258"/>
        <v>146</v>
      </c>
      <c r="CB72" s="74">
        <f t="shared" si="259"/>
        <v>154</v>
      </c>
      <c r="CC72" s="73">
        <f t="shared" si="260"/>
        <v>199</v>
      </c>
      <c r="CD72" s="74">
        <f t="shared" si="261"/>
        <v>204</v>
      </c>
      <c r="CE72" s="73">
        <f t="shared" si="262"/>
        <v>288</v>
      </c>
      <c r="CF72" s="74">
        <f t="shared" si="263"/>
        <v>321</v>
      </c>
      <c r="CG72" s="73">
        <f t="shared" si="264"/>
        <v>346</v>
      </c>
      <c r="CH72" s="72">
        <f t="shared" si="265"/>
        <v>69</v>
      </c>
      <c r="CI72" s="73">
        <f t="shared" si="266"/>
        <v>73</v>
      </c>
      <c r="CJ72" s="74">
        <f t="shared" si="267"/>
        <v>104</v>
      </c>
      <c r="CK72" s="74">
        <f t="shared" si="268"/>
        <v>109</v>
      </c>
      <c r="CL72" s="74">
        <f t="shared" si="269"/>
        <v>145</v>
      </c>
      <c r="CM72" s="74">
        <f t="shared" si="270"/>
        <v>153</v>
      </c>
      <c r="CN72" s="74">
        <f t="shared" si="271"/>
        <v>180</v>
      </c>
      <c r="CO72" s="74">
        <f t="shared" si="272"/>
        <v>201</v>
      </c>
      <c r="CP72" s="74">
        <f t="shared" si="273"/>
        <v>240</v>
      </c>
      <c r="CQ72" s="74">
        <f t="shared" si="274"/>
        <v>316</v>
      </c>
      <c r="CR72" s="74">
        <f t="shared" si="275"/>
        <v>345</v>
      </c>
      <c r="CS72" s="74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26"/>
        <v>adrb1_melga_3ZPQ</v>
      </c>
      <c r="B73" s="3" t="s">
        <v>912</v>
      </c>
      <c r="C73" s="3" t="s">
        <v>1038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727"/>
        <v>1</v>
      </c>
      <c r="BC73" s="23">
        <f t="shared" si="252"/>
        <v>265</v>
      </c>
      <c r="BD73" s="4" t="s">
        <v>23</v>
      </c>
      <c r="BE73" s="3" t="s">
        <v>1381</v>
      </c>
      <c r="BF73" s="121">
        <v>2.8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253"/>
        <v>33</v>
      </c>
      <c r="BW73" s="73">
        <f t="shared" si="254"/>
        <v>70</v>
      </c>
      <c r="BX73" s="74">
        <f t="shared" si="255"/>
        <v>74</v>
      </c>
      <c r="BY73" s="73">
        <f t="shared" si="256"/>
        <v>106</v>
      </c>
      <c r="BZ73" s="74">
        <f t="shared" si="257"/>
        <v>110</v>
      </c>
      <c r="CA73" s="73">
        <f t="shared" si="258"/>
        <v>146</v>
      </c>
      <c r="CB73" s="74">
        <f t="shared" si="259"/>
        <v>154</v>
      </c>
      <c r="CC73" s="73">
        <f t="shared" si="260"/>
        <v>199</v>
      </c>
      <c r="CD73" s="74">
        <f t="shared" si="261"/>
        <v>204</v>
      </c>
      <c r="CE73" s="73">
        <f t="shared" si="262"/>
        <v>275</v>
      </c>
      <c r="CF73" s="74">
        <f t="shared" si="263"/>
        <v>321</v>
      </c>
      <c r="CG73" s="73">
        <f t="shared" si="264"/>
        <v>346</v>
      </c>
      <c r="CH73" s="72">
        <f t="shared" si="265"/>
        <v>69</v>
      </c>
      <c r="CI73" s="73">
        <f t="shared" si="266"/>
        <v>73</v>
      </c>
      <c r="CJ73" s="74">
        <f t="shared" si="267"/>
        <v>104</v>
      </c>
      <c r="CK73" s="74">
        <f t="shared" si="268"/>
        <v>109</v>
      </c>
      <c r="CL73" s="74">
        <f t="shared" si="269"/>
        <v>145</v>
      </c>
      <c r="CM73" s="74">
        <f t="shared" si="270"/>
        <v>153</v>
      </c>
      <c r="CN73" s="74">
        <f t="shared" si="271"/>
        <v>180</v>
      </c>
      <c r="CO73" s="74">
        <f t="shared" si="272"/>
        <v>201</v>
      </c>
      <c r="CP73" s="74">
        <f t="shared" si="273"/>
        <v>238</v>
      </c>
      <c r="CQ73" s="74">
        <f t="shared" si="274"/>
        <v>316</v>
      </c>
      <c r="CR73" s="74">
        <f t="shared" si="275"/>
        <v>345</v>
      </c>
      <c r="CS73" s="74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26"/>
        <v>adrb1_melga_3ZPR</v>
      </c>
      <c r="B74" s="3" t="s">
        <v>912</v>
      </c>
      <c r="C74" s="3" t="s">
        <v>1039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727"/>
        <v>1</v>
      </c>
      <c r="BC74" s="23">
        <f t="shared" si="252"/>
        <v>265</v>
      </c>
      <c r="BD74" s="4" t="s">
        <v>23</v>
      </c>
      <c r="BE74" s="3" t="s">
        <v>1381</v>
      </c>
      <c r="BF74" s="121">
        <v>2.7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253"/>
        <v>33</v>
      </c>
      <c r="BW74" s="73">
        <f t="shared" si="254"/>
        <v>70</v>
      </c>
      <c r="BX74" s="74">
        <f t="shared" si="255"/>
        <v>74</v>
      </c>
      <c r="BY74" s="73">
        <f t="shared" si="256"/>
        <v>106</v>
      </c>
      <c r="BZ74" s="74">
        <f t="shared" si="257"/>
        <v>110</v>
      </c>
      <c r="CA74" s="73">
        <f t="shared" si="258"/>
        <v>146</v>
      </c>
      <c r="CB74" s="74">
        <f t="shared" si="259"/>
        <v>154</v>
      </c>
      <c r="CC74" s="73">
        <f t="shared" si="260"/>
        <v>199</v>
      </c>
      <c r="CD74" s="74">
        <f t="shared" si="261"/>
        <v>204</v>
      </c>
      <c r="CE74" s="73">
        <f t="shared" si="262"/>
        <v>275</v>
      </c>
      <c r="CF74" s="74">
        <f t="shared" si="263"/>
        <v>321</v>
      </c>
      <c r="CG74" s="73">
        <f t="shared" si="264"/>
        <v>346</v>
      </c>
      <c r="CH74" s="72">
        <f t="shared" si="265"/>
        <v>69</v>
      </c>
      <c r="CI74" s="73">
        <f t="shared" si="266"/>
        <v>73</v>
      </c>
      <c r="CJ74" s="74">
        <f t="shared" si="267"/>
        <v>104</v>
      </c>
      <c r="CK74" s="74">
        <f t="shared" si="268"/>
        <v>109</v>
      </c>
      <c r="CL74" s="74">
        <f t="shared" si="269"/>
        <v>145</v>
      </c>
      <c r="CM74" s="74">
        <f t="shared" si="270"/>
        <v>153</v>
      </c>
      <c r="CN74" s="74">
        <f t="shared" si="271"/>
        <v>180</v>
      </c>
      <c r="CO74" s="74">
        <f t="shared" si="272"/>
        <v>201</v>
      </c>
      <c r="CP74" s="74">
        <f t="shared" si="273"/>
        <v>238</v>
      </c>
      <c r="CQ74" s="74">
        <f t="shared" si="274"/>
        <v>316</v>
      </c>
      <c r="CR74" s="74">
        <f t="shared" si="275"/>
        <v>345</v>
      </c>
      <c r="CS74" s="74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26"/>
        <v>adrb1_melga_4AMI</v>
      </c>
      <c r="B75" s="3" t="s">
        <v>912</v>
      </c>
      <c r="C75" s="3" t="s">
        <v>1040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E</v>
      </c>
      <c r="AM75" s="3">
        <v>236</v>
      </c>
      <c r="AN75" s="3" t="str">
        <f>IFERROR(MID(VLOOKUP($B75,Seqs!$A:$B,2,0),AO75,1),"")</f>
        <v>A</v>
      </c>
      <c r="AO75" s="3">
        <v>288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727"/>
        <v>1</v>
      </c>
      <c r="BC75" s="23">
        <f t="shared" si="252"/>
        <v>250</v>
      </c>
      <c r="BD75" s="4" t="s">
        <v>23</v>
      </c>
      <c r="BE75" s="3" t="s">
        <v>1381</v>
      </c>
      <c r="BF75" s="121">
        <v>3.2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253"/>
        <v>33</v>
      </c>
      <c r="BW75" s="73">
        <f t="shared" si="254"/>
        <v>70</v>
      </c>
      <c r="BX75" s="74">
        <f t="shared" si="255"/>
        <v>74</v>
      </c>
      <c r="BY75" s="73">
        <f t="shared" si="256"/>
        <v>106</v>
      </c>
      <c r="BZ75" s="74">
        <f t="shared" si="257"/>
        <v>110</v>
      </c>
      <c r="CA75" s="73">
        <f t="shared" si="258"/>
        <v>146</v>
      </c>
      <c r="CB75" s="74">
        <f t="shared" si="259"/>
        <v>154</v>
      </c>
      <c r="CC75" s="73">
        <f t="shared" si="260"/>
        <v>199</v>
      </c>
      <c r="CD75" s="74">
        <f t="shared" si="261"/>
        <v>204</v>
      </c>
      <c r="CE75" s="73">
        <f t="shared" si="262"/>
        <v>288</v>
      </c>
      <c r="CF75" s="74">
        <f t="shared" si="263"/>
        <v>321</v>
      </c>
      <c r="CG75" s="73">
        <f t="shared" si="264"/>
        <v>346</v>
      </c>
      <c r="CH75" s="72">
        <f t="shared" si="265"/>
        <v>69</v>
      </c>
      <c r="CI75" s="73">
        <f t="shared" si="266"/>
        <v>73</v>
      </c>
      <c r="CJ75" s="74">
        <f t="shared" si="267"/>
        <v>104</v>
      </c>
      <c r="CK75" s="74">
        <f t="shared" si="268"/>
        <v>109</v>
      </c>
      <c r="CL75" s="74">
        <f t="shared" si="269"/>
        <v>145</v>
      </c>
      <c r="CM75" s="74">
        <f t="shared" si="270"/>
        <v>153</v>
      </c>
      <c r="CN75" s="74">
        <f t="shared" si="271"/>
        <v>180</v>
      </c>
      <c r="CO75" s="74">
        <f t="shared" si="272"/>
        <v>201</v>
      </c>
      <c r="CP75" s="74">
        <f t="shared" si="273"/>
        <v>236</v>
      </c>
      <c r="CQ75" s="74">
        <f t="shared" si="274"/>
        <v>316</v>
      </c>
      <c r="CR75" s="74">
        <f t="shared" si="275"/>
        <v>345</v>
      </c>
      <c r="CS75" s="74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26"/>
        <v>adrb1_melga_4AMJ</v>
      </c>
      <c r="B76" s="3" t="s">
        <v>912</v>
      </c>
      <c r="C76" s="3" t="s">
        <v>1041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727"/>
        <v>1</v>
      </c>
      <c r="BC76" s="23">
        <f t="shared" si="252"/>
        <v>265</v>
      </c>
      <c r="BD76" s="2" t="s">
        <v>1383</v>
      </c>
      <c r="BE76" s="3" t="s">
        <v>1381</v>
      </c>
      <c r="BF76" s="121">
        <v>2.2999999999999998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253"/>
        <v>33</v>
      </c>
      <c r="BW76" s="73">
        <f t="shared" si="254"/>
        <v>70</v>
      </c>
      <c r="BX76" s="74">
        <f t="shared" si="255"/>
        <v>74</v>
      </c>
      <c r="BY76" s="73">
        <f t="shared" si="256"/>
        <v>106</v>
      </c>
      <c r="BZ76" s="74">
        <f t="shared" si="257"/>
        <v>110</v>
      </c>
      <c r="CA76" s="73">
        <f t="shared" si="258"/>
        <v>146</v>
      </c>
      <c r="CB76" s="74">
        <f t="shared" si="259"/>
        <v>154</v>
      </c>
      <c r="CC76" s="73">
        <f t="shared" si="260"/>
        <v>199</v>
      </c>
      <c r="CD76" s="74">
        <f t="shared" si="261"/>
        <v>204</v>
      </c>
      <c r="CE76" s="73">
        <f t="shared" si="262"/>
        <v>275</v>
      </c>
      <c r="CF76" s="74">
        <f t="shared" si="263"/>
        <v>321</v>
      </c>
      <c r="CG76" s="73">
        <f t="shared" si="264"/>
        <v>346</v>
      </c>
      <c r="CH76" s="72">
        <f t="shared" si="265"/>
        <v>69</v>
      </c>
      <c r="CI76" s="73">
        <f t="shared" si="266"/>
        <v>73</v>
      </c>
      <c r="CJ76" s="74">
        <f t="shared" si="267"/>
        <v>104</v>
      </c>
      <c r="CK76" s="74">
        <f t="shared" si="268"/>
        <v>109</v>
      </c>
      <c r="CL76" s="74">
        <f t="shared" si="269"/>
        <v>145</v>
      </c>
      <c r="CM76" s="74">
        <f t="shared" si="270"/>
        <v>153</v>
      </c>
      <c r="CN76" s="74">
        <f t="shared" si="271"/>
        <v>180</v>
      </c>
      <c r="CO76" s="74">
        <f t="shared" si="272"/>
        <v>201</v>
      </c>
      <c r="CP76" s="74">
        <f t="shared" si="273"/>
        <v>238</v>
      </c>
      <c r="CQ76" s="74">
        <f t="shared" si="274"/>
        <v>316</v>
      </c>
      <c r="CR76" s="74">
        <f t="shared" si="275"/>
        <v>345</v>
      </c>
      <c r="CS76" s="74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26"/>
        <v>adrb1_melga_4BVN</v>
      </c>
      <c r="B77" s="3" t="s">
        <v>912</v>
      </c>
      <c r="C77" s="3" t="s">
        <v>82</v>
      </c>
      <c r="D77" s="3" t="str">
        <f>IFERROR(MID(VLOOKUP($B77,Seqs!$A:$B,2,0),E77,1),"")</f>
        <v>S</v>
      </c>
      <c r="E77" s="3">
        <v>37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R</v>
      </c>
      <c r="AM77" s="3">
        <v>239</v>
      </c>
      <c r="AN77" s="3" t="str">
        <f>IFERROR(MID(VLOOKUP($B77,Seqs!$A:$B,2,0),AO77,1),"")</f>
        <v>R</v>
      </c>
      <c r="AO77" s="3">
        <v>279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727"/>
        <v>1</v>
      </c>
      <c r="BC77" s="23">
        <f t="shared" ref="BC77:BC117" si="728">_xlfn.AGGREGATE(9,6,CH77:CS77)-_xlfn.AGGREGATE(9,6,BV77:CG77)+12</f>
        <v>258</v>
      </c>
      <c r="BD77" s="4" t="s">
        <v>23</v>
      </c>
      <c r="BE77" s="3" t="s">
        <v>1381</v>
      </c>
      <c r="BF77" s="121">
        <v>2.1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ref="BV77:BV117" si="729">E77</f>
        <v>37</v>
      </c>
      <c r="BW77" s="73">
        <f t="shared" ref="BW77:BW117" si="730">I77</f>
        <v>70</v>
      </c>
      <c r="BX77" s="74">
        <f t="shared" ref="BX77:BX117" si="731">M77</f>
        <v>74</v>
      </c>
      <c r="BY77" s="73">
        <f t="shared" ref="BY77:BY117" si="732">Q77</f>
        <v>106</v>
      </c>
      <c r="BZ77" s="74">
        <f t="shared" ref="BZ77:BZ117" si="733">U77</f>
        <v>110</v>
      </c>
      <c r="CA77" s="73">
        <f t="shared" ref="CA77:CA117" si="734">Y77</f>
        <v>146</v>
      </c>
      <c r="CB77" s="74">
        <f t="shared" ref="CB77:CB117" si="735">AC77</f>
        <v>154</v>
      </c>
      <c r="CC77" s="73">
        <f t="shared" ref="CC77:CC117" si="736">AG77</f>
        <v>199</v>
      </c>
      <c r="CD77" s="74">
        <f t="shared" ref="CD77:CD117" si="737">AK77</f>
        <v>204</v>
      </c>
      <c r="CE77" s="73">
        <f t="shared" ref="CE77:CE117" si="738">AO77</f>
        <v>279</v>
      </c>
      <c r="CF77" s="74">
        <f t="shared" ref="CF77:CF117" si="739">AS77</f>
        <v>321</v>
      </c>
      <c r="CG77" s="73">
        <f t="shared" ref="CG77:CG117" si="740">AW77</f>
        <v>346</v>
      </c>
      <c r="CH77" s="72">
        <f t="shared" ref="CH77:CH117" si="741">G77</f>
        <v>69</v>
      </c>
      <c r="CI77" s="73">
        <f t="shared" ref="CI77:CI117" si="742">K77</f>
        <v>73</v>
      </c>
      <c r="CJ77" s="74">
        <f t="shared" ref="CJ77:CJ117" si="743">O77</f>
        <v>104</v>
      </c>
      <c r="CK77" s="74">
        <f t="shared" ref="CK77:CK117" si="744">S77</f>
        <v>109</v>
      </c>
      <c r="CL77" s="74">
        <f t="shared" ref="CL77:CL117" si="745">W77</f>
        <v>145</v>
      </c>
      <c r="CM77" s="74">
        <f t="shared" ref="CM77:CM117" si="746">AA77</f>
        <v>153</v>
      </c>
      <c r="CN77" s="74">
        <f t="shared" ref="CN77:CN117" si="747">AE77</f>
        <v>180</v>
      </c>
      <c r="CO77" s="74">
        <f t="shared" ref="CO77:CO117" si="748">AI77</f>
        <v>201</v>
      </c>
      <c r="CP77" s="74">
        <f t="shared" ref="CP77:CP117" si="749">AM77</f>
        <v>239</v>
      </c>
      <c r="CQ77" s="74">
        <f t="shared" ref="CQ77:CQ117" si="750">AQ77</f>
        <v>316</v>
      </c>
      <c r="CR77" s="74">
        <f t="shared" ref="CR77:CR117" si="751">AU77</f>
        <v>345</v>
      </c>
      <c r="CS77" s="74">
        <f t="shared" ref="CS77:CS117" si="752">AY77</f>
        <v>358</v>
      </c>
      <c r="CT77" s="23">
        <f t="shared" ref="CT77:CT117" si="753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26"/>
        <v>adrb1_melga_4GPO</v>
      </c>
      <c r="B78" s="3" t="s">
        <v>912</v>
      </c>
      <c r="C78" s="3" t="s">
        <v>1042</v>
      </c>
      <c r="D78" s="3" t="str">
        <f>IFERROR(MID(VLOOKUP($B78,Seqs!$A:$B,2,0),E78,1),"")</f>
        <v>S</v>
      </c>
      <c r="E78" s="3">
        <v>37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E</v>
      </c>
      <c r="AM78" s="3">
        <v>233</v>
      </c>
      <c r="AN78" s="3" t="str">
        <f>IFERROR(MID(VLOOKUP($B78,Seqs!$A:$B,2,0),AO78,1),"")</f>
        <v>M</v>
      </c>
      <c r="AO78" s="3">
        <v>283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L</v>
      </c>
      <c r="AY78" s="3">
        <v>356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si="727"/>
        <v>1</v>
      </c>
      <c r="BC78" s="23">
        <f t="shared" si="728"/>
        <v>246</v>
      </c>
      <c r="BD78" s="4" t="s">
        <v>23</v>
      </c>
      <c r="BE78" s="3" t="s">
        <v>1381</v>
      </c>
      <c r="BF78" s="121">
        <v>3.5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729"/>
        <v>37</v>
      </c>
      <c r="BW78" s="73">
        <f t="shared" si="730"/>
        <v>70</v>
      </c>
      <c r="BX78" s="74">
        <f t="shared" si="731"/>
        <v>74</v>
      </c>
      <c r="BY78" s="73">
        <f t="shared" si="732"/>
        <v>106</v>
      </c>
      <c r="BZ78" s="74">
        <f t="shared" si="733"/>
        <v>110</v>
      </c>
      <c r="CA78" s="73">
        <f t="shared" si="734"/>
        <v>146</v>
      </c>
      <c r="CB78" s="74">
        <f t="shared" si="735"/>
        <v>154</v>
      </c>
      <c r="CC78" s="73">
        <f t="shared" si="736"/>
        <v>199</v>
      </c>
      <c r="CD78" s="74">
        <f t="shared" si="737"/>
        <v>204</v>
      </c>
      <c r="CE78" s="73">
        <f t="shared" si="738"/>
        <v>283</v>
      </c>
      <c r="CF78" s="74">
        <f t="shared" si="739"/>
        <v>321</v>
      </c>
      <c r="CG78" s="73">
        <f t="shared" si="740"/>
        <v>346</v>
      </c>
      <c r="CH78" s="72">
        <f t="shared" si="741"/>
        <v>69</v>
      </c>
      <c r="CI78" s="73">
        <f t="shared" si="742"/>
        <v>73</v>
      </c>
      <c r="CJ78" s="74">
        <f t="shared" si="743"/>
        <v>104</v>
      </c>
      <c r="CK78" s="74">
        <f t="shared" si="744"/>
        <v>109</v>
      </c>
      <c r="CL78" s="74">
        <f t="shared" si="745"/>
        <v>145</v>
      </c>
      <c r="CM78" s="74">
        <f t="shared" si="746"/>
        <v>153</v>
      </c>
      <c r="CN78" s="74">
        <f t="shared" si="747"/>
        <v>180</v>
      </c>
      <c r="CO78" s="74">
        <f t="shared" si="748"/>
        <v>201</v>
      </c>
      <c r="CP78" s="74">
        <f t="shared" si="749"/>
        <v>233</v>
      </c>
      <c r="CQ78" s="74">
        <f t="shared" si="750"/>
        <v>316</v>
      </c>
      <c r="CR78" s="74">
        <f t="shared" si="751"/>
        <v>345</v>
      </c>
      <c r="CS78" s="74">
        <f t="shared" si="752"/>
        <v>356</v>
      </c>
      <c r="CT78" s="23">
        <f t="shared" si="753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26"/>
        <v>adrb1_melga_5A8E</v>
      </c>
      <c r="B79" s="3" t="s">
        <v>912</v>
      </c>
      <c r="C79" s="3" t="s">
        <v>1059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K</v>
      </c>
      <c r="AY79" s="3">
        <v>354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727"/>
        <v>1</v>
      </c>
      <c r="BC79" s="23">
        <f t="shared" si="728"/>
        <v>254</v>
      </c>
      <c r="BD79" s="4" t="s">
        <v>23</v>
      </c>
      <c r="BE79" s="3" t="s">
        <v>1381</v>
      </c>
      <c r="BF79" s="121">
        <v>2.42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729"/>
        <v>37</v>
      </c>
      <c r="BW79" s="73">
        <f t="shared" si="730"/>
        <v>70</v>
      </c>
      <c r="BX79" s="74">
        <f t="shared" si="731"/>
        <v>74</v>
      </c>
      <c r="BY79" s="73">
        <f t="shared" si="732"/>
        <v>106</v>
      </c>
      <c r="BZ79" s="74">
        <f t="shared" si="733"/>
        <v>110</v>
      </c>
      <c r="CA79" s="73">
        <f t="shared" si="734"/>
        <v>146</v>
      </c>
      <c r="CB79" s="74">
        <f t="shared" si="735"/>
        <v>154</v>
      </c>
      <c r="CC79" s="73">
        <f t="shared" si="736"/>
        <v>199</v>
      </c>
      <c r="CD79" s="74">
        <f t="shared" si="737"/>
        <v>204</v>
      </c>
      <c r="CE79" s="73">
        <f t="shared" si="738"/>
        <v>279</v>
      </c>
      <c r="CF79" s="74">
        <f t="shared" si="739"/>
        <v>321</v>
      </c>
      <c r="CG79" s="73">
        <f t="shared" si="740"/>
        <v>346</v>
      </c>
      <c r="CH79" s="72">
        <f t="shared" si="741"/>
        <v>69</v>
      </c>
      <c r="CI79" s="73">
        <f t="shared" si="742"/>
        <v>73</v>
      </c>
      <c r="CJ79" s="74">
        <f t="shared" si="743"/>
        <v>104</v>
      </c>
      <c r="CK79" s="74">
        <f t="shared" si="744"/>
        <v>109</v>
      </c>
      <c r="CL79" s="74">
        <f t="shared" si="745"/>
        <v>145</v>
      </c>
      <c r="CM79" s="74">
        <f t="shared" si="746"/>
        <v>153</v>
      </c>
      <c r="CN79" s="74">
        <f t="shared" si="747"/>
        <v>180</v>
      </c>
      <c r="CO79" s="74">
        <f t="shared" si="748"/>
        <v>201</v>
      </c>
      <c r="CP79" s="74">
        <f t="shared" si="749"/>
        <v>239</v>
      </c>
      <c r="CQ79" s="74">
        <f t="shared" si="750"/>
        <v>316</v>
      </c>
      <c r="CR79" s="74">
        <f t="shared" si="751"/>
        <v>345</v>
      </c>
      <c r="CS79" s="74">
        <f t="shared" si="752"/>
        <v>354</v>
      </c>
      <c r="CT79" s="23">
        <f t="shared" si="753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26"/>
        <v>adrb1_melga_5F8U</v>
      </c>
      <c r="B80" s="3" t="s">
        <v>912</v>
      </c>
      <c r="C80" s="3" t="s">
        <v>1360</v>
      </c>
      <c r="D80" s="3" t="str">
        <f>IFERROR(MID(VLOOKUP($B80,Seqs!$A:$B,2,0),E80,1),"")</f>
        <v>W</v>
      </c>
      <c r="E80" s="3">
        <v>40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Q</v>
      </c>
      <c r="AM80" s="3">
        <v>237</v>
      </c>
      <c r="AN80" s="3" t="str">
        <f>IFERROR(MID(VLOOKUP($B80,Seqs!$A:$B,2,0),AO80,1),"")</f>
        <v>R</v>
      </c>
      <c r="AO80" s="3">
        <v>284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727"/>
        <v>1</v>
      </c>
      <c r="BC80" s="23">
        <f t="shared" si="728"/>
        <v>248</v>
      </c>
      <c r="BD80" s="5" t="s">
        <v>23</v>
      </c>
      <c r="BE80" s="3" t="s">
        <v>1381</v>
      </c>
      <c r="BF80" s="121">
        <v>3.35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729"/>
        <v>40</v>
      </c>
      <c r="BW80" s="73">
        <f t="shared" si="730"/>
        <v>70</v>
      </c>
      <c r="BX80" s="74">
        <f t="shared" si="731"/>
        <v>74</v>
      </c>
      <c r="BY80" s="73">
        <f t="shared" si="732"/>
        <v>106</v>
      </c>
      <c r="BZ80" s="74">
        <f t="shared" si="733"/>
        <v>110</v>
      </c>
      <c r="CA80" s="73">
        <f t="shared" si="734"/>
        <v>146</v>
      </c>
      <c r="CB80" s="74">
        <f t="shared" si="735"/>
        <v>154</v>
      </c>
      <c r="CC80" s="73">
        <f t="shared" si="736"/>
        <v>199</v>
      </c>
      <c r="CD80" s="74">
        <f t="shared" si="737"/>
        <v>204</v>
      </c>
      <c r="CE80" s="73">
        <f t="shared" si="738"/>
        <v>284</v>
      </c>
      <c r="CF80" s="74">
        <f t="shared" si="739"/>
        <v>321</v>
      </c>
      <c r="CG80" s="73">
        <f t="shared" si="740"/>
        <v>346</v>
      </c>
      <c r="CH80" s="72">
        <f t="shared" si="741"/>
        <v>69</v>
      </c>
      <c r="CI80" s="73">
        <f t="shared" si="742"/>
        <v>73</v>
      </c>
      <c r="CJ80" s="74">
        <f t="shared" si="743"/>
        <v>104</v>
      </c>
      <c r="CK80" s="74">
        <f t="shared" si="744"/>
        <v>109</v>
      </c>
      <c r="CL80" s="74">
        <f t="shared" si="745"/>
        <v>145</v>
      </c>
      <c r="CM80" s="74">
        <f t="shared" si="746"/>
        <v>153</v>
      </c>
      <c r="CN80" s="74">
        <f t="shared" si="747"/>
        <v>180</v>
      </c>
      <c r="CO80" s="74">
        <f t="shared" si="748"/>
        <v>201</v>
      </c>
      <c r="CP80" s="74">
        <f t="shared" si="749"/>
        <v>237</v>
      </c>
      <c r="CQ80" s="74">
        <f t="shared" si="750"/>
        <v>316</v>
      </c>
      <c r="CR80" s="74">
        <f t="shared" si="751"/>
        <v>345</v>
      </c>
      <c r="CS80" s="74">
        <f t="shared" si="752"/>
        <v>358</v>
      </c>
      <c r="CT80" s="23">
        <f t="shared" si="753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26"/>
        <v>adrb2_human__wt</v>
      </c>
      <c r="B81" s="3" t="s">
        <v>126</v>
      </c>
      <c r="C81" s="3" t="s">
        <v>100</v>
      </c>
      <c r="D81" s="3" t="str">
        <f>IFERROR(MID(VLOOKUP($B81,Seqs!$A:$B,2,0),E81,1),"")</f>
        <v>Q</v>
      </c>
      <c r="E81" s="3">
        <v>26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>P</v>
      </c>
      <c r="Y81" s="3">
        <v>138</v>
      </c>
      <c r="Z81" s="3" t="str">
        <f>IFERROR(MID(VLOOKUP($B81,Seqs!$A:$B,2,0),AA81,1),"")</f>
        <v>L</v>
      </c>
      <c r="AA81" s="3">
        <v>145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E</v>
      </c>
      <c r="AM81" s="3">
        <v>237</v>
      </c>
      <c r="AN81" s="3" t="str">
        <f>IFERROR(MID(VLOOKUP($B81,Seqs!$A:$B,2,0),AO81,1),"")</f>
        <v>S</v>
      </c>
      <c r="AO81" s="3">
        <v>262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727"/>
        <v>1</v>
      </c>
      <c r="BC81" s="23">
        <f t="shared" si="728"/>
        <v>267</v>
      </c>
      <c r="BD81" s="57" t="s">
        <v>1379</v>
      </c>
      <c r="BE81" s="3" t="s">
        <v>23</v>
      </c>
      <c r="BF81" s="121" t="s">
        <v>23</v>
      </c>
      <c r="BG81" s="50" t="s">
        <v>1379</v>
      </c>
      <c r="BH81" s="50" t="s">
        <v>1384</v>
      </c>
      <c r="BI81" s="3" t="s">
        <v>1166</v>
      </c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729"/>
        <v>26</v>
      </c>
      <c r="BW81" s="73">
        <f t="shared" si="730"/>
        <v>62</v>
      </c>
      <c r="BX81" s="74">
        <f t="shared" si="731"/>
        <v>66</v>
      </c>
      <c r="BY81" s="73">
        <f t="shared" si="732"/>
        <v>98</v>
      </c>
      <c r="BZ81" s="74">
        <f t="shared" si="733"/>
        <v>102</v>
      </c>
      <c r="CA81" s="73">
        <f t="shared" si="734"/>
        <v>138</v>
      </c>
      <c r="CB81" s="74">
        <f t="shared" si="735"/>
        <v>146</v>
      </c>
      <c r="CC81" s="73">
        <f t="shared" si="736"/>
        <v>191</v>
      </c>
      <c r="CD81" s="74">
        <f t="shared" si="737"/>
        <v>196</v>
      </c>
      <c r="CE81" s="73">
        <f t="shared" si="738"/>
        <v>262</v>
      </c>
      <c r="CF81" s="74">
        <f t="shared" si="739"/>
        <v>304</v>
      </c>
      <c r="CG81" s="73">
        <f t="shared" si="740"/>
        <v>329</v>
      </c>
      <c r="CH81" s="72">
        <f t="shared" si="741"/>
        <v>61</v>
      </c>
      <c r="CI81" s="73">
        <f t="shared" si="742"/>
        <v>65</v>
      </c>
      <c r="CJ81" s="74">
        <f t="shared" si="743"/>
        <v>96</v>
      </c>
      <c r="CK81" s="74">
        <f t="shared" si="744"/>
        <v>101</v>
      </c>
      <c r="CL81" s="74">
        <f t="shared" si="745"/>
        <v>137</v>
      </c>
      <c r="CM81" s="74">
        <f t="shared" si="746"/>
        <v>145</v>
      </c>
      <c r="CN81" s="74">
        <f t="shared" si="747"/>
        <v>172</v>
      </c>
      <c r="CO81" s="74">
        <f t="shared" si="748"/>
        <v>193</v>
      </c>
      <c r="CP81" s="74">
        <f t="shared" si="749"/>
        <v>237</v>
      </c>
      <c r="CQ81" s="74">
        <f t="shared" si="750"/>
        <v>299</v>
      </c>
      <c r="CR81" s="74">
        <f t="shared" si="751"/>
        <v>328</v>
      </c>
      <c r="CS81" s="74">
        <f t="shared" si="752"/>
        <v>341</v>
      </c>
      <c r="CT81" s="23">
        <f t="shared" si="753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26"/>
        <v>adrb2_human_2RH1</v>
      </c>
      <c r="B82" s="3" t="s">
        <v>126</v>
      </c>
      <c r="C82" s="3" t="s">
        <v>75</v>
      </c>
      <c r="D82" s="3" t="str">
        <f>IFERROR(MID(VLOOKUP($B82,Seqs!$A:$B,2,0),E82,1),"")</f>
        <v>D</v>
      </c>
      <c r="E82" s="3">
        <v>29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Q</v>
      </c>
      <c r="AM82" s="3">
        <v>229</v>
      </c>
      <c r="AN82" s="3" t="str">
        <f>IFERROR(MID(VLOOKUP($B82,Seqs!$A:$B,2,0),AO82,1),"")</f>
        <v>K</v>
      </c>
      <c r="AO82" s="3">
        <v>267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727"/>
        <v>1</v>
      </c>
      <c r="BC82" s="23">
        <f t="shared" si="728"/>
        <v>244</v>
      </c>
      <c r="BD82" s="4" t="s">
        <v>23</v>
      </c>
      <c r="BE82" s="3" t="s">
        <v>1381</v>
      </c>
      <c r="BF82" s="121">
        <v>2.4</v>
      </c>
      <c r="BG82" s="50" t="s">
        <v>1384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729"/>
        <v>29</v>
      </c>
      <c r="BW82" s="73">
        <f t="shared" si="730"/>
        <v>62</v>
      </c>
      <c r="BX82" s="74">
        <f t="shared" si="731"/>
        <v>66</v>
      </c>
      <c r="BY82" s="73">
        <f t="shared" si="732"/>
        <v>98</v>
      </c>
      <c r="BZ82" s="74">
        <f t="shared" si="733"/>
        <v>102</v>
      </c>
      <c r="CA82" s="73" t="str">
        <f t="shared" si="734"/>
        <v>-</v>
      </c>
      <c r="CB82" s="74">
        <f t="shared" si="735"/>
        <v>146</v>
      </c>
      <c r="CC82" s="73">
        <f t="shared" si="736"/>
        <v>191</v>
      </c>
      <c r="CD82" s="74">
        <f t="shared" si="737"/>
        <v>196</v>
      </c>
      <c r="CE82" s="73">
        <f t="shared" si="738"/>
        <v>267</v>
      </c>
      <c r="CF82" s="74">
        <f t="shared" si="739"/>
        <v>304</v>
      </c>
      <c r="CG82" s="73">
        <f t="shared" si="740"/>
        <v>329</v>
      </c>
      <c r="CH82" s="72">
        <f t="shared" si="741"/>
        <v>61</v>
      </c>
      <c r="CI82" s="73">
        <f t="shared" si="742"/>
        <v>65</v>
      </c>
      <c r="CJ82" s="74">
        <f t="shared" si="743"/>
        <v>96</v>
      </c>
      <c r="CK82" s="74">
        <f t="shared" si="744"/>
        <v>101</v>
      </c>
      <c r="CL82" s="74">
        <f t="shared" si="745"/>
        <v>137</v>
      </c>
      <c r="CM82" s="74" t="str">
        <f t="shared" si="746"/>
        <v>-</v>
      </c>
      <c r="CN82" s="74">
        <f t="shared" si="747"/>
        <v>172</v>
      </c>
      <c r="CO82" s="74">
        <f t="shared" si="748"/>
        <v>193</v>
      </c>
      <c r="CP82" s="74">
        <f t="shared" si="749"/>
        <v>229</v>
      </c>
      <c r="CQ82" s="74">
        <f t="shared" si="750"/>
        <v>299</v>
      </c>
      <c r="CR82" s="74">
        <f t="shared" si="751"/>
        <v>328</v>
      </c>
      <c r="CS82" s="74">
        <f t="shared" si="752"/>
        <v>341</v>
      </c>
      <c r="CT82" s="23">
        <f t="shared" si="753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26"/>
        <v>adrb2_human_3D4S</v>
      </c>
      <c r="B83" s="3" t="s">
        <v>126</v>
      </c>
      <c r="C83" s="3" t="s">
        <v>76</v>
      </c>
      <c r="D83" s="3" t="str">
        <f>IFERROR(MID(VLOOKUP($B83,Seqs!$A:$B,2,0),E83,1),"")</f>
        <v>W</v>
      </c>
      <c r="E83" s="3">
        <v>32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Q</v>
      </c>
      <c r="AM83" s="3">
        <v>229</v>
      </c>
      <c r="AN83" s="3" t="str">
        <f>IFERROR(MID(VLOOKUP($B83,Seqs!$A:$B,2,0),AO83,1),"")</f>
        <v>K</v>
      </c>
      <c r="AO83" s="3">
        <v>267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727"/>
        <v>1</v>
      </c>
      <c r="BC83" s="23">
        <f t="shared" si="728"/>
        <v>241</v>
      </c>
      <c r="BD83" s="4" t="s">
        <v>23</v>
      </c>
      <c r="BE83" s="3" t="s">
        <v>1381</v>
      </c>
      <c r="BF83" s="121">
        <v>2.8</v>
      </c>
      <c r="BG83" s="50" t="s">
        <v>1384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729"/>
        <v>32</v>
      </c>
      <c r="BW83" s="73">
        <f t="shared" si="730"/>
        <v>62</v>
      </c>
      <c r="BX83" s="74">
        <f t="shared" si="731"/>
        <v>66</v>
      </c>
      <c r="BY83" s="73">
        <f t="shared" si="732"/>
        <v>98</v>
      </c>
      <c r="BZ83" s="74">
        <f t="shared" si="733"/>
        <v>102</v>
      </c>
      <c r="CA83" s="73" t="str">
        <f t="shared" si="734"/>
        <v>-</v>
      </c>
      <c r="CB83" s="74">
        <f t="shared" si="735"/>
        <v>146</v>
      </c>
      <c r="CC83" s="73">
        <f t="shared" si="736"/>
        <v>191</v>
      </c>
      <c r="CD83" s="74">
        <f t="shared" si="737"/>
        <v>196</v>
      </c>
      <c r="CE83" s="73">
        <f t="shared" si="738"/>
        <v>267</v>
      </c>
      <c r="CF83" s="74">
        <f t="shared" si="739"/>
        <v>304</v>
      </c>
      <c r="CG83" s="73">
        <f t="shared" si="740"/>
        <v>329</v>
      </c>
      <c r="CH83" s="72">
        <f t="shared" si="741"/>
        <v>61</v>
      </c>
      <c r="CI83" s="73">
        <f t="shared" si="742"/>
        <v>65</v>
      </c>
      <c r="CJ83" s="74">
        <f t="shared" si="743"/>
        <v>96</v>
      </c>
      <c r="CK83" s="74">
        <f t="shared" si="744"/>
        <v>101</v>
      </c>
      <c r="CL83" s="74">
        <f t="shared" si="745"/>
        <v>137</v>
      </c>
      <c r="CM83" s="74" t="str">
        <f t="shared" si="746"/>
        <v>-</v>
      </c>
      <c r="CN83" s="74">
        <f t="shared" si="747"/>
        <v>172</v>
      </c>
      <c r="CO83" s="74">
        <f t="shared" si="748"/>
        <v>193</v>
      </c>
      <c r="CP83" s="74">
        <f t="shared" si="749"/>
        <v>229</v>
      </c>
      <c r="CQ83" s="74">
        <f t="shared" si="750"/>
        <v>299</v>
      </c>
      <c r="CR83" s="74">
        <f t="shared" si="751"/>
        <v>328</v>
      </c>
      <c r="CS83" s="74">
        <f t="shared" si="752"/>
        <v>341</v>
      </c>
      <c r="CT83" s="23">
        <f t="shared" si="753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26"/>
        <v>adrb2_human_3NY8</v>
      </c>
      <c r="B84" s="3" t="s">
        <v>126</v>
      </c>
      <c r="C84" s="3" t="s">
        <v>1339</v>
      </c>
      <c r="D84" s="3" t="str">
        <f>IFERROR(MID(VLOOKUP($B84,Seqs!$A:$B,2,0),E84,1),"")</f>
        <v>W</v>
      </c>
      <c r="E84" s="3">
        <v>32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si="727"/>
        <v>1</v>
      </c>
      <c r="BC84" s="23">
        <f t="shared" si="728"/>
        <v>241</v>
      </c>
      <c r="BD84" s="4" t="s">
        <v>23</v>
      </c>
      <c r="BE84" s="3" t="s">
        <v>1381</v>
      </c>
      <c r="BF84" s="121">
        <v>2.84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729"/>
        <v>32</v>
      </c>
      <c r="BW84" s="73">
        <f t="shared" si="730"/>
        <v>62</v>
      </c>
      <c r="BX84" s="74">
        <f t="shared" si="731"/>
        <v>66</v>
      </c>
      <c r="BY84" s="73">
        <f t="shared" si="732"/>
        <v>98</v>
      </c>
      <c r="BZ84" s="74">
        <f t="shared" si="733"/>
        <v>102</v>
      </c>
      <c r="CA84" s="73" t="str">
        <f t="shared" si="734"/>
        <v>-</v>
      </c>
      <c r="CB84" s="74">
        <f t="shared" si="735"/>
        <v>146</v>
      </c>
      <c r="CC84" s="73">
        <f t="shared" si="736"/>
        <v>191</v>
      </c>
      <c r="CD84" s="74">
        <f t="shared" si="737"/>
        <v>196</v>
      </c>
      <c r="CE84" s="73">
        <f t="shared" si="738"/>
        <v>267</v>
      </c>
      <c r="CF84" s="74">
        <f t="shared" si="739"/>
        <v>304</v>
      </c>
      <c r="CG84" s="73">
        <f t="shared" si="740"/>
        <v>329</v>
      </c>
      <c r="CH84" s="72">
        <f t="shared" si="741"/>
        <v>61</v>
      </c>
      <c r="CI84" s="73">
        <f t="shared" si="742"/>
        <v>65</v>
      </c>
      <c r="CJ84" s="74">
        <f t="shared" si="743"/>
        <v>96</v>
      </c>
      <c r="CK84" s="74">
        <f t="shared" si="744"/>
        <v>101</v>
      </c>
      <c r="CL84" s="74">
        <f t="shared" si="745"/>
        <v>137</v>
      </c>
      <c r="CM84" s="74" t="str">
        <f t="shared" si="746"/>
        <v>-</v>
      </c>
      <c r="CN84" s="74">
        <f t="shared" si="747"/>
        <v>172</v>
      </c>
      <c r="CO84" s="74">
        <f t="shared" si="748"/>
        <v>193</v>
      </c>
      <c r="CP84" s="74">
        <f t="shared" si="749"/>
        <v>229</v>
      </c>
      <c r="CQ84" s="74">
        <f t="shared" si="750"/>
        <v>299</v>
      </c>
      <c r="CR84" s="74">
        <f t="shared" si="751"/>
        <v>328</v>
      </c>
      <c r="CS84" s="74">
        <f t="shared" si="752"/>
        <v>341</v>
      </c>
      <c r="CT84" s="23">
        <f t="shared" si="753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26"/>
        <v>adrb2_human_3NY9</v>
      </c>
      <c r="B85" s="3" t="s">
        <v>126</v>
      </c>
      <c r="C85" s="3" t="s">
        <v>1030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9" t="str">
        <f>VLOOKUP(B85,Classification!A:D,2,0)</f>
        <v>A</v>
      </c>
      <c r="BA85" s="96" t="str">
        <f>VLOOKUP(B85,Classification!A:D,4,0)</f>
        <v>Adrenoceptors</v>
      </c>
      <c r="BB85" s="27" t="b">
        <f t="shared" si="727"/>
        <v>1</v>
      </c>
      <c r="BC85" s="23">
        <f t="shared" si="728"/>
        <v>241</v>
      </c>
      <c r="BD85" s="4" t="s">
        <v>23</v>
      </c>
      <c r="BE85" s="3" t="s">
        <v>1381</v>
      </c>
      <c r="BF85" s="121">
        <v>2.84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729"/>
        <v>32</v>
      </c>
      <c r="BW85" s="73">
        <f t="shared" si="730"/>
        <v>62</v>
      </c>
      <c r="BX85" s="74">
        <f t="shared" si="731"/>
        <v>66</v>
      </c>
      <c r="BY85" s="73">
        <f t="shared" si="732"/>
        <v>98</v>
      </c>
      <c r="BZ85" s="74">
        <f t="shared" si="733"/>
        <v>102</v>
      </c>
      <c r="CA85" s="73" t="str">
        <f t="shared" si="734"/>
        <v>-</v>
      </c>
      <c r="CB85" s="74">
        <f t="shared" si="735"/>
        <v>146</v>
      </c>
      <c r="CC85" s="73">
        <f t="shared" si="736"/>
        <v>191</v>
      </c>
      <c r="CD85" s="74">
        <f t="shared" si="737"/>
        <v>196</v>
      </c>
      <c r="CE85" s="73">
        <f t="shared" si="738"/>
        <v>267</v>
      </c>
      <c r="CF85" s="74">
        <f t="shared" si="739"/>
        <v>304</v>
      </c>
      <c r="CG85" s="73">
        <f t="shared" si="740"/>
        <v>329</v>
      </c>
      <c r="CH85" s="72">
        <f t="shared" si="741"/>
        <v>61</v>
      </c>
      <c r="CI85" s="73">
        <f t="shared" si="742"/>
        <v>65</v>
      </c>
      <c r="CJ85" s="74">
        <f t="shared" si="743"/>
        <v>96</v>
      </c>
      <c r="CK85" s="74">
        <f t="shared" si="744"/>
        <v>101</v>
      </c>
      <c r="CL85" s="74">
        <f t="shared" si="745"/>
        <v>137</v>
      </c>
      <c r="CM85" s="74" t="str">
        <f t="shared" si="746"/>
        <v>-</v>
      </c>
      <c r="CN85" s="74">
        <f t="shared" si="747"/>
        <v>172</v>
      </c>
      <c r="CO85" s="74">
        <f t="shared" si="748"/>
        <v>193</v>
      </c>
      <c r="CP85" s="74">
        <f t="shared" si="749"/>
        <v>229</v>
      </c>
      <c r="CQ85" s="74">
        <f t="shared" si="750"/>
        <v>299</v>
      </c>
      <c r="CR85" s="74">
        <f t="shared" si="751"/>
        <v>328</v>
      </c>
      <c r="CS85" s="74">
        <f t="shared" si="752"/>
        <v>341</v>
      </c>
      <c r="CT85" s="23">
        <f t="shared" si="753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26"/>
        <v>adrb2_human_3NYA</v>
      </c>
      <c r="B86" s="3" t="s">
        <v>126</v>
      </c>
      <c r="C86" s="3" t="s">
        <v>1340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9" t="str">
        <f>VLOOKUP(B86,Classification!A:D,2,0)</f>
        <v>A</v>
      </c>
      <c r="BA86" s="96" t="str">
        <f>VLOOKUP(B86,Classification!A:D,4,0)</f>
        <v>Adrenoceptors</v>
      </c>
      <c r="BB86" s="27" t="b">
        <f t="shared" si="727"/>
        <v>1</v>
      </c>
      <c r="BC86" s="23">
        <f t="shared" si="728"/>
        <v>241</v>
      </c>
      <c r="BD86" s="4" t="s">
        <v>23</v>
      </c>
      <c r="BE86" s="3" t="s">
        <v>1381</v>
      </c>
      <c r="BF86" s="121">
        <v>3.16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729"/>
        <v>32</v>
      </c>
      <c r="BW86" s="73">
        <f t="shared" si="730"/>
        <v>62</v>
      </c>
      <c r="BX86" s="74">
        <f t="shared" si="731"/>
        <v>66</v>
      </c>
      <c r="BY86" s="73">
        <f t="shared" si="732"/>
        <v>98</v>
      </c>
      <c r="BZ86" s="74">
        <f t="shared" si="733"/>
        <v>102</v>
      </c>
      <c r="CA86" s="73" t="str">
        <f t="shared" si="734"/>
        <v>-</v>
      </c>
      <c r="CB86" s="74">
        <f t="shared" si="735"/>
        <v>146</v>
      </c>
      <c r="CC86" s="73">
        <f t="shared" si="736"/>
        <v>191</v>
      </c>
      <c r="CD86" s="74">
        <f t="shared" si="737"/>
        <v>196</v>
      </c>
      <c r="CE86" s="73">
        <f t="shared" si="738"/>
        <v>267</v>
      </c>
      <c r="CF86" s="74">
        <f t="shared" si="739"/>
        <v>304</v>
      </c>
      <c r="CG86" s="73">
        <f t="shared" si="740"/>
        <v>329</v>
      </c>
      <c r="CH86" s="72">
        <f t="shared" si="741"/>
        <v>61</v>
      </c>
      <c r="CI86" s="73">
        <f t="shared" si="742"/>
        <v>65</v>
      </c>
      <c r="CJ86" s="74">
        <f t="shared" si="743"/>
        <v>96</v>
      </c>
      <c r="CK86" s="74">
        <f t="shared" si="744"/>
        <v>101</v>
      </c>
      <c r="CL86" s="74">
        <f t="shared" si="745"/>
        <v>137</v>
      </c>
      <c r="CM86" s="74" t="str">
        <f t="shared" si="746"/>
        <v>-</v>
      </c>
      <c r="CN86" s="74">
        <f t="shared" si="747"/>
        <v>172</v>
      </c>
      <c r="CO86" s="74">
        <f t="shared" si="748"/>
        <v>193</v>
      </c>
      <c r="CP86" s="74">
        <f t="shared" si="749"/>
        <v>229</v>
      </c>
      <c r="CQ86" s="74">
        <f t="shared" si="750"/>
        <v>299</v>
      </c>
      <c r="CR86" s="74">
        <f t="shared" si="751"/>
        <v>328</v>
      </c>
      <c r="CS86" s="74">
        <f t="shared" si="752"/>
        <v>341</v>
      </c>
      <c r="CT86" s="23">
        <f t="shared" si="753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26"/>
        <v>adrb2_human_3P0G</v>
      </c>
      <c r="B87" s="3" t="s">
        <v>126</v>
      </c>
      <c r="C87" s="3" t="s">
        <v>66</v>
      </c>
      <c r="D87" s="3" t="str">
        <f>IFERROR(MID(VLOOKUP($B87,Seqs!$A:$B,2,0),E87,1),"")</f>
        <v>Q</v>
      </c>
      <c r="E87" s="3">
        <v>26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>P</v>
      </c>
      <c r="Y87" s="3">
        <v>138</v>
      </c>
      <c r="Z87" s="3" t="str">
        <f>IFERROR(MID(VLOOKUP($B87,Seqs!$A:$B,2,0),AA87,1),"")</f>
        <v>L</v>
      </c>
      <c r="AA87" s="3">
        <v>145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A</v>
      </c>
      <c r="AM87" s="3">
        <v>226</v>
      </c>
      <c r="AN87" s="3" t="str">
        <f>IFERROR(MID(VLOOKUP($B87,Seqs!$A:$B,2,0),AO87,1),"")</f>
        <v>H</v>
      </c>
      <c r="AO87" s="3">
        <v>269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9" t="str">
        <f>VLOOKUP(B87,Classification!A:D,2,0)</f>
        <v>A</v>
      </c>
      <c r="BA87" s="96" t="str">
        <f>VLOOKUP(B87,Classification!A:D,4,0)</f>
        <v>Adrenoceptors</v>
      </c>
      <c r="BB87" s="27" t="b">
        <f t="shared" si="727"/>
        <v>1</v>
      </c>
      <c r="BC87" s="23">
        <f t="shared" si="728"/>
        <v>249</v>
      </c>
      <c r="BD87" s="16" t="s">
        <v>23</v>
      </c>
      <c r="BE87" s="3" t="s">
        <v>1297</v>
      </c>
      <c r="BF87" s="121">
        <v>3.5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729"/>
        <v>26</v>
      </c>
      <c r="BW87" s="73">
        <f t="shared" si="730"/>
        <v>62</v>
      </c>
      <c r="BX87" s="74">
        <f t="shared" si="731"/>
        <v>66</v>
      </c>
      <c r="BY87" s="73">
        <f t="shared" si="732"/>
        <v>98</v>
      </c>
      <c r="BZ87" s="74">
        <f t="shared" si="733"/>
        <v>102</v>
      </c>
      <c r="CA87" s="73">
        <f t="shared" si="734"/>
        <v>138</v>
      </c>
      <c r="CB87" s="74">
        <f t="shared" si="735"/>
        <v>146</v>
      </c>
      <c r="CC87" s="73">
        <f t="shared" si="736"/>
        <v>191</v>
      </c>
      <c r="CD87" s="74">
        <f t="shared" si="737"/>
        <v>196</v>
      </c>
      <c r="CE87" s="73">
        <f t="shared" si="738"/>
        <v>269</v>
      </c>
      <c r="CF87" s="74">
        <f t="shared" si="739"/>
        <v>304</v>
      </c>
      <c r="CG87" s="73">
        <f t="shared" si="740"/>
        <v>329</v>
      </c>
      <c r="CH87" s="72">
        <f t="shared" si="741"/>
        <v>61</v>
      </c>
      <c r="CI87" s="73">
        <f t="shared" si="742"/>
        <v>65</v>
      </c>
      <c r="CJ87" s="74">
        <f t="shared" si="743"/>
        <v>96</v>
      </c>
      <c r="CK87" s="74">
        <f t="shared" si="744"/>
        <v>101</v>
      </c>
      <c r="CL87" s="74">
        <f t="shared" si="745"/>
        <v>137</v>
      </c>
      <c r="CM87" s="74">
        <f t="shared" si="746"/>
        <v>145</v>
      </c>
      <c r="CN87" s="74">
        <f t="shared" si="747"/>
        <v>172</v>
      </c>
      <c r="CO87" s="74">
        <f t="shared" si="748"/>
        <v>193</v>
      </c>
      <c r="CP87" s="74">
        <f t="shared" si="749"/>
        <v>226</v>
      </c>
      <c r="CQ87" s="74">
        <f t="shared" si="750"/>
        <v>299</v>
      </c>
      <c r="CR87" s="74">
        <f t="shared" si="751"/>
        <v>328</v>
      </c>
      <c r="CS87" s="74">
        <f t="shared" si="752"/>
        <v>341</v>
      </c>
      <c r="CT87" s="23">
        <f t="shared" si="753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26"/>
        <v>adrb2_human_3PDS</v>
      </c>
      <c r="B88" s="3" t="s">
        <v>126</v>
      </c>
      <c r="C88" s="3" t="s">
        <v>1341</v>
      </c>
      <c r="D88" s="3" t="str">
        <f>IFERROR(MID(VLOOKUP($B88,Seqs!$A:$B,2,0),E88,1),"")</f>
        <v>D</v>
      </c>
      <c r="E88" s="3">
        <v>29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L</v>
      </c>
      <c r="AO88" s="3">
        <v>266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9" t="str">
        <f>VLOOKUP(B88,Classification!A:D,2,0)</f>
        <v>A</v>
      </c>
      <c r="BA88" s="96" t="str">
        <f>VLOOKUP(B88,Classification!A:D,4,0)</f>
        <v>Adrenoceptors</v>
      </c>
      <c r="BB88" s="27" t="b">
        <f t="shared" si="727"/>
        <v>1</v>
      </c>
      <c r="BC88" s="23">
        <f t="shared" si="728"/>
        <v>245</v>
      </c>
      <c r="BD88" s="5" t="s">
        <v>23</v>
      </c>
      <c r="BE88" s="3" t="s">
        <v>1381</v>
      </c>
      <c r="BF88" s="121">
        <v>3.5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729"/>
        <v>29</v>
      </c>
      <c r="BW88" s="73">
        <f t="shared" si="730"/>
        <v>62</v>
      </c>
      <c r="BX88" s="74">
        <f t="shared" si="731"/>
        <v>66</v>
      </c>
      <c r="BY88" s="73">
        <f t="shared" si="732"/>
        <v>98</v>
      </c>
      <c r="BZ88" s="74">
        <f t="shared" si="733"/>
        <v>102</v>
      </c>
      <c r="CA88" s="73" t="str">
        <f t="shared" si="734"/>
        <v>-</v>
      </c>
      <c r="CB88" s="74">
        <f t="shared" si="735"/>
        <v>146</v>
      </c>
      <c r="CC88" s="73">
        <f t="shared" si="736"/>
        <v>191</v>
      </c>
      <c r="CD88" s="74">
        <f t="shared" si="737"/>
        <v>196</v>
      </c>
      <c r="CE88" s="73">
        <f t="shared" si="738"/>
        <v>266</v>
      </c>
      <c r="CF88" s="74">
        <f t="shared" si="739"/>
        <v>304</v>
      </c>
      <c r="CG88" s="73">
        <f t="shared" si="740"/>
        <v>329</v>
      </c>
      <c r="CH88" s="72">
        <f t="shared" si="741"/>
        <v>61</v>
      </c>
      <c r="CI88" s="73">
        <f t="shared" si="742"/>
        <v>65</v>
      </c>
      <c r="CJ88" s="74">
        <f t="shared" si="743"/>
        <v>96</v>
      </c>
      <c r="CK88" s="74">
        <f t="shared" si="744"/>
        <v>101</v>
      </c>
      <c r="CL88" s="74">
        <f t="shared" si="745"/>
        <v>137</v>
      </c>
      <c r="CM88" s="74" t="str">
        <f t="shared" si="746"/>
        <v>-</v>
      </c>
      <c r="CN88" s="74">
        <f t="shared" si="747"/>
        <v>172</v>
      </c>
      <c r="CO88" s="74">
        <f t="shared" si="748"/>
        <v>193</v>
      </c>
      <c r="CP88" s="74">
        <f t="shared" si="749"/>
        <v>229</v>
      </c>
      <c r="CQ88" s="74">
        <f t="shared" si="750"/>
        <v>299</v>
      </c>
      <c r="CR88" s="74">
        <f t="shared" si="751"/>
        <v>328</v>
      </c>
      <c r="CS88" s="74">
        <f t="shared" si="752"/>
        <v>341</v>
      </c>
      <c r="CT88" s="23">
        <f t="shared" si="753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ht="17" customHeight="1" x14ac:dyDescent="0.2">
      <c r="A89" s="3" t="str">
        <f t="shared" si="726"/>
        <v>adrb2_human_3SN6</v>
      </c>
      <c r="B89" s="3" t="s">
        <v>126</v>
      </c>
      <c r="C89" s="3" t="s">
        <v>85</v>
      </c>
      <c r="D89" s="3" t="str">
        <f>IFERROR(MID(VLOOKUP($B89,Seqs!$A:$B,2,0),E89,1),"")</f>
        <v>D</v>
      </c>
      <c r="E89" s="3">
        <v>29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E</v>
      </c>
      <c r="AM89" s="3">
        <v>237</v>
      </c>
      <c r="AN89" s="3" t="str">
        <f>IFERROR(MID(VLOOKUP($B89,Seqs!$A:$B,2,0),AO89,1),"")</f>
        <v>C</v>
      </c>
      <c r="AO89" s="3">
        <v>265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9" t="str">
        <f>VLOOKUP(B89,Classification!A:D,2,0)</f>
        <v>A</v>
      </c>
      <c r="BA89" s="96" t="str">
        <f>VLOOKUP(B89,Classification!A:D,4,0)</f>
        <v>Adrenoceptors</v>
      </c>
      <c r="BB89" s="27" t="b">
        <f t="shared" si="727"/>
        <v>1</v>
      </c>
      <c r="BC89" s="23">
        <f t="shared" si="728"/>
        <v>261</v>
      </c>
      <c r="BD89" s="4" t="s">
        <v>1382</v>
      </c>
      <c r="BE89" s="3" t="s">
        <v>1297</v>
      </c>
      <c r="BF89" s="121">
        <v>3.2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729"/>
        <v>29</v>
      </c>
      <c r="BW89" s="73">
        <f t="shared" si="730"/>
        <v>62</v>
      </c>
      <c r="BX89" s="74">
        <f t="shared" si="731"/>
        <v>66</v>
      </c>
      <c r="BY89" s="73">
        <f t="shared" si="732"/>
        <v>98</v>
      </c>
      <c r="BZ89" s="74">
        <f t="shared" si="733"/>
        <v>102</v>
      </c>
      <c r="CA89" s="73">
        <f t="shared" si="734"/>
        <v>138</v>
      </c>
      <c r="CB89" s="74">
        <f t="shared" si="735"/>
        <v>146</v>
      </c>
      <c r="CC89" s="73">
        <f t="shared" si="736"/>
        <v>191</v>
      </c>
      <c r="CD89" s="74">
        <f t="shared" si="737"/>
        <v>196</v>
      </c>
      <c r="CE89" s="73">
        <f t="shared" si="738"/>
        <v>265</v>
      </c>
      <c r="CF89" s="74">
        <f t="shared" si="739"/>
        <v>304</v>
      </c>
      <c r="CG89" s="73">
        <f t="shared" si="740"/>
        <v>329</v>
      </c>
      <c r="CH89" s="72">
        <f t="shared" si="741"/>
        <v>61</v>
      </c>
      <c r="CI89" s="73">
        <f t="shared" si="742"/>
        <v>65</v>
      </c>
      <c r="CJ89" s="74">
        <f t="shared" si="743"/>
        <v>96</v>
      </c>
      <c r="CK89" s="74">
        <f t="shared" si="744"/>
        <v>101</v>
      </c>
      <c r="CL89" s="74">
        <f t="shared" si="745"/>
        <v>137</v>
      </c>
      <c r="CM89" s="74">
        <f t="shared" si="746"/>
        <v>145</v>
      </c>
      <c r="CN89" s="74">
        <f t="shared" si="747"/>
        <v>172</v>
      </c>
      <c r="CO89" s="74">
        <f t="shared" si="748"/>
        <v>193</v>
      </c>
      <c r="CP89" s="74">
        <f t="shared" si="749"/>
        <v>237</v>
      </c>
      <c r="CQ89" s="74">
        <f t="shared" si="750"/>
        <v>299</v>
      </c>
      <c r="CR89" s="74">
        <f t="shared" si="751"/>
        <v>328</v>
      </c>
      <c r="CS89" s="74">
        <f t="shared" si="752"/>
        <v>341</v>
      </c>
      <c r="CT89" s="23">
        <f t="shared" si="753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:A141" si="754">CONCATENATE(B90,"_",C90)</f>
        <v>adrb2_human_4LDE</v>
      </c>
      <c r="B90" s="3" t="s">
        <v>126</v>
      </c>
      <c r="C90" s="3" t="s">
        <v>77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>P</v>
      </c>
      <c r="Y90" s="3">
        <v>138</v>
      </c>
      <c r="Z90" s="3" t="str">
        <f>IFERROR(MID(VLOOKUP($B90,Seqs!$A:$B,2,0),AA90,1),"")</f>
        <v>L</v>
      </c>
      <c r="AA90" s="3">
        <v>145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E</v>
      </c>
      <c r="AM90" s="3">
        <v>225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9" t="str">
        <f>VLOOKUP(B90,Classification!A:D,2,0)</f>
        <v>A</v>
      </c>
      <c r="BA90" s="96" t="str">
        <f>VLOOKUP(B90,Classification!A:D,4,0)</f>
        <v>Adrenoceptors</v>
      </c>
      <c r="BB90" s="27" t="b">
        <f t="shared" ref="BB90:BB141" si="755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si="728"/>
        <v>248</v>
      </c>
      <c r="BD90" s="4" t="s">
        <v>23</v>
      </c>
      <c r="BE90" s="3" t="s">
        <v>1297</v>
      </c>
      <c r="BF90" s="121">
        <v>2.79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729"/>
        <v>29</v>
      </c>
      <c r="BW90" s="73">
        <f t="shared" si="730"/>
        <v>62</v>
      </c>
      <c r="BX90" s="74">
        <f t="shared" si="731"/>
        <v>66</v>
      </c>
      <c r="BY90" s="73">
        <f t="shared" si="732"/>
        <v>98</v>
      </c>
      <c r="BZ90" s="74">
        <f t="shared" si="733"/>
        <v>102</v>
      </c>
      <c r="CA90" s="73">
        <f t="shared" si="734"/>
        <v>138</v>
      </c>
      <c r="CB90" s="74">
        <f t="shared" si="735"/>
        <v>146</v>
      </c>
      <c r="CC90" s="73">
        <f t="shared" si="736"/>
        <v>191</v>
      </c>
      <c r="CD90" s="74">
        <f t="shared" si="737"/>
        <v>196</v>
      </c>
      <c r="CE90" s="73">
        <f t="shared" si="738"/>
        <v>266</v>
      </c>
      <c r="CF90" s="74">
        <f t="shared" si="739"/>
        <v>304</v>
      </c>
      <c r="CG90" s="73">
        <f t="shared" si="740"/>
        <v>329</v>
      </c>
      <c r="CH90" s="72">
        <f t="shared" si="741"/>
        <v>61</v>
      </c>
      <c r="CI90" s="73">
        <f t="shared" si="742"/>
        <v>65</v>
      </c>
      <c r="CJ90" s="74">
        <f t="shared" si="743"/>
        <v>96</v>
      </c>
      <c r="CK90" s="74">
        <f t="shared" si="744"/>
        <v>101</v>
      </c>
      <c r="CL90" s="74">
        <f t="shared" si="745"/>
        <v>137</v>
      </c>
      <c r="CM90" s="74">
        <f t="shared" si="746"/>
        <v>145</v>
      </c>
      <c r="CN90" s="74">
        <f t="shared" si="747"/>
        <v>172</v>
      </c>
      <c r="CO90" s="74">
        <f t="shared" si="748"/>
        <v>193</v>
      </c>
      <c r="CP90" s="74">
        <f t="shared" si="749"/>
        <v>225</v>
      </c>
      <c r="CQ90" s="74">
        <f t="shared" si="750"/>
        <v>299</v>
      </c>
      <c r="CR90" s="74">
        <f t="shared" si="751"/>
        <v>328</v>
      </c>
      <c r="CS90" s="74">
        <f t="shared" si="752"/>
        <v>341</v>
      </c>
      <c r="CT90" s="23">
        <f t="shared" si="753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754"/>
        <v>adrb2_human_4LDL</v>
      </c>
      <c r="B91" s="3" t="s">
        <v>126</v>
      </c>
      <c r="C91" s="3" t="s">
        <v>1045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225</v>
      </c>
      <c r="AN91" s="3" t="str">
        <f>IFERROR(MID(VLOOKUP($B91,Seqs!$A:$B,2,0),AO91,1),"")</f>
        <v>L</v>
      </c>
      <c r="AO91" s="3">
        <v>266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9" t="str">
        <f>VLOOKUP(B91,Classification!A:D,2,0)</f>
        <v>A</v>
      </c>
      <c r="BA91" s="96" t="str">
        <f>VLOOKUP(B91,Classification!A:D,4,0)</f>
        <v>Adrenoceptors</v>
      </c>
      <c r="BB91" s="27" t="b">
        <f t="shared" si="755"/>
        <v>1</v>
      </c>
      <c r="BC91" s="23">
        <f t="shared" si="728"/>
        <v>248</v>
      </c>
      <c r="BD91" s="4" t="s">
        <v>23</v>
      </c>
      <c r="BE91" s="3" t="s">
        <v>1297</v>
      </c>
      <c r="BF91" s="121">
        <v>3.1</v>
      </c>
      <c r="BG91" s="50" t="s">
        <v>1384</v>
      </c>
      <c r="BH91" s="50" t="s">
        <v>1384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si="729"/>
        <v>29</v>
      </c>
      <c r="BW91" s="73">
        <f t="shared" si="730"/>
        <v>62</v>
      </c>
      <c r="BX91" s="74">
        <f t="shared" si="731"/>
        <v>66</v>
      </c>
      <c r="BY91" s="73">
        <f t="shared" si="732"/>
        <v>98</v>
      </c>
      <c r="BZ91" s="74">
        <f t="shared" si="733"/>
        <v>102</v>
      </c>
      <c r="CA91" s="73">
        <f t="shared" si="734"/>
        <v>138</v>
      </c>
      <c r="CB91" s="74">
        <f t="shared" si="735"/>
        <v>146</v>
      </c>
      <c r="CC91" s="73">
        <f t="shared" si="736"/>
        <v>191</v>
      </c>
      <c r="CD91" s="74">
        <f t="shared" si="737"/>
        <v>196</v>
      </c>
      <c r="CE91" s="73">
        <f t="shared" si="738"/>
        <v>266</v>
      </c>
      <c r="CF91" s="74">
        <f t="shared" si="739"/>
        <v>304</v>
      </c>
      <c r="CG91" s="73">
        <f t="shared" si="740"/>
        <v>329</v>
      </c>
      <c r="CH91" s="72">
        <f t="shared" si="741"/>
        <v>61</v>
      </c>
      <c r="CI91" s="73">
        <f t="shared" si="742"/>
        <v>65</v>
      </c>
      <c r="CJ91" s="74">
        <f t="shared" si="743"/>
        <v>96</v>
      </c>
      <c r="CK91" s="74">
        <f t="shared" si="744"/>
        <v>101</v>
      </c>
      <c r="CL91" s="74">
        <f t="shared" si="745"/>
        <v>137</v>
      </c>
      <c r="CM91" s="74">
        <f t="shared" si="746"/>
        <v>145</v>
      </c>
      <c r="CN91" s="74">
        <f t="shared" si="747"/>
        <v>172</v>
      </c>
      <c r="CO91" s="74">
        <f t="shared" si="748"/>
        <v>193</v>
      </c>
      <c r="CP91" s="74">
        <f t="shared" si="749"/>
        <v>225</v>
      </c>
      <c r="CQ91" s="74">
        <f t="shared" si="750"/>
        <v>299</v>
      </c>
      <c r="CR91" s="74">
        <f t="shared" si="751"/>
        <v>328</v>
      </c>
      <c r="CS91" s="74">
        <f t="shared" si="752"/>
        <v>341</v>
      </c>
      <c r="CT91" s="23">
        <f t="shared" si="753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ht="17" customHeight="1" x14ac:dyDescent="0.2">
      <c r="A92" s="3" t="str">
        <f t="shared" si="754"/>
        <v>adrb2_human_4LDO</v>
      </c>
      <c r="B92" s="3" t="s">
        <v>126</v>
      </c>
      <c r="C92" s="3" t="s">
        <v>1046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9" t="str">
        <f>VLOOKUP(B92,Classification!A:D,2,0)</f>
        <v>A</v>
      </c>
      <c r="BA92" s="96" t="str">
        <f>VLOOKUP(B92,Classification!A:D,4,0)</f>
        <v>Adrenoceptors</v>
      </c>
      <c r="BB92" s="27" t="b">
        <f t="shared" si="755"/>
        <v>1</v>
      </c>
      <c r="BC92" s="23">
        <f t="shared" si="728"/>
        <v>248</v>
      </c>
      <c r="BD92" s="4" t="s">
        <v>23</v>
      </c>
      <c r="BE92" s="3" t="s">
        <v>1297</v>
      </c>
      <c r="BF92" s="121">
        <v>3.2</v>
      </c>
      <c r="BG92" s="50" t="s">
        <v>1384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729"/>
        <v>29</v>
      </c>
      <c r="BW92" s="73">
        <f t="shared" si="730"/>
        <v>62</v>
      </c>
      <c r="BX92" s="74">
        <f t="shared" si="731"/>
        <v>66</v>
      </c>
      <c r="BY92" s="73">
        <f t="shared" si="732"/>
        <v>98</v>
      </c>
      <c r="BZ92" s="74">
        <f t="shared" si="733"/>
        <v>102</v>
      </c>
      <c r="CA92" s="73">
        <f t="shared" si="734"/>
        <v>138</v>
      </c>
      <c r="CB92" s="74">
        <f t="shared" si="735"/>
        <v>146</v>
      </c>
      <c r="CC92" s="73">
        <f t="shared" si="736"/>
        <v>191</v>
      </c>
      <c r="CD92" s="74">
        <f t="shared" si="737"/>
        <v>196</v>
      </c>
      <c r="CE92" s="73">
        <f t="shared" si="738"/>
        <v>266</v>
      </c>
      <c r="CF92" s="74">
        <f t="shared" si="739"/>
        <v>304</v>
      </c>
      <c r="CG92" s="73">
        <f t="shared" si="740"/>
        <v>329</v>
      </c>
      <c r="CH92" s="72">
        <f t="shared" si="741"/>
        <v>61</v>
      </c>
      <c r="CI92" s="73">
        <f t="shared" si="742"/>
        <v>65</v>
      </c>
      <c r="CJ92" s="74">
        <f t="shared" si="743"/>
        <v>96</v>
      </c>
      <c r="CK92" s="74">
        <f t="shared" si="744"/>
        <v>101</v>
      </c>
      <c r="CL92" s="74">
        <f t="shared" si="745"/>
        <v>137</v>
      </c>
      <c r="CM92" s="74">
        <f t="shared" si="746"/>
        <v>145</v>
      </c>
      <c r="CN92" s="74">
        <f t="shared" si="747"/>
        <v>172</v>
      </c>
      <c r="CO92" s="74">
        <f t="shared" si="748"/>
        <v>193</v>
      </c>
      <c r="CP92" s="74">
        <f t="shared" si="749"/>
        <v>225</v>
      </c>
      <c r="CQ92" s="74">
        <f t="shared" si="750"/>
        <v>299</v>
      </c>
      <c r="CR92" s="74">
        <f t="shared" si="751"/>
        <v>328</v>
      </c>
      <c r="CS92" s="74">
        <f t="shared" si="752"/>
        <v>341</v>
      </c>
      <c r="CT92" s="23">
        <f t="shared" si="753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754"/>
        <v>adrb2_human_4QKX</v>
      </c>
      <c r="B93" s="3" t="s">
        <v>126</v>
      </c>
      <c r="C93" s="3" t="s">
        <v>78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9" t="str">
        <f>VLOOKUP(B93,Classification!A:D,2,0)</f>
        <v>A</v>
      </c>
      <c r="BA93" s="96" t="str">
        <f>VLOOKUP(B93,Classification!A:D,4,0)</f>
        <v>Adrenoceptors</v>
      </c>
      <c r="BB93" s="27" t="b">
        <f t="shared" si="755"/>
        <v>1</v>
      </c>
      <c r="BC93" s="23">
        <f t="shared" si="728"/>
        <v>248</v>
      </c>
      <c r="BD93" s="4" t="s">
        <v>23</v>
      </c>
      <c r="BE93" s="3" t="s">
        <v>1297</v>
      </c>
      <c r="BF93" s="121">
        <v>3.3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729"/>
        <v>29</v>
      </c>
      <c r="BW93" s="73">
        <f t="shared" si="730"/>
        <v>62</v>
      </c>
      <c r="BX93" s="74">
        <f t="shared" si="731"/>
        <v>66</v>
      </c>
      <c r="BY93" s="73">
        <f t="shared" si="732"/>
        <v>98</v>
      </c>
      <c r="BZ93" s="74">
        <f t="shared" si="733"/>
        <v>102</v>
      </c>
      <c r="CA93" s="73">
        <f t="shared" si="734"/>
        <v>138</v>
      </c>
      <c r="CB93" s="74">
        <f t="shared" si="735"/>
        <v>146</v>
      </c>
      <c r="CC93" s="73">
        <f t="shared" si="736"/>
        <v>191</v>
      </c>
      <c r="CD93" s="74">
        <f t="shared" si="737"/>
        <v>196</v>
      </c>
      <c r="CE93" s="73">
        <f t="shared" si="738"/>
        <v>266</v>
      </c>
      <c r="CF93" s="74">
        <f t="shared" si="739"/>
        <v>304</v>
      </c>
      <c r="CG93" s="73">
        <f t="shared" si="740"/>
        <v>329</v>
      </c>
      <c r="CH93" s="72">
        <f t="shared" si="741"/>
        <v>61</v>
      </c>
      <c r="CI93" s="73">
        <f t="shared" si="742"/>
        <v>65</v>
      </c>
      <c r="CJ93" s="74">
        <f t="shared" si="743"/>
        <v>96</v>
      </c>
      <c r="CK93" s="74">
        <f t="shared" si="744"/>
        <v>101</v>
      </c>
      <c r="CL93" s="74">
        <f t="shared" si="745"/>
        <v>137</v>
      </c>
      <c r="CM93" s="74">
        <f t="shared" si="746"/>
        <v>145</v>
      </c>
      <c r="CN93" s="74">
        <f t="shared" si="747"/>
        <v>172</v>
      </c>
      <c r="CO93" s="74">
        <f t="shared" si="748"/>
        <v>193</v>
      </c>
      <c r="CP93" s="74">
        <f t="shared" si="749"/>
        <v>225</v>
      </c>
      <c r="CQ93" s="74">
        <f t="shared" si="750"/>
        <v>299</v>
      </c>
      <c r="CR93" s="74">
        <f t="shared" si="751"/>
        <v>328</v>
      </c>
      <c r="CS93" s="74">
        <f t="shared" si="752"/>
        <v>341</v>
      </c>
      <c r="CT93" s="23">
        <f t="shared" si="753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754"/>
        <v>adrb2_human_5D6L</v>
      </c>
      <c r="B94" s="3" t="s">
        <v>126</v>
      </c>
      <c r="C94" s="3" t="s">
        <v>1349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Q</v>
      </c>
      <c r="AM94" s="3">
        <v>229</v>
      </c>
      <c r="AN94" s="3" t="str">
        <f>IFERROR(MID(VLOOKUP($B94,Seqs!$A:$B,2,0),AO94,1),"")</f>
        <v>K</v>
      </c>
      <c r="AO94" s="3">
        <v>267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9" t="str">
        <f>VLOOKUP(B94,Classification!A:D,2,0)</f>
        <v>A</v>
      </c>
      <c r="BA94" s="96" t="str">
        <f>VLOOKUP(B94,Classification!A:D,4,0)</f>
        <v>Adrenoceptors</v>
      </c>
      <c r="BB94" s="27" t="b">
        <f t="shared" si="755"/>
        <v>1</v>
      </c>
      <c r="BC94" s="23">
        <f t="shared" si="728"/>
        <v>244</v>
      </c>
      <c r="BD94" s="4" t="s">
        <v>23</v>
      </c>
      <c r="BE94" s="3" t="s">
        <v>1381</v>
      </c>
      <c r="BF94" s="121">
        <v>3.2</v>
      </c>
      <c r="BG94" s="50" t="s">
        <v>1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729"/>
        <v>29</v>
      </c>
      <c r="BW94" s="73">
        <f t="shared" si="730"/>
        <v>62</v>
      </c>
      <c r="BX94" s="74">
        <f t="shared" si="731"/>
        <v>66</v>
      </c>
      <c r="BY94" s="73">
        <f t="shared" si="732"/>
        <v>98</v>
      </c>
      <c r="BZ94" s="74">
        <f t="shared" si="733"/>
        <v>102</v>
      </c>
      <c r="CA94" s="73" t="str">
        <f t="shared" si="734"/>
        <v>-</v>
      </c>
      <c r="CB94" s="74">
        <f t="shared" si="735"/>
        <v>146</v>
      </c>
      <c r="CC94" s="73">
        <f t="shared" si="736"/>
        <v>191</v>
      </c>
      <c r="CD94" s="74">
        <f t="shared" si="737"/>
        <v>196</v>
      </c>
      <c r="CE94" s="73">
        <f t="shared" si="738"/>
        <v>267</v>
      </c>
      <c r="CF94" s="74">
        <f t="shared" si="739"/>
        <v>304</v>
      </c>
      <c r="CG94" s="73">
        <f t="shared" si="740"/>
        <v>329</v>
      </c>
      <c r="CH94" s="72">
        <f t="shared" si="741"/>
        <v>61</v>
      </c>
      <c r="CI94" s="73">
        <f t="shared" si="742"/>
        <v>65</v>
      </c>
      <c r="CJ94" s="74">
        <f t="shared" si="743"/>
        <v>96</v>
      </c>
      <c r="CK94" s="74">
        <f t="shared" si="744"/>
        <v>101</v>
      </c>
      <c r="CL94" s="74">
        <f t="shared" si="745"/>
        <v>137</v>
      </c>
      <c r="CM94" s="74" t="str">
        <f t="shared" si="746"/>
        <v>-</v>
      </c>
      <c r="CN94" s="74">
        <f t="shared" si="747"/>
        <v>172</v>
      </c>
      <c r="CO94" s="74">
        <f t="shared" si="748"/>
        <v>193</v>
      </c>
      <c r="CP94" s="74">
        <f t="shared" si="749"/>
        <v>229</v>
      </c>
      <c r="CQ94" s="74">
        <f t="shared" si="750"/>
        <v>299</v>
      </c>
      <c r="CR94" s="74">
        <f t="shared" si="751"/>
        <v>328</v>
      </c>
      <c r="CS94" s="74">
        <f t="shared" si="752"/>
        <v>341</v>
      </c>
      <c r="CT94" s="23">
        <f t="shared" si="753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754"/>
        <v>adrb2_human_5JQH</v>
      </c>
      <c r="B95" s="3" t="s">
        <v>126</v>
      </c>
      <c r="C95" s="3" t="s">
        <v>1350</v>
      </c>
      <c r="D95" s="3" t="str">
        <f>IFERROR(MID(VLOOKUP($B95,Seqs!$A:$B,2,0),E95,1),"")</f>
        <v>D</v>
      </c>
      <c r="E95" s="3">
        <v>23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A</v>
      </c>
      <c r="AO95" s="3">
        <v>271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9" t="str">
        <f>VLOOKUP(B95,Classification!A:D,2,0)</f>
        <v>A</v>
      </c>
      <c r="BA95" s="96" t="str">
        <f>VLOOKUP(B95,Classification!A:D,4,0)</f>
        <v>Adrenoceptors</v>
      </c>
      <c r="BB95" s="27" t="b">
        <f t="shared" si="755"/>
        <v>1</v>
      </c>
      <c r="BC95" s="23">
        <f t="shared" si="728"/>
        <v>247</v>
      </c>
      <c r="BD95" s="76" t="s">
        <v>1383</v>
      </c>
      <c r="BE95" s="3" t="s">
        <v>1381</v>
      </c>
      <c r="BF95" s="121">
        <v>3.2</v>
      </c>
      <c r="BG95" s="50" t="s">
        <v>1287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729"/>
        <v>23</v>
      </c>
      <c r="BW95" s="73">
        <f t="shared" si="730"/>
        <v>62</v>
      </c>
      <c r="BX95" s="74">
        <f t="shared" si="731"/>
        <v>66</v>
      </c>
      <c r="BY95" s="73">
        <f t="shared" si="732"/>
        <v>98</v>
      </c>
      <c r="BZ95" s="74">
        <f t="shared" si="733"/>
        <v>102</v>
      </c>
      <c r="CA95" s="73" t="str">
        <f t="shared" si="734"/>
        <v>-</v>
      </c>
      <c r="CB95" s="74">
        <f t="shared" si="735"/>
        <v>146</v>
      </c>
      <c r="CC95" s="73">
        <f t="shared" si="736"/>
        <v>191</v>
      </c>
      <c r="CD95" s="74">
        <f t="shared" si="737"/>
        <v>196</v>
      </c>
      <c r="CE95" s="73">
        <f t="shared" si="738"/>
        <v>271</v>
      </c>
      <c r="CF95" s="74">
        <f t="shared" si="739"/>
        <v>304</v>
      </c>
      <c r="CG95" s="73">
        <f t="shared" si="740"/>
        <v>329</v>
      </c>
      <c r="CH95" s="72">
        <f t="shared" si="741"/>
        <v>61</v>
      </c>
      <c r="CI95" s="73">
        <f t="shared" si="742"/>
        <v>65</v>
      </c>
      <c r="CJ95" s="74">
        <f t="shared" si="743"/>
        <v>96</v>
      </c>
      <c r="CK95" s="74">
        <f t="shared" si="744"/>
        <v>101</v>
      </c>
      <c r="CL95" s="74">
        <f t="shared" si="745"/>
        <v>137</v>
      </c>
      <c r="CM95" s="74" t="str">
        <f t="shared" si="746"/>
        <v>-</v>
      </c>
      <c r="CN95" s="74">
        <f t="shared" si="747"/>
        <v>172</v>
      </c>
      <c r="CO95" s="74">
        <f t="shared" si="748"/>
        <v>193</v>
      </c>
      <c r="CP95" s="74">
        <f t="shared" si="749"/>
        <v>230</v>
      </c>
      <c r="CQ95" s="74">
        <f t="shared" si="750"/>
        <v>299</v>
      </c>
      <c r="CR95" s="74">
        <f t="shared" si="751"/>
        <v>328</v>
      </c>
      <c r="CS95" s="74">
        <f t="shared" si="752"/>
        <v>341</v>
      </c>
      <c r="CT95" s="23">
        <f t="shared" si="753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ref="A96" si="756">CONCATENATE(B96,"_",C96)</f>
        <v>adrb2_human_5X7D</v>
      </c>
      <c r="B96" s="3" t="s">
        <v>126</v>
      </c>
      <c r="C96" s="3" t="s">
        <v>1448</v>
      </c>
      <c r="D96" s="3" t="str">
        <f>IFERROR(MID(VLOOKUP($B96,Seqs!$A:$B,2,0),E96,1),"")</f>
        <v>V</v>
      </c>
      <c r="E96" s="3">
        <v>33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T</v>
      </c>
      <c r="W96" s="3">
        <v>136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3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L</v>
      </c>
      <c r="AM96" s="3">
        <v>230</v>
      </c>
      <c r="AN96" s="3" t="str">
        <f>IFERROR(MID(VLOOKUP($B96,Seqs!$A:$B,2,0),AO96,1),"")</f>
        <v>A</v>
      </c>
      <c r="AO96" s="3">
        <v>271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9" t="str">
        <f>VLOOKUP(B96,Classification!A:D,2,0)</f>
        <v>A</v>
      </c>
      <c r="BA96" s="96" t="str">
        <f>VLOOKUP(B96,Classification!A:D,4,0)</f>
        <v>Adrenoceptors</v>
      </c>
      <c r="BB96" s="27" t="b">
        <f t="shared" ref="BB96" si="757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23">
        <f t="shared" ref="BC96" si="758">_xlfn.AGGREGATE(9,6,CH96:CS96)-_xlfn.AGGREGATE(9,6,BV96:CG96)+12</f>
        <v>236</v>
      </c>
      <c r="BD96" s="76" t="s">
        <v>23</v>
      </c>
      <c r="BE96" s="3" t="s">
        <v>1381</v>
      </c>
      <c r="BF96" s="121">
        <v>4.2</v>
      </c>
      <c r="BG96" s="50" t="s">
        <v>1287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ref="BV96" si="759">E96</f>
        <v>33</v>
      </c>
      <c r="BW96" s="73">
        <f t="shared" ref="BW96" si="760">I96</f>
        <v>62</v>
      </c>
      <c r="BX96" s="74">
        <f t="shared" ref="BX96" si="761">M96</f>
        <v>66</v>
      </c>
      <c r="BY96" s="73">
        <f t="shared" ref="BY96" si="762">Q96</f>
        <v>98</v>
      </c>
      <c r="BZ96" s="74">
        <f t="shared" ref="BZ96" si="763">U96</f>
        <v>102</v>
      </c>
      <c r="CA96" s="73" t="str">
        <f t="shared" ref="CA96" si="764">Y96</f>
        <v>-</v>
      </c>
      <c r="CB96" s="74">
        <f t="shared" ref="CB96" si="765">AC96</f>
        <v>146</v>
      </c>
      <c r="CC96" s="73">
        <f t="shared" ref="CC96" si="766">AG96</f>
        <v>191</v>
      </c>
      <c r="CD96" s="74">
        <f t="shared" ref="CD96" si="767">AK96</f>
        <v>196</v>
      </c>
      <c r="CE96" s="73">
        <f t="shared" ref="CE96" si="768">AO96</f>
        <v>271</v>
      </c>
      <c r="CF96" s="74">
        <f t="shared" ref="CF96" si="769">AS96</f>
        <v>304</v>
      </c>
      <c r="CG96" s="73">
        <f t="shared" ref="CG96" si="770">AW96</f>
        <v>329</v>
      </c>
      <c r="CH96" s="72">
        <f t="shared" ref="CH96" si="771">G96</f>
        <v>61</v>
      </c>
      <c r="CI96" s="73">
        <f t="shared" ref="CI96" si="772">K96</f>
        <v>65</v>
      </c>
      <c r="CJ96" s="74">
        <f t="shared" ref="CJ96" si="773">O96</f>
        <v>96</v>
      </c>
      <c r="CK96" s="74">
        <f t="shared" ref="CK96" si="774">S96</f>
        <v>101</v>
      </c>
      <c r="CL96" s="74">
        <f t="shared" ref="CL96" si="775">W96</f>
        <v>136</v>
      </c>
      <c r="CM96" s="74" t="str">
        <f t="shared" ref="CM96" si="776">AA96</f>
        <v>-</v>
      </c>
      <c r="CN96" s="74">
        <f t="shared" ref="CN96" si="777">AE96</f>
        <v>172</v>
      </c>
      <c r="CO96" s="74">
        <f t="shared" ref="CO96" si="778">AI96</f>
        <v>193</v>
      </c>
      <c r="CP96" s="74">
        <f t="shared" ref="CP96" si="779">AM96</f>
        <v>230</v>
      </c>
      <c r="CQ96" s="74">
        <f t="shared" ref="CQ96" si="780">AQ96</f>
        <v>299</v>
      </c>
      <c r="CR96" s="74">
        <f t="shared" ref="CR96" si="781">AU96</f>
        <v>328</v>
      </c>
      <c r="CS96" s="74">
        <f t="shared" ref="CS96" si="782">AY96</f>
        <v>341</v>
      </c>
      <c r="CT96" s="23">
        <f t="shared" ref="CT96" si="783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754"/>
        <v>agtr1_human__wt</v>
      </c>
      <c r="B97" s="3" t="s">
        <v>158</v>
      </c>
      <c r="C97" s="3" t="s">
        <v>100</v>
      </c>
      <c r="D97" s="3" t="str">
        <f>IFERROR(MID(VLOOKUP($B97,Seqs!$A:$B,2,0),E97,1),"")</f>
        <v>Y</v>
      </c>
      <c r="E97" s="3">
        <v>26</v>
      </c>
      <c r="F97" s="3" t="str">
        <f>IFERROR(MID(VLOOKUP($B97,Seqs!$A:$B,2,0),G97,1),"")</f>
        <v>Y</v>
      </c>
      <c r="G97" s="3">
        <v>56</v>
      </c>
      <c r="H97" s="3" t="str">
        <f>IFERROR(MID(VLOOKUP($B97,Seqs!$A:$B,2,0),I97,1),"")</f>
        <v>M</v>
      </c>
      <c r="I97" s="23">
        <v>57</v>
      </c>
      <c r="J97" s="3" t="str">
        <f>IFERROR(MID(VLOOKUP($B97,Seqs!$A:$B,2,0),K97,1),"")</f>
        <v>K</v>
      </c>
      <c r="K97" s="23">
        <v>60</v>
      </c>
      <c r="L97" s="3" t="str">
        <f>IFERROR(MID(VLOOKUP($B97,Seqs!$A:$B,2,0),M97,1),"")</f>
        <v>T</v>
      </c>
      <c r="M97" s="3">
        <v>61</v>
      </c>
      <c r="N97" s="3" t="str">
        <f>IFERROR(MID(VLOOKUP($B97,Seqs!$A:$B,2,0),O97,1),"")</f>
        <v>M</v>
      </c>
      <c r="O97" s="3">
        <v>90</v>
      </c>
      <c r="P97" s="3" t="str">
        <f>IFERROR(MID(VLOOKUP($B97,Seqs!$A:$B,2,0),Q97,1),"")</f>
        <v>R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P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R</v>
      </c>
      <c r="AE97" s="3">
        <v>167</v>
      </c>
      <c r="AF97" s="3" t="str">
        <f>IFERROR(MID(VLOOKUP($B97,Seqs!$A:$B,2,0),AG97,1),"")</f>
        <v>C</v>
      </c>
      <c r="AG97" s="3">
        <v>180</v>
      </c>
      <c r="AH97" s="3" t="str">
        <f>IFERROR(MID(VLOOKUP($B97,Seqs!$A:$B,2,0),AI97,1),"")</f>
        <v>F</v>
      </c>
      <c r="AI97" s="3">
        <v>182</v>
      </c>
      <c r="AJ97" s="3" t="str">
        <f>IFERROR(MID(VLOOKUP($B97,Seqs!$A:$B,2,0),AK97,1),"")</f>
        <v>L</v>
      </c>
      <c r="AK97" s="3">
        <v>191</v>
      </c>
      <c r="AL97" s="3" t="str">
        <f>IFERROR(MID(VLOOKUP($B97,Seqs!$A:$B,2,0),AM97,1),"")</f>
        <v>A</v>
      </c>
      <c r="AM97" s="3">
        <v>225</v>
      </c>
      <c r="AN97" s="3" t="str">
        <f>IFERROR(MID(VLOOKUP($B97,Seqs!$A:$B,2,0),AO97,1),"")</f>
        <v>P</v>
      </c>
      <c r="AO97" s="3">
        <v>233</v>
      </c>
      <c r="AP97" s="3" t="str">
        <f>IFERROR(MID(VLOOKUP($B97,Seqs!$A:$B,2,0),AQ97,1),"")</f>
        <v>G</v>
      </c>
      <c r="AQ97" s="3">
        <v>269</v>
      </c>
      <c r="AR97" s="3" t="str">
        <f>IFERROR(MID(VLOOKUP($B97,Seqs!$A:$B,2,0),AS97,1),"")</f>
        <v>D</v>
      </c>
      <c r="AS97" s="3">
        <v>273</v>
      </c>
      <c r="AT97" s="3" t="str">
        <f>IFERROR(MID(VLOOKUP($B97,Seqs!$A:$B,2,0),AU97,1),"")</f>
        <v>L</v>
      </c>
      <c r="AU97" s="3">
        <v>305</v>
      </c>
      <c r="AV97" s="3" t="str">
        <f>IFERROR(MID(VLOOKUP($B97,Seqs!$A:$B,2,0),AW97,1),"")</f>
        <v>G</v>
      </c>
      <c r="AW97" s="3">
        <v>306</v>
      </c>
      <c r="AX97" s="3" t="str">
        <f>IFERROR(MID(VLOOKUP($B97,Seqs!$A:$B,2,0),AY97,1),"")</f>
        <v>I</v>
      </c>
      <c r="AY97" s="3">
        <v>320</v>
      </c>
      <c r="AZ97" s="79" t="str">
        <f>VLOOKUP(B97,Classification!A:D,2,0)</f>
        <v>A</v>
      </c>
      <c r="BA97" s="96" t="str">
        <f>VLOOKUP(B97,Classification!A:D,4,0)</f>
        <v>Angiotensin</v>
      </c>
      <c r="BB97" s="27" t="b">
        <f t="shared" si="755"/>
        <v>1</v>
      </c>
      <c r="BC97" s="23">
        <f t="shared" si="728"/>
        <v>263</v>
      </c>
      <c r="BD97" s="57" t="s">
        <v>1379</v>
      </c>
      <c r="BE97" s="3" t="s">
        <v>23</v>
      </c>
      <c r="BF97" s="121" t="s">
        <v>23</v>
      </c>
      <c r="BG97" s="50" t="s">
        <v>1379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729"/>
        <v>26</v>
      </c>
      <c r="BW97" s="73">
        <f t="shared" si="730"/>
        <v>57</v>
      </c>
      <c r="BX97" s="74">
        <f t="shared" si="731"/>
        <v>61</v>
      </c>
      <c r="BY97" s="73">
        <f t="shared" si="732"/>
        <v>93</v>
      </c>
      <c r="BZ97" s="74">
        <f t="shared" si="733"/>
        <v>97</v>
      </c>
      <c r="CA97" s="73">
        <f t="shared" si="734"/>
        <v>133</v>
      </c>
      <c r="CB97" s="74">
        <f t="shared" si="735"/>
        <v>141</v>
      </c>
      <c r="CC97" s="73">
        <f t="shared" si="736"/>
        <v>180</v>
      </c>
      <c r="CD97" s="74">
        <f t="shared" si="737"/>
        <v>191</v>
      </c>
      <c r="CE97" s="73">
        <f t="shared" si="738"/>
        <v>233</v>
      </c>
      <c r="CF97" s="74">
        <f t="shared" si="739"/>
        <v>273</v>
      </c>
      <c r="CG97" s="73">
        <f t="shared" si="740"/>
        <v>306</v>
      </c>
      <c r="CH97" s="72">
        <f t="shared" si="741"/>
        <v>56</v>
      </c>
      <c r="CI97" s="73">
        <f t="shared" si="742"/>
        <v>60</v>
      </c>
      <c r="CJ97" s="74">
        <f t="shared" si="743"/>
        <v>90</v>
      </c>
      <c r="CK97" s="74">
        <f t="shared" si="744"/>
        <v>96</v>
      </c>
      <c r="CL97" s="74">
        <f t="shared" si="745"/>
        <v>132</v>
      </c>
      <c r="CM97" s="74">
        <f t="shared" si="746"/>
        <v>140</v>
      </c>
      <c r="CN97" s="74">
        <f t="shared" si="747"/>
        <v>167</v>
      </c>
      <c r="CO97" s="74">
        <f t="shared" si="748"/>
        <v>182</v>
      </c>
      <c r="CP97" s="74">
        <f t="shared" si="749"/>
        <v>225</v>
      </c>
      <c r="CQ97" s="74">
        <f t="shared" si="750"/>
        <v>269</v>
      </c>
      <c r="CR97" s="74">
        <f t="shared" si="751"/>
        <v>305</v>
      </c>
      <c r="CS97" s="74">
        <f t="shared" si="752"/>
        <v>320</v>
      </c>
      <c r="CT97" s="23">
        <f t="shared" si="753"/>
        <v>1</v>
      </c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</row>
    <row r="98" spans="1:1030" x14ac:dyDescent="0.2">
      <c r="A98" s="3" t="str">
        <f t="shared" si="754"/>
        <v>agtr1_human_4YAY</v>
      </c>
      <c r="B98" s="3" t="s">
        <v>158</v>
      </c>
      <c r="C98" s="3" t="s">
        <v>69</v>
      </c>
      <c r="D98" s="3" t="str">
        <f>IFERROR(MID(VLOOKUP($B98,Seqs!$A:$B,2,0),E98,1),"")</f>
        <v>Y</v>
      </c>
      <c r="E98" s="3">
        <v>26</v>
      </c>
      <c r="F98" s="3" t="str">
        <f>IFERROR(MID(VLOOKUP($B98,Seqs!$A:$B,2,0),G98,1),"")</f>
        <v>Y</v>
      </c>
      <c r="G98" s="3">
        <v>56</v>
      </c>
      <c r="H98" s="3" t="str">
        <f>IFERROR(MID(VLOOKUP($B98,Seqs!$A:$B,2,0),I98,1),"")</f>
        <v>M</v>
      </c>
      <c r="I98" s="23">
        <v>57</v>
      </c>
      <c r="J98" s="3" t="str">
        <f>IFERROR(MID(VLOOKUP($B98,Seqs!$A:$B,2,0),K98,1),"")</f>
        <v>K</v>
      </c>
      <c r="K98" s="23">
        <v>60</v>
      </c>
      <c r="L98" s="3" t="str">
        <f>IFERROR(MID(VLOOKUP($B98,Seqs!$A:$B,2,0),M98,1),"")</f>
        <v>T</v>
      </c>
      <c r="M98" s="3">
        <v>61</v>
      </c>
      <c r="N98" s="3" t="str">
        <f>IFERROR(MID(VLOOKUP($B98,Seqs!$A:$B,2,0),O98,1),"")</f>
        <v>M</v>
      </c>
      <c r="O98" s="3">
        <v>90</v>
      </c>
      <c r="P98" s="3" t="str">
        <f>IFERROR(MID(VLOOKUP($B98,Seqs!$A:$B,2,0),Q98,1),"")</f>
        <v>R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R</v>
      </c>
      <c r="AC98" s="9">
        <v>137</v>
      </c>
      <c r="AD98" s="3" t="str">
        <f>IFERROR(MID(VLOOKUP($B98,Seqs!$A:$B,2,0),AE98,1),"")</f>
        <v>R</v>
      </c>
      <c r="AE98" s="3">
        <v>167</v>
      </c>
      <c r="AF98" s="3" t="str">
        <f>IFERROR(MID(VLOOKUP($B98,Seqs!$A:$B,2,0),AG98,1),"")</f>
        <v>C</v>
      </c>
      <c r="AG98" s="3">
        <v>180</v>
      </c>
      <c r="AH98" s="3" t="str">
        <f>IFERROR(MID(VLOOKUP($B98,Seqs!$A:$B,2,0),AI98,1),"")</f>
        <v>F</v>
      </c>
      <c r="AI98" s="3">
        <v>182</v>
      </c>
      <c r="AJ98" s="3" t="str">
        <f>IFERROR(MID(VLOOKUP($B98,Seqs!$A:$B,2,0),AK98,1),"")</f>
        <v>L</v>
      </c>
      <c r="AK98" s="3">
        <v>191</v>
      </c>
      <c r="AL98" s="3" t="str">
        <f>IFERROR(MID(VLOOKUP($B98,Seqs!$A:$B,2,0),AM98,1),"")</f>
        <v>L</v>
      </c>
      <c r="AM98" s="3">
        <v>222</v>
      </c>
      <c r="AN98" s="3" t="str">
        <f>IFERROR(MID(VLOOKUP($B98,Seqs!$A:$B,2,0),AO98,1),"")</f>
        <v>N</v>
      </c>
      <c r="AO98" s="3">
        <v>235</v>
      </c>
      <c r="AP98" s="3" t="str">
        <f>IFERROR(MID(VLOOKUP($B98,Seqs!$A:$B,2,0),AQ98,1),"")</f>
        <v>G</v>
      </c>
      <c r="AQ98" s="3">
        <v>269</v>
      </c>
      <c r="AR98" s="3" t="str">
        <f>IFERROR(MID(VLOOKUP($B98,Seqs!$A:$B,2,0),AS98,1),"")</f>
        <v>D</v>
      </c>
      <c r="AS98" s="3">
        <v>273</v>
      </c>
      <c r="AT98" s="3" t="str">
        <f>IFERROR(MID(VLOOKUP($B98,Seqs!$A:$B,2,0),AU98,1),"")</f>
        <v>N</v>
      </c>
      <c r="AU98" s="3">
        <v>298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9" t="str">
        <f>VLOOKUP(B98,Classification!A:D,2,0)</f>
        <v>A</v>
      </c>
      <c r="BA98" s="96" t="str">
        <f>VLOOKUP(B98,Classification!A:D,4,0)</f>
        <v>Angiotensin</v>
      </c>
      <c r="BB98" s="27" t="b">
        <f t="shared" si="755"/>
        <v>1</v>
      </c>
      <c r="BC98" s="23">
        <f t="shared" si="728"/>
        <v>234</v>
      </c>
      <c r="BD98" s="4" t="s">
        <v>23</v>
      </c>
      <c r="BE98" s="3" t="s">
        <v>1381</v>
      </c>
      <c r="BF98" s="121">
        <v>2.9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729"/>
        <v>26</v>
      </c>
      <c r="BW98" s="73">
        <f t="shared" si="730"/>
        <v>57</v>
      </c>
      <c r="BX98" s="74">
        <f t="shared" si="731"/>
        <v>61</v>
      </c>
      <c r="BY98" s="73">
        <f t="shared" si="732"/>
        <v>93</v>
      </c>
      <c r="BZ98" s="74">
        <f t="shared" si="733"/>
        <v>97</v>
      </c>
      <c r="CA98" s="73" t="str">
        <f t="shared" si="734"/>
        <v>-</v>
      </c>
      <c r="CB98" s="74">
        <f t="shared" si="735"/>
        <v>137</v>
      </c>
      <c r="CC98" s="73">
        <f t="shared" si="736"/>
        <v>180</v>
      </c>
      <c r="CD98" s="74">
        <f t="shared" si="737"/>
        <v>191</v>
      </c>
      <c r="CE98" s="73">
        <f t="shared" si="738"/>
        <v>235</v>
      </c>
      <c r="CF98" s="74">
        <f t="shared" si="739"/>
        <v>273</v>
      </c>
      <c r="CG98" s="73" t="str">
        <f t="shared" si="740"/>
        <v>-</v>
      </c>
      <c r="CH98" s="72">
        <f t="shared" si="741"/>
        <v>56</v>
      </c>
      <c r="CI98" s="73">
        <f t="shared" si="742"/>
        <v>60</v>
      </c>
      <c r="CJ98" s="74">
        <f t="shared" si="743"/>
        <v>90</v>
      </c>
      <c r="CK98" s="74">
        <f t="shared" si="744"/>
        <v>96</v>
      </c>
      <c r="CL98" s="74">
        <f t="shared" si="745"/>
        <v>132</v>
      </c>
      <c r="CM98" s="74" t="str">
        <f t="shared" si="746"/>
        <v>-</v>
      </c>
      <c r="CN98" s="74">
        <f t="shared" si="747"/>
        <v>167</v>
      </c>
      <c r="CO98" s="74">
        <f t="shared" si="748"/>
        <v>182</v>
      </c>
      <c r="CP98" s="74">
        <f t="shared" si="749"/>
        <v>222</v>
      </c>
      <c r="CQ98" s="74">
        <f t="shared" si="750"/>
        <v>269</v>
      </c>
      <c r="CR98" s="74">
        <f t="shared" si="751"/>
        <v>298</v>
      </c>
      <c r="CS98" s="74" t="str">
        <f t="shared" si="752"/>
        <v>-</v>
      </c>
      <c r="CT98" s="23">
        <f t="shared" si="753"/>
        <v>1</v>
      </c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</row>
    <row r="99" spans="1:1030" x14ac:dyDescent="0.2">
      <c r="A99" s="3" t="str">
        <f t="shared" si="754"/>
        <v>agtr1_human_4YAY_dist</v>
      </c>
      <c r="B99" s="3" t="s">
        <v>158</v>
      </c>
      <c r="C99" s="3" t="s">
        <v>1160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R</v>
      </c>
      <c r="AC99" s="9">
        <v>137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L</v>
      </c>
      <c r="AM99" s="3">
        <v>222</v>
      </c>
      <c r="AN99" s="3" t="str">
        <f>IFERROR(MID(VLOOKUP($B99,Seqs!$A:$B,2,0),AO99,1),"")</f>
        <v>N</v>
      </c>
      <c r="AO99" s="3">
        <v>235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F</v>
      </c>
      <c r="AU99" s="3">
        <v>304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L</v>
      </c>
      <c r="AY99" s="3">
        <v>317</v>
      </c>
      <c r="AZ99" s="79" t="str">
        <f>VLOOKUP(B99,Classification!A:D,2,0)</f>
        <v>A</v>
      </c>
      <c r="BA99" s="96" t="str">
        <f>VLOOKUP(B99,Classification!A:D,4,0)</f>
        <v>Angiotensin</v>
      </c>
      <c r="BB99" s="27" t="b">
        <f t="shared" si="755"/>
        <v>1</v>
      </c>
      <c r="BC99" s="23">
        <f t="shared" si="728"/>
        <v>251</v>
      </c>
      <c r="BD99" s="5"/>
      <c r="BE99" s="3" t="s">
        <v>1381</v>
      </c>
      <c r="BF99" s="121">
        <v>2.9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729"/>
        <v>26</v>
      </c>
      <c r="BW99" s="73">
        <f t="shared" si="730"/>
        <v>57</v>
      </c>
      <c r="BX99" s="74">
        <f t="shared" si="731"/>
        <v>61</v>
      </c>
      <c r="BY99" s="73">
        <f t="shared" si="732"/>
        <v>93</v>
      </c>
      <c r="BZ99" s="74">
        <f t="shared" si="733"/>
        <v>97</v>
      </c>
      <c r="CA99" s="73" t="str">
        <f t="shared" si="734"/>
        <v>-</v>
      </c>
      <c r="CB99" s="74">
        <f t="shared" si="735"/>
        <v>137</v>
      </c>
      <c r="CC99" s="73">
        <f t="shared" si="736"/>
        <v>180</v>
      </c>
      <c r="CD99" s="74">
        <f t="shared" si="737"/>
        <v>191</v>
      </c>
      <c r="CE99" s="73">
        <f t="shared" si="738"/>
        <v>235</v>
      </c>
      <c r="CF99" s="74">
        <f t="shared" si="739"/>
        <v>273</v>
      </c>
      <c r="CG99" s="73">
        <f t="shared" si="740"/>
        <v>306</v>
      </c>
      <c r="CH99" s="72">
        <f t="shared" si="741"/>
        <v>56</v>
      </c>
      <c r="CI99" s="73">
        <f t="shared" si="742"/>
        <v>60</v>
      </c>
      <c r="CJ99" s="74">
        <f t="shared" si="743"/>
        <v>90</v>
      </c>
      <c r="CK99" s="74">
        <f t="shared" si="744"/>
        <v>96</v>
      </c>
      <c r="CL99" s="74">
        <f t="shared" si="745"/>
        <v>132</v>
      </c>
      <c r="CM99" s="74" t="str">
        <f t="shared" si="746"/>
        <v>-</v>
      </c>
      <c r="CN99" s="74">
        <f t="shared" si="747"/>
        <v>167</v>
      </c>
      <c r="CO99" s="74">
        <f t="shared" si="748"/>
        <v>182</v>
      </c>
      <c r="CP99" s="74">
        <f t="shared" si="749"/>
        <v>222</v>
      </c>
      <c r="CQ99" s="74">
        <f t="shared" si="750"/>
        <v>269</v>
      </c>
      <c r="CR99" s="74">
        <f t="shared" si="751"/>
        <v>304</v>
      </c>
      <c r="CS99" s="74">
        <f t="shared" si="752"/>
        <v>317</v>
      </c>
      <c r="CT99" s="23">
        <f t="shared" si="753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754"/>
        <v>agtr1_human_4ZUD</v>
      </c>
      <c r="B100" s="3" t="s">
        <v>158</v>
      </c>
      <c r="C100" s="3" t="s">
        <v>1342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M</v>
      </c>
      <c r="AC100" s="9">
        <v>142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D</v>
      </c>
      <c r="AO100" s="3">
        <v>236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F</v>
      </c>
      <c r="AU100" s="3">
        <v>304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6" t="str">
        <f>VLOOKUP(B100,Classification!A:D,4,0)</f>
        <v>Angiotensin</v>
      </c>
      <c r="BB100" s="27" t="b">
        <f t="shared" si="755"/>
        <v>1</v>
      </c>
      <c r="BC100" s="23">
        <f t="shared" si="728"/>
        <v>234</v>
      </c>
      <c r="BD100" s="2" t="s">
        <v>1383</v>
      </c>
      <c r="BE100" s="3" t="s">
        <v>1381</v>
      </c>
      <c r="BF100" s="121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729"/>
        <v>26</v>
      </c>
      <c r="BW100" s="73">
        <f t="shared" si="730"/>
        <v>57</v>
      </c>
      <c r="BX100" s="74">
        <f t="shared" si="731"/>
        <v>61</v>
      </c>
      <c r="BY100" s="73">
        <f t="shared" si="732"/>
        <v>93</v>
      </c>
      <c r="BZ100" s="74">
        <f t="shared" si="733"/>
        <v>97</v>
      </c>
      <c r="CA100" s="73" t="str">
        <f t="shared" si="734"/>
        <v>-</v>
      </c>
      <c r="CB100" s="74">
        <f t="shared" si="735"/>
        <v>142</v>
      </c>
      <c r="CC100" s="73">
        <f t="shared" si="736"/>
        <v>180</v>
      </c>
      <c r="CD100" s="74">
        <f t="shared" si="737"/>
        <v>191</v>
      </c>
      <c r="CE100" s="73">
        <f t="shared" si="738"/>
        <v>236</v>
      </c>
      <c r="CF100" s="74">
        <f t="shared" si="739"/>
        <v>273</v>
      </c>
      <c r="CG100" s="73" t="str">
        <f t="shared" si="740"/>
        <v>-</v>
      </c>
      <c r="CH100" s="72">
        <f t="shared" si="741"/>
        <v>56</v>
      </c>
      <c r="CI100" s="73">
        <f t="shared" si="742"/>
        <v>60</v>
      </c>
      <c r="CJ100" s="74">
        <f t="shared" si="743"/>
        <v>90</v>
      </c>
      <c r="CK100" s="74">
        <f t="shared" si="744"/>
        <v>96</v>
      </c>
      <c r="CL100" s="74">
        <f t="shared" si="745"/>
        <v>132</v>
      </c>
      <c r="CM100" s="74" t="str">
        <f t="shared" si="746"/>
        <v>-</v>
      </c>
      <c r="CN100" s="74">
        <f t="shared" si="747"/>
        <v>167</v>
      </c>
      <c r="CO100" s="74">
        <f t="shared" si="748"/>
        <v>182</v>
      </c>
      <c r="CP100" s="74">
        <f t="shared" si="749"/>
        <v>222</v>
      </c>
      <c r="CQ100" s="74">
        <f t="shared" si="750"/>
        <v>269</v>
      </c>
      <c r="CR100" s="74">
        <f t="shared" si="751"/>
        <v>304</v>
      </c>
      <c r="CS100" s="74" t="str">
        <f t="shared" si="752"/>
        <v>-</v>
      </c>
      <c r="CT100" s="23">
        <f t="shared" si="753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ref="A101:A102" si="784">CONCATENATE(B101,"_",C101)</f>
        <v>agtr2_human__wt</v>
      </c>
      <c r="B101" s="3" t="s">
        <v>159</v>
      </c>
      <c r="C101" s="3" t="s">
        <v>100</v>
      </c>
      <c r="D101" s="3" t="str">
        <f>IFERROR(MID(VLOOKUP($B101,Seqs!$A:$B,2,0),E101,1),"")</f>
        <v>D</v>
      </c>
      <c r="E101" s="3">
        <v>45</v>
      </c>
      <c r="F101" s="3" t="str">
        <f>IFERROR(MID(VLOOKUP($B101,Seqs!$A:$B,2,0),G101,1),"")</f>
        <v>Q</v>
      </c>
      <c r="G101" s="3">
        <v>72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V</v>
      </c>
      <c r="M101" s="3">
        <v>78</v>
      </c>
      <c r="N101" s="3" t="str">
        <f>IFERROR(MID(VLOOKUP($B101,Seqs!$A:$B,2,0),O101,1),"")</f>
        <v>Y</v>
      </c>
      <c r="O101" s="3">
        <v>106</v>
      </c>
      <c r="P101" s="3" t="str">
        <f>IFERROR(MID(VLOOKUP($B101,Seqs!$A:$B,2,0),Q101,1),"")</f>
        <v>R</v>
      </c>
      <c r="Q101" s="3">
        <v>107</v>
      </c>
      <c r="R101" s="3" t="str">
        <f>IFERROR(MID(VLOOKUP($B101,Seqs!$A:$B,2,0),S101,1),"")</f>
        <v>F</v>
      </c>
      <c r="S101" s="3">
        <v>112</v>
      </c>
      <c r="T101" s="3" t="str">
        <f>IFERROR(MID(VLOOKUP($B101,Seqs!$A:$B,2,0),U101,1),"")</f>
        <v>G</v>
      </c>
      <c r="U101" s="3">
        <v>113</v>
      </c>
      <c r="V101" s="3" t="str">
        <f>IFERROR(MID(VLOOKUP($B101,Seqs!$A:$B,2,0),W101,1),"")</f>
        <v>Y</v>
      </c>
      <c r="W101" s="3">
        <v>148</v>
      </c>
      <c r="X101" s="3" t="str">
        <f>IFERROR(MID(VLOOKUP($B101,Seqs!$A:$B,2,0),Y101,1),"")</f>
        <v>P</v>
      </c>
      <c r="Y101" s="3">
        <v>149</v>
      </c>
      <c r="Z101" s="3" t="str">
        <f>IFERROR(MID(VLOOKUP($B101,Seqs!$A:$B,2,0),AA101,1),"")</f>
        <v>R</v>
      </c>
      <c r="AA101" s="3">
        <v>155</v>
      </c>
      <c r="AB101" s="3" t="str">
        <f>IFERROR(MID(VLOOKUP($B101,Seqs!$A:$B,2,0),AC101,1),"")</f>
        <v>N</v>
      </c>
      <c r="AC101" s="3">
        <v>156</v>
      </c>
      <c r="AD101" s="3" t="str">
        <f>IFERROR(MID(VLOOKUP($B101,Seqs!$A:$B,2,0),AE101,1),"")</f>
        <v>R</v>
      </c>
      <c r="AE101" s="3">
        <v>182</v>
      </c>
      <c r="AF101" s="3" t="str">
        <f>IFERROR(MID(VLOOKUP($B101,Seqs!$A:$B,2,0),AG101,1),"")</f>
        <v>C</v>
      </c>
      <c r="AG101" s="3">
        <v>195</v>
      </c>
      <c r="AH101" s="3" t="str">
        <f>IFERROR(MID(VLOOKUP($B101,Seqs!$A:$B,2,0),AI101,1),"")</f>
        <v>M</v>
      </c>
      <c r="AI101" s="3">
        <v>197</v>
      </c>
      <c r="AJ101" s="3" t="str">
        <f>IFERROR(MID(VLOOKUP($B101,Seqs!$A:$B,2,0),AK101,1),"")</f>
        <v>K</v>
      </c>
      <c r="AK101" s="3">
        <v>203</v>
      </c>
      <c r="AL101" s="3" t="str">
        <f>IFERROR(MID(VLOOKUP($B101,Seqs!$A:$B,2,0),AM101,1),"")</f>
        <v>T</v>
      </c>
      <c r="AM101" s="3">
        <v>241</v>
      </c>
      <c r="AN101" s="3" t="str">
        <f>IFERROR(MID(VLOOKUP($B101,Seqs!$A:$B,2,0),AO101,1),"")</f>
        <v>G</v>
      </c>
      <c r="AO101" s="3">
        <v>245</v>
      </c>
      <c r="AP101" s="3" t="str">
        <f>IFERROR(MID(VLOOKUP($B101,Seqs!$A:$B,2,0),AQ101,1),"")</f>
        <v>G</v>
      </c>
      <c r="AQ101" s="3">
        <v>285</v>
      </c>
      <c r="AR101" s="3" t="str">
        <f>IFERROR(MID(VLOOKUP($B101,Seqs!$A:$B,2,0),AS101,1),"")</f>
        <v>S</v>
      </c>
      <c r="AS101" s="3">
        <v>289</v>
      </c>
      <c r="AT101" s="3" t="str">
        <f>IFERROR(MID(VLOOKUP($B101,Seqs!$A:$B,2,0),AU101,1),"")</f>
        <v>V</v>
      </c>
      <c r="AU101" s="3">
        <v>321</v>
      </c>
      <c r="AV101" s="3" t="str">
        <f>IFERROR(MID(VLOOKUP($B101,Seqs!$A:$B,2,0),AW101,1),"")</f>
        <v>G</v>
      </c>
      <c r="AW101" s="3">
        <v>322</v>
      </c>
      <c r="AX101" s="3" t="str">
        <f>IFERROR(MID(VLOOKUP($B101,Seqs!$A:$B,2,0),AY101,1),"")</f>
        <v>P</v>
      </c>
      <c r="AY101" s="3">
        <v>336</v>
      </c>
      <c r="AZ101" s="79" t="str">
        <f>VLOOKUP(B101,Classification!A:D,2,0)</f>
        <v>A</v>
      </c>
      <c r="BA101" s="96" t="str">
        <f>VLOOKUP(B101,Classification!A:D,4,0)</f>
        <v>Angiotensin</v>
      </c>
      <c r="BB101" s="27" t="b">
        <f t="shared" ref="BB101:BB102" si="785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 t="shared" ref="BC101:BC102" si="786">_xlfn.AGGREGATE(9,6,CH101:CS101)-_xlfn.AGGREGATE(9,6,BV101:CG101)+12</f>
        <v>265</v>
      </c>
      <c r="BD101" s="2" t="s">
        <v>23</v>
      </c>
      <c r="BE101" s="3" t="s">
        <v>23</v>
      </c>
      <c r="BF101" s="121" t="s">
        <v>23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ref="BV101:BV102" si="787">E101</f>
        <v>45</v>
      </c>
      <c r="BW101" s="73" t="str">
        <f t="shared" ref="BW101:BW102" si="788">I101</f>
        <v>-</v>
      </c>
      <c r="BX101" s="74">
        <f t="shared" ref="BX101:BX102" si="789">M101</f>
        <v>78</v>
      </c>
      <c r="BY101" s="73">
        <f t="shared" ref="BY101:BY102" si="790">Q101</f>
        <v>107</v>
      </c>
      <c r="BZ101" s="74">
        <f t="shared" ref="BZ101:BZ102" si="791">U101</f>
        <v>113</v>
      </c>
      <c r="CA101" s="73">
        <f t="shared" ref="CA101:CA102" si="792">Y101</f>
        <v>149</v>
      </c>
      <c r="CB101" s="74">
        <f t="shared" ref="CB101:CB102" si="793">AC101</f>
        <v>156</v>
      </c>
      <c r="CC101" s="73">
        <f t="shared" ref="CC101:CC102" si="794">AG101</f>
        <v>195</v>
      </c>
      <c r="CD101" s="74">
        <f t="shared" ref="CD101:CD102" si="795">AK101</f>
        <v>203</v>
      </c>
      <c r="CE101" s="73">
        <f t="shared" ref="CE101:CE102" si="796">AO101</f>
        <v>245</v>
      </c>
      <c r="CF101" s="74">
        <f t="shared" ref="CF101:CF102" si="797">AS101</f>
        <v>289</v>
      </c>
      <c r="CG101" s="73">
        <f t="shared" ref="CG101:CG102" si="798">AW101</f>
        <v>322</v>
      </c>
      <c r="CH101" s="72">
        <f t="shared" ref="CH101:CH102" si="799">G101</f>
        <v>72</v>
      </c>
      <c r="CI101" s="73" t="str">
        <f t="shared" ref="CI101:CI102" si="800">K101</f>
        <v>-</v>
      </c>
      <c r="CJ101" s="74">
        <f t="shared" ref="CJ101:CJ102" si="801">O101</f>
        <v>106</v>
      </c>
      <c r="CK101" s="74">
        <f t="shared" ref="CK101:CK102" si="802">S101</f>
        <v>112</v>
      </c>
      <c r="CL101" s="74">
        <f t="shared" ref="CL101:CL102" si="803">W101</f>
        <v>148</v>
      </c>
      <c r="CM101" s="74">
        <f t="shared" ref="CM101:CM102" si="804">AA101</f>
        <v>155</v>
      </c>
      <c r="CN101" s="74">
        <f t="shared" ref="CN101:CN102" si="805">AE101</f>
        <v>182</v>
      </c>
      <c r="CO101" s="74">
        <f t="shared" ref="CO101:CO102" si="806">AI101</f>
        <v>197</v>
      </c>
      <c r="CP101" s="74">
        <f t="shared" ref="CP101:CP102" si="807">AM101</f>
        <v>241</v>
      </c>
      <c r="CQ101" s="74">
        <f t="shared" ref="CQ101:CQ102" si="808">AQ101</f>
        <v>285</v>
      </c>
      <c r="CR101" s="74">
        <f t="shared" ref="CR101:CR102" si="809">AU101</f>
        <v>321</v>
      </c>
      <c r="CS101" s="74">
        <f t="shared" ref="CS101:CS102" si="810">AY101</f>
        <v>336</v>
      </c>
      <c r="CT101" s="23" t="e">
        <f t="shared" ref="CT101:CT102" si="811">M101-K101</f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si="784"/>
        <v>agtr2_human_5UNF</v>
      </c>
      <c r="B102" s="3" t="s">
        <v>159</v>
      </c>
      <c r="C102" s="3" t="s">
        <v>1399</v>
      </c>
      <c r="D102" s="3" t="str">
        <f>IFERROR(MID(VLOOKUP($B102,Seqs!$A:$B,2,0),E102,1),"")</f>
        <v>A</v>
      </c>
      <c r="E102" s="3">
        <v>46</v>
      </c>
      <c r="F102" s="3" t="str">
        <f>IFERROR(MID(VLOOKUP($B102,Seqs!$A:$B,2,0),G102,1),"")</f>
        <v>Q</v>
      </c>
      <c r="G102" s="3">
        <v>72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V</v>
      </c>
      <c r="M102" s="3">
        <v>78</v>
      </c>
      <c r="N102" s="3" t="str">
        <f>IFERROR(MID(VLOOKUP($B102,Seqs!$A:$B,2,0),O102,1),"")</f>
        <v>Y</v>
      </c>
      <c r="O102" s="3">
        <v>106</v>
      </c>
      <c r="P102" s="3" t="str">
        <f>IFERROR(MID(VLOOKUP($B102,Seqs!$A:$B,2,0),Q102,1),"")</f>
        <v>R</v>
      </c>
      <c r="Q102" s="3">
        <v>107</v>
      </c>
      <c r="R102" s="3" t="str">
        <f>IFERROR(MID(VLOOKUP($B102,Seqs!$A:$B,2,0),S102,1),"")</f>
        <v>F</v>
      </c>
      <c r="S102" s="3">
        <v>112</v>
      </c>
      <c r="T102" s="3" t="str">
        <f>IFERROR(MID(VLOOKUP($B102,Seqs!$A:$B,2,0),U102,1),"")</f>
        <v>G</v>
      </c>
      <c r="U102" s="3">
        <v>113</v>
      </c>
      <c r="V102" s="3" t="str">
        <f>IFERROR(MID(VLOOKUP($B102,Seqs!$A:$B,2,0),W102,1),"")</f>
        <v>Y</v>
      </c>
      <c r="W102" s="3">
        <v>148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W</v>
      </c>
      <c r="AC102" s="3">
        <v>158</v>
      </c>
      <c r="AD102" s="3" t="str">
        <f>IFERROR(MID(VLOOKUP($B102,Seqs!$A:$B,2,0),AE102,1),"")</f>
        <v>R</v>
      </c>
      <c r="AE102" s="3">
        <v>182</v>
      </c>
      <c r="AF102" s="3" t="str">
        <f>IFERROR(MID(VLOOKUP($B102,Seqs!$A:$B,2,0),AG102,1),"")</f>
        <v>C</v>
      </c>
      <c r="AG102" s="3">
        <v>195</v>
      </c>
      <c r="AH102" s="3" t="str">
        <f>IFERROR(MID(VLOOKUP($B102,Seqs!$A:$B,2,0),AI102,1),"")</f>
        <v>M</v>
      </c>
      <c r="AI102" s="3">
        <v>197</v>
      </c>
      <c r="AJ102" s="3" t="str">
        <f>IFERROR(MID(VLOOKUP($B102,Seqs!$A:$B,2,0),AK102,1),"")</f>
        <v>Y</v>
      </c>
      <c r="AK102" s="3">
        <v>204</v>
      </c>
      <c r="AL102" s="3" t="str">
        <f>IFERROR(MID(VLOOKUP($B102,Seqs!$A:$B,2,0),AM102,1),"")</f>
        <v>T</v>
      </c>
      <c r="AM102" s="3">
        <v>241</v>
      </c>
      <c r="AN102" s="3" t="str">
        <f>IFERROR(MID(VLOOKUP($B102,Seqs!$A:$B,2,0),AO102,1),"")</f>
        <v>G</v>
      </c>
      <c r="AO102" s="3">
        <v>245</v>
      </c>
      <c r="AP102" s="3" t="str">
        <f>IFERROR(MID(VLOOKUP($B102,Seqs!$A:$B,2,0),AQ102,1),"")</f>
        <v>G</v>
      </c>
      <c r="AQ102" s="3">
        <v>285</v>
      </c>
      <c r="AR102" s="3" t="str">
        <f>IFERROR(MID(VLOOKUP($B102,Seqs!$A:$B,2,0),AS102,1),"")</f>
        <v>C</v>
      </c>
      <c r="AS102" s="3">
        <v>290</v>
      </c>
      <c r="AT102" s="3" t="str">
        <f>IFERROR(MID(VLOOKUP($B102,Seqs!$A:$B,2,0),AU102,1),"")</f>
        <v>V</v>
      </c>
      <c r="AU102" s="3">
        <v>321</v>
      </c>
      <c r="AV102" s="3" t="str">
        <f>IFERROR(MID(VLOOKUP($B102,Seqs!$A:$B,2,0),AW102,1),"")</f>
        <v>G</v>
      </c>
      <c r="AW102" s="3">
        <v>322</v>
      </c>
      <c r="AX102" s="3" t="str">
        <f>IFERROR(MID(VLOOKUP($B102,Seqs!$A:$B,2,0),AY102,1),"")</f>
        <v>R</v>
      </c>
      <c r="AY102" s="3">
        <v>334</v>
      </c>
      <c r="AZ102" s="79"/>
      <c r="BA102" s="96" t="str">
        <f>VLOOKUP(B102,Classification!A:D,4,0)</f>
        <v>Angiotensin</v>
      </c>
      <c r="BB102" s="27" t="b">
        <f t="shared" si="785"/>
        <v>1</v>
      </c>
      <c r="BC102" s="23">
        <f t="shared" si="786"/>
        <v>252</v>
      </c>
      <c r="BD102" s="2" t="s">
        <v>23</v>
      </c>
      <c r="BE102" s="3" t="s">
        <v>1297</v>
      </c>
      <c r="BF102" s="121">
        <v>2.8</v>
      </c>
      <c r="BG102" s="50" t="s">
        <v>1384</v>
      </c>
      <c r="BH102" s="50" t="s">
        <v>1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787"/>
        <v>46</v>
      </c>
      <c r="BW102" s="73" t="str">
        <f t="shared" si="788"/>
        <v>-</v>
      </c>
      <c r="BX102" s="74">
        <f t="shared" si="789"/>
        <v>78</v>
      </c>
      <c r="BY102" s="73">
        <f t="shared" si="790"/>
        <v>107</v>
      </c>
      <c r="BZ102" s="74">
        <f t="shared" si="791"/>
        <v>113</v>
      </c>
      <c r="CA102" s="73" t="str">
        <f t="shared" si="792"/>
        <v>-</v>
      </c>
      <c r="CB102" s="74">
        <f t="shared" si="793"/>
        <v>158</v>
      </c>
      <c r="CC102" s="73">
        <f t="shared" si="794"/>
        <v>195</v>
      </c>
      <c r="CD102" s="74">
        <f t="shared" si="795"/>
        <v>204</v>
      </c>
      <c r="CE102" s="73">
        <f t="shared" si="796"/>
        <v>245</v>
      </c>
      <c r="CF102" s="74">
        <f t="shared" si="797"/>
        <v>290</v>
      </c>
      <c r="CG102" s="73">
        <f t="shared" si="798"/>
        <v>322</v>
      </c>
      <c r="CH102" s="72">
        <f t="shared" si="799"/>
        <v>72</v>
      </c>
      <c r="CI102" s="73" t="str">
        <f t="shared" si="800"/>
        <v>-</v>
      </c>
      <c r="CJ102" s="74">
        <f t="shared" si="801"/>
        <v>106</v>
      </c>
      <c r="CK102" s="74">
        <f t="shared" si="802"/>
        <v>112</v>
      </c>
      <c r="CL102" s="74">
        <f t="shared" si="803"/>
        <v>148</v>
      </c>
      <c r="CM102" s="74" t="str">
        <f t="shared" si="804"/>
        <v>-</v>
      </c>
      <c r="CN102" s="74">
        <f t="shared" si="805"/>
        <v>182</v>
      </c>
      <c r="CO102" s="74">
        <f t="shared" si="806"/>
        <v>197</v>
      </c>
      <c r="CP102" s="74">
        <f t="shared" si="807"/>
        <v>241</v>
      </c>
      <c r="CQ102" s="74">
        <f t="shared" si="808"/>
        <v>285</v>
      </c>
      <c r="CR102" s="74">
        <f t="shared" si="809"/>
        <v>321</v>
      </c>
      <c r="CS102" s="74">
        <f t="shared" si="810"/>
        <v>334</v>
      </c>
      <c r="CT102" s="23" t="e">
        <f t="shared" si="811"/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" si="812">CONCATENATE(B103,"_",C103)</f>
        <v>agtr2_human_5UNG</v>
      </c>
      <c r="B103" s="3" t="s">
        <v>159</v>
      </c>
      <c r="C103" s="3" t="s">
        <v>1401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C</v>
      </c>
      <c r="G103" s="3">
        <v>71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Q</v>
      </c>
      <c r="AC103" s="3">
        <v>159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R</v>
      </c>
      <c r="AY103" s="3">
        <v>334</v>
      </c>
      <c r="AZ103" s="79" t="str">
        <f>VLOOKUP(B103,Classification!A:D,2,0)</f>
        <v>A</v>
      </c>
      <c r="BA103" s="96" t="str">
        <f>VLOOKUP(B103,Classification!A:D,4,0)</f>
        <v>Angiotensin</v>
      </c>
      <c r="BB103" s="27" t="b">
        <f t="shared" ref="BB103" si="813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" si="814">_xlfn.AGGREGATE(9,6,CH103:CS103)-_xlfn.AGGREGATE(9,6,BV103:CG103)+12</f>
        <v>253</v>
      </c>
      <c r="BD103" s="2" t="s">
        <v>1382</v>
      </c>
      <c r="BE103" s="3" t="s">
        <v>1297</v>
      </c>
      <c r="BF103" s="121">
        <v>2.8</v>
      </c>
      <c r="BG103" s="50" t="s">
        <v>1384</v>
      </c>
      <c r="BH103" s="50" t="s">
        <v>1287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ref="BV103" si="815">E103</f>
        <v>45</v>
      </c>
      <c r="BW103" s="73" t="str">
        <f t="shared" ref="BW103" si="816">I103</f>
        <v>-</v>
      </c>
      <c r="BX103" s="74">
        <f t="shared" ref="BX103" si="817">M103</f>
        <v>78</v>
      </c>
      <c r="BY103" s="73">
        <f t="shared" ref="BY103" si="818">Q103</f>
        <v>107</v>
      </c>
      <c r="BZ103" s="74">
        <f t="shared" ref="BZ103" si="819">U103</f>
        <v>113</v>
      </c>
      <c r="CA103" s="73" t="str">
        <f t="shared" ref="CA103" si="820">Y103</f>
        <v>-</v>
      </c>
      <c r="CB103" s="74">
        <f t="shared" ref="CB103" si="821">AC103</f>
        <v>159</v>
      </c>
      <c r="CC103" s="73">
        <f t="shared" ref="CC103" si="822">AG103</f>
        <v>195</v>
      </c>
      <c r="CD103" s="74">
        <f t="shared" ref="CD103" si="823">AK103</f>
        <v>203</v>
      </c>
      <c r="CE103" s="73">
        <f t="shared" ref="CE103" si="824">AO103</f>
        <v>245</v>
      </c>
      <c r="CF103" s="74">
        <f t="shared" ref="CF103" si="825">AS103</f>
        <v>289</v>
      </c>
      <c r="CG103" s="73">
        <f t="shared" ref="CG103" si="826">AW103</f>
        <v>322</v>
      </c>
      <c r="CH103" s="72">
        <f t="shared" ref="CH103" si="827">G103</f>
        <v>71</v>
      </c>
      <c r="CI103" s="73" t="str">
        <f t="shared" ref="CI103" si="828">K103</f>
        <v>-</v>
      </c>
      <c r="CJ103" s="74">
        <f t="shared" ref="CJ103" si="829">O103</f>
        <v>106</v>
      </c>
      <c r="CK103" s="74">
        <f t="shared" ref="CK103" si="830">S103</f>
        <v>112</v>
      </c>
      <c r="CL103" s="74">
        <f t="shared" ref="CL103" si="831">W103</f>
        <v>148</v>
      </c>
      <c r="CM103" s="74" t="str">
        <f t="shared" ref="CM103" si="832">AA103</f>
        <v>-</v>
      </c>
      <c r="CN103" s="74">
        <f t="shared" ref="CN103" si="833">AE103</f>
        <v>182</v>
      </c>
      <c r="CO103" s="74">
        <f t="shared" ref="CO103" si="834">AI103</f>
        <v>197</v>
      </c>
      <c r="CP103" s="74">
        <f t="shared" ref="CP103" si="835">AM103</f>
        <v>241</v>
      </c>
      <c r="CQ103" s="74">
        <f t="shared" ref="CQ103" si="836">AQ103</f>
        <v>285</v>
      </c>
      <c r="CR103" s="74">
        <f t="shared" ref="CR103" si="837">AU103</f>
        <v>321</v>
      </c>
      <c r="CS103" s="74">
        <f t="shared" ref="CS103" si="838">AY103</f>
        <v>334</v>
      </c>
      <c r="CT103" s="23" t="e">
        <f t="shared" ref="CT103" si="839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ref="A104" si="840">CONCATENATE(B104,"_",C104)</f>
        <v>agtr2_human_5UNH</v>
      </c>
      <c r="B104" s="3" t="s">
        <v>159</v>
      </c>
      <c r="C104" s="3" t="s">
        <v>1402</v>
      </c>
      <c r="D104" s="3" t="str">
        <f>IFERROR(MID(VLOOKUP($B104,Seqs!$A:$B,2,0),E104,1),"")</f>
        <v>D</v>
      </c>
      <c r="E104" s="3">
        <v>45</v>
      </c>
      <c r="F104" s="3" t="str">
        <f>IFERROR(MID(VLOOKUP($B104,Seqs!$A:$B,2,0),G104,1),"")</f>
        <v>C</v>
      </c>
      <c r="G104" s="3">
        <v>70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K</v>
      </c>
      <c r="M104" s="3">
        <v>77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Y</v>
      </c>
      <c r="AC104" s="3">
        <v>162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S</v>
      </c>
      <c r="AS104" s="3">
        <v>289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V</v>
      </c>
      <c r="AY104" s="3">
        <v>332</v>
      </c>
      <c r="AZ104" s="79" t="str">
        <f>VLOOKUP(B104,Classification!A:D,2,0)</f>
        <v>A</v>
      </c>
      <c r="BA104" s="96" t="str">
        <f>VLOOKUP(B104,Classification!A:D,4,0)</f>
        <v>Angiotensin</v>
      </c>
      <c r="BB104" s="27" t="b">
        <f t="shared" ref="BB104" si="841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23">
        <f t="shared" ref="BC104" si="842">_xlfn.AGGREGATE(9,6,CH104:CS104)-_xlfn.AGGREGATE(9,6,BV104:CG104)+12</f>
        <v>247</v>
      </c>
      <c r="BD104" s="2" t="s">
        <v>23</v>
      </c>
      <c r="BE104" s="3" t="s">
        <v>1297</v>
      </c>
      <c r="BF104" s="121">
        <v>2.9</v>
      </c>
      <c r="BG104" s="50" t="s">
        <v>1384</v>
      </c>
      <c r="BH104" s="50" t="s">
        <v>1287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ref="BV104" si="843">E104</f>
        <v>45</v>
      </c>
      <c r="BW104" s="73" t="str">
        <f t="shared" ref="BW104" si="844">I104</f>
        <v>-</v>
      </c>
      <c r="BX104" s="74">
        <f t="shared" ref="BX104" si="845">M104</f>
        <v>77</v>
      </c>
      <c r="BY104" s="73">
        <f t="shared" ref="BY104" si="846">Q104</f>
        <v>107</v>
      </c>
      <c r="BZ104" s="74">
        <f t="shared" ref="BZ104" si="847">U104</f>
        <v>113</v>
      </c>
      <c r="CA104" s="73" t="str">
        <f t="shared" ref="CA104" si="848">Y104</f>
        <v>-</v>
      </c>
      <c r="CB104" s="74">
        <f t="shared" ref="CB104" si="849">AC104</f>
        <v>162</v>
      </c>
      <c r="CC104" s="73">
        <f t="shared" ref="CC104" si="850">AG104</f>
        <v>195</v>
      </c>
      <c r="CD104" s="74">
        <f t="shared" ref="CD104" si="851">AK104</f>
        <v>204</v>
      </c>
      <c r="CE104" s="73">
        <f t="shared" ref="CE104" si="852">AO104</f>
        <v>245</v>
      </c>
      <c r="CF104" s="74">
        <f t="shared" ref="CF104" si="853">AS104</f>
        <v>289</v>
      </c>
      <c r="CG104" s="73">
        <f t="shared" ref="CG104" si="854">AW104</f>
        <v>322</v>
      </c>
      <c r="CH104" s="72">
        <f t="shared" ref="CH104" si="855">G104</f>
        <v>70</v>
      </c>
      <c r="CI104" s="73" t="str">
        <f t="shared" ref="CI104" si="856">K104</f>
        <v>-</v>
      </c>
      <c r="CJ104" s="74">
        <f t="shared" ref="CJ104" si="857">O104</f>
        <v>106</v>
      </c>
      <c r="CK104" s="74">
        <f t="shared" ref="CK104" si="858">S104</f>
        <v>112</v>
      </c>
      <c r="CL104" s="74">
        <f t="shared" ref="CL104" si="859">W104</f>
        <v>148</v>
      </c>
      <c r="CM104" s="74" t="str">
        <f t="shared" ref="CM104" si="860">AA104</f>
        <v>-</v>
      </c>
      <c r="CN104" s="74">
        <f t="shared" ref="CN104" si="861">AE104</f>
        <v>182</v>
      </c>
      <c r="CO104" s="74">
        <f t="shared" ref="CO104" si="862">AI104</f>
        <v>197</v>
      </c>
      <c r="CP104" s="74">
        <f t="shared" ref="CP104" si="863">AM104</f>
        <v>241</v>
      </c>
      <c r="CQ104" s="74">
        <f t="shared" ref="CQ104" si="864">AQ104</f>
        <v>285</v>
      </c>
      <c r="CR104" s="74">
        <f t="shared" ref="CR104" si="865">AU104</f>
        <v>321</v>
      </c>
      <c r="CS104" s="74">
        <f t="shared" ref="CS104" si="866">AY104</f>
        <v>332</v>
      </c>
      <c r="CT104" s="23" t="e">
        <f t="shared" ref="CT104" si="867">M104-K104</f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:A106" si="868">CONCATENATE(B105,"_",C105)</f>
        <v>apj_human__wt</v>
      </c>
      <c r="B105" s="3" t="s">
        <v>160</v>
      </c>
      <c r="C105" s="3" t="s">
        <v>100</v>
      </c>
      <c r="D105" s="3" t="str">
        <f>IFERROR(MID(VLOOKUP($B105,Seqs!$A:$B,2,0),E105,1),"")</f>
        <v>A</v>
      </c>
      <c r="E105" s="3">
        <v>29</v>
      </c>
      <c r="F105" s="3" t="str">
        <f>IFERROR(MID(VLOOKUP($B105,Seqs!$A:$B,2,0),G105,1),"")</f>
        <v>S</v>
      </c>
      <c r="G105" s="3">
        <v>56</v>
      </c>
      <c r="H105" s="3" t="str">
        <f>IFERROR(MID(VLOOKUP($B105,Seqs!$A:$B,2,0),I105,1),"")</f>
        <v>S</v>
      </c>
      <c r="I105" s="23">
        <v>57</v>
      </c>
      <c r="J105" s="3" t="str">
        <f>IFERROR(MID(VLOOKUP($B105,Seqs!$A:$B,2,0),K105,1),"")</f>
        <v>R</v>
      </c>
      <c r="K105" s="23">
        <v>61</v>
      </c>
      <c r="L105" s="3" t="str">
        <f>IFERROR(MID(VLOOKUP($B105,Seqs!$A:$B,2,0),M105,1),"")</f>
        <v>R</v>
      </c>
      <c r="M105" s="3">
        <v>62</v>
      </c>
      <c r="N105" s="3" t="str">
        <f>IFERROR(MID(VLOOKUP($B105,Seqs!$A:$B,2,0),O105,1),"")</f>
        <v>D</v>
      </c>
      <c r="O105" s="3">
        <v>92</v>
      </c>
      <c r="P105" s="3" t="str">
        <f>IFERROR(MID(VLOOKUP($B105,Seqs!$A:$B,2,0),Q105,1),"")</f>
        <v>D</v>
      </c>
      <c r="Q105" s="3">
        <v>94</v>
      </c>
      <c r="R105" s="3" t="str">
        <f>IFERROR(MID(VLOOKUP($B105,Seqs!$A:$B,2,0),S105,1),"")</f>
        <v>F</v>
      </c>
      <c r="S105" s="3">
        <v>97</v>
      </c>
      <c r="T105" s="3" t="str">
        <f>IFERROR(MID(VLOOKUP($B105,Seqs!$A:$B,2,0),U105,1),"")</f>
        <v>G</v>
      </c>
      <c r="U105" s="3">
        <v>98</v>
      </c>
      <c r="V105" s="3" t="str">
        <f>IFERROR(MID(VLOOKUP($B105,Seqs!$A:$B,2,0),W105,1),"")</f>
        <v>R</v>
      </c>
      <c r="W105" s="3">
        <v>133</v>
      </c>
      <c r="X105" s="3" t="str">
        <f>IFERROR(MID(VLOOKUP($B105,Seqs!$A:$B,2,0),Y105,1),"")</f>
        <v>P</v>
      </c>
      <c r="Y105" s="3">
        <v>134</v>
      </c>
      <c r="Z105" s="3" t="str">
        <f>IFERROR(MID(VLOOKUP($B105,Seqs!$A:$B,2,0),AA105,1),"")</f>
        <v>R</v>
      </c>
      <c r="AA105" s="3">
        <v>141</v>
      </c>
      <c r="AB105" s="3" t="str">
        <f>IFERROR(MID(VLOOKUP($B105,Seqs!$A:$B,2,0),AC105,1),"")</f>
        <v>L</v>
      </c>
      <c r="AC105" s="3">
        <v>142</v>
      </c>
      <c r="AD105" s="3" t="str">
        <f>IFERROR(MID(VLOOKUP($B105,Seqs!$A:$B,2,0),AE105,1),"")</f>
        <v>R</v>
      </c>
      <c r="AE105" s="3">
        <v>168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M</v>
      </c>
      <c r="AI105" s="3">
        <v>183</v>
      </c>
      <c r="AJ105" s="3" t="str">
        <f>IFERROR(MID(VLOOKUP($B105,Seqs!$A:$B,2,0),AK105,1),"")</f>
        <v>S</v>
      </c>
      <c r="AK105" s="3">
        <v>193</v>
      </c>
      <c r="AL105" s="3" t="str">
        <f>IFERROR(MID(VLOOKUP($B105,Seqs!$A:$B,2,0),AM105,1),"")</f>
        <v>E</v>
      </c>
      <c r="AM105" s="3">
        <v>235</v>
      </c>
      <c r="AN105" s="3" t="str">
        <f>IFERROR(MID(VLOOKUP($B105,Seqs!$A:$B,2,0),AO105,1),"")</f>
        <v>K</v>
      </c>
      <c r="AO105" s="3">
        <v>242</v>
      </c>
      <c r="AP105" s="3" t="str">
        <f>IFERROR(MID(VLOOKUP($B105,Seqs!$A:$B,2,0),AQ105,1),"")</f>
        <v>L</v>
      </c>
      <c r="AQ105" s="3">
        <v>276</v>
      </c>
      <c r="AR105" s="3" t="str">
        <f>IFERROR(MID(VLOOKUP($B105,Seqs!$A:$B,2,0),AS105,1),"")</f>
        <v>P</v>
      </c>
      <c r="AS105" s="3">
        <v>280</v>
      </c>
      <c r="AT105" s="3" t="str">
        <f>IFERROR(MID(VLOOKUP($B105,Seqs!$A:$B,2,0),AU105,1),"")</f>
        <v>F</v>
      </c>
      <c r="AU105" s="3">
        <v>312</v>
      </c>
      <c r="AV105" s="3" t="str">
        <f>IFERROR(MID(VLOOKUP($B105,Seqs!$A:$B,2,0),AW105,1),"")</f>
        <v>D</v>
      </c>
      <c r="AW105" s="3">
        <v>313</v>
      </c>
      <c r="AX105" s="3" t="str">
        <f>IFERROR(MID(VLOOKUP($B105,Seqs!$A:$B,2,0),AY105,1),"")</f>
        <v>G</v>
      </c>
      <c r="AY105" s="3">
        <v>327</v>
      </c>
      <c r="AZ105" s="79" t="str">
        <f>VLOOKUP(B105,Classification!A:D,2,0)</f>
        <v>A</v>
      </c>
      <c r="BA105" s="96" t="str">
        <f>VLOOKUP(B105,Classification!A:D,4,0)</f>
        <v>Apelin</v>
      </c>
      <c r="BB105" s="27" t="b">
        <f t="shared" ref="BB105:BB106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:BC106" si="870">_xlfn.AGGREGATE(9,6,CH105:CS105)-_xlfn.AGGREGATE(9,6,BV105:CG105)+12</f>
        <v>268</v>
      </c>
      <c r="BD105" s="2"/>
      <c r="BE105" s="3" t="s">
        <v>23</v>
      </c>
      <c r="BF105" s="121" t="s">
        <v>23</v>
      </c>
      <c r="BG105" s="50" t="s">
        <v>1287</v>
      </c>
      <c r="BH105" s="50" t="s">
        <v>1287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:BV106" si="871">E105</f>
        <v>29</v>
      </c>
      <c r="BW105" s="73">
        <f t="shared" ref="BW105:BW106" si="872">I105</f>
        <v>57</v>
      </c>
      <c r="BX105" s="74">
        <f t="shared" ref="BX105:BX106" si="873">M105</f>
        <v>62</v>
      </c>
      <c r="BY105" s="73">
        <f t="shared" ref="BY105:BY106" si="874">Q105</f>
        <v>94</v>
      </c>
      <c r="BZ105" s="74">
        <f t="shared" ref="BZ105:BZ106" si="875">U105</f>
        <v>98</v>
      </c>
      <c r="CA105" s="73">
        <f t="shared" ref="CA105:CA106" si="876">Y105</f>
        <v>134</v>
      </c>
      <c r="CB105" s="74">
        <f t="shared" ref="CB105:CB106" si="877">AC105</f>
        <v>142</v>
      </c>
      <c r="CC105" s="73">
        <f t="shared" ref="CC105:CC106" si="878">AG105</f>
        <v>181</v>
      </c>
      <c r="CD105" s="74">
        <f t="shared" ref="CD105:CD106" si="879">AK105</f>
        <v>193</v>
      </c>
      <c r="CE105" s="73">
        <f t="shared" ref="CE105:CE106" si="880">AO105</f>
        <v>242</v>
      </c>
      <c r="CF105" s="74">
        <f t="shared" ref="CF105:CF106" si="881">AS105</f>
        <v>280</v>
      </c>
      <c r="CG105" s="73">
        <f t="shared" ref="CG105:CG106" si="882">AW105</f>
        <v>313</v>
      </c>
      <c r="CH105" s="72">
        <f t="shared" ref="CH105:CH106" si="883">G105</f>
        <v>56</v>
      </c>
      <c r="CI105" s="73">
        <f t="shared" ref="CI105:CI106" si="884">K105</f>
        <v>61</v>
      </c>
      <c r="CJ105" s="74">
        <f t="shared" ref="CJ105:CJ106" si="885">O105</f>
        <v>92</v>
      </c>
      <c r="CK105" s="74">
        <f t="shared" ref="CK105:CK106" si="886">S105</f>
        <v>97</v>
      </c>
      <c r="CL105" s="74">
        <f t="shared" ref="CL105:CL106" si="887">W105</f>
        <v>133</v>
      </c>
      <c r="CM105" s="74">
        <f t="shared" ref="CM105:CM106" si="888">AA105</f>
        <v>141</v>
      </c>
      <c r="CN105" s="74">
        <f t="shared" ref="CN105:CN106" si="889">AE105</f>
        <v>168</v>
      </c>
      <c r="CO105" s="74">
        <f t="shared" ref="CO105:CO106" si="890">AI105</f>
        <v>183</v>
      </c>
      <c r="CP105" s="74">
        <f t="shared" ref="CP105:CP106" si="891">AM105</f>
        <v>235</v>
      </c>
      <c r="CQ105" s="74">
        <f t="shared" ref="CQ105:CQ106" si="892">AQ105</f>
        <v>276</v>
      </c>
      <c r="CR105" s="74">
        <f t="shared" ref="CR105:CR106" si="893">AU105</f>
        <v>312</v>
      </c>
      <c r="CS105" s="74">
        <f t="shared" ref="CS105:CS106" si="894">AY105</f>
        <v>327</v>
      </c>
      <c r="CT105" s="23">
        <f t="shared" ref="CT105:CT106" si="895">M105-K105</f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si="868"/>
        <v>apj_human_5VBL</v>
      </c>
      <c r="B106" s="3" t="s">
        <v>160</v>
      </c>
      <c r="C106" s="3" t="s">
        <v>1424</v>
      </c>
      <c r="D106" s="3" t="str">
        <f>IFERROR(MID(VLOOKUP($B106,Seqs!$A:$B,2,0),E106,1),"")</f>
        <v>A</v>
      </c>
      <c r="E106" s="3">
        <v>29</v>
      </c>
      <c r="F106" s="3" t="str">
        <f>IFERROR(MID(VLOOKUP($B106,Seqs!$A:$B,2,0),G106,1),"")</f>
        <v>S</v>
      </c>
      <c r="G106" s="3">
        <v>56</v>
      </c>
      <c r="H106" s="3" t="str">
        <f>IFERROR(MID(VLOOKUP($B106,Seqs!$A:$B,2,0),I106,1),"")</f>
        <v>S</v>
      </c>
      <c r="I106" s="23">
        <v>57</v>
      </c>
      <c r="J106" s="3" t="str">
        <f>IFERROR(MID(VLOOKUP($B106,Seqs!$A:$B,2,0),K106,1),"")</f>
        <v>R</v>
      </c>
      <c r="K106" s="23">
        <v>61</v>
      </c>
      <c r="L106" s="3" t="str">
        <f>IFERROR(MID(VLOOKUP($B106,Seqs!$A:$B,2,0),M106,1),"")</f>
        <v>R</v>
      </c>
      <c r="M106" s="3">
        <v>62</v>
      </c>
      <c r="N106" s="3" t="str">
        <f>IFERROR(MID(VLOOKUP($B106,Seqs!$A:$B,2,0),O106,1),"")</f>
        <v>D</v>
      </c>
      <c r="O106" s="3">
        <v>92</v>
      </c>
      <c r="P106" s="3" t="str">
        <f>IFERROR(MID(VLOOKUP($B106,Seqs!$A:$B,2,0),Q106,1),"")</f>
        <v>D</v>
      </c>
      <c r="Q106" s="3">
        <v>94</v>
      </c>
      <c r="R106" s="3" t="str">
        <f>IFERROR(MID(VLOOKUP($B106,Seqs!$A:$B,2,0),S106,1),"")</f>
        <v>F</v>
      </c>
      <c r="S106" s="3">
        <v>97</v>
      </c>
      <c r="T106" s="3" t="str">
        <f>IFERROR(MID(VLOOKUP($B106,Seqs!$A:$B,2,0),U106,1),"")</f>
        <v>G</v>
      </c>
      <c r="U106" s="3">
        <v>98</v>
      </c>
      <c r="V106" s="3" t="str">
        <f>IFERROR(MID(VLOOKUP($B106,Seqs!$A:$B,2,0),W106,1),"")</f>
        <v>R</v>
      </c>
      <c r="W106" s="3">
        <v>133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R</v>
      </c>
      <c r="AC106" s="3">
        <v>141</v>
      </c>
      <c r="AD106" s="3" t="str">
        <f>IFERROR(MID(VLOOKUP($B106,Seqs!$A:$B,2,0),AE106,1),"")</f>
        <v>R</v>
      </c>
      <c r="AE106" s="3">
        <v>168</v>
      </c>
      <c r="AF106" s="3" t="str">
        <f>IFERROR(MID(VLOOKUP($B106,Seqs!$A:$B,2,0),AG106,1),"")</f>
        <v>C</v>
      </c>
      <c r="AG106" s="3">
        <v>181</v>
      </c>
      <c r="AH106" s="3" t="str">
        <f>IFERROR(MID(VLOOKUP($B106,Seqs!$A:$B,2,0),AI106,1),"")</f>
        <v>M</v>
      </c>
      <c r="AI106" s="3">
        <v>183</v>
      </c>
      <c r="AJ106" s="3" t="str">
        <f>IFERROR(MID(VLOOKUP($B106,Seqs!$A:$B,2,0),AK106,1),"")</f>
        <v>S</v>
      </c>
      <c r="AK106" s="3">
        <v>193</v>
      </c>
      <c r="AL106" s="3" t="str">
        <f>IFERROR(MID(VLOOKUP($B106,Seqs!$A:$B,2,0),AM106,1),"")</f>
        <v>A</v>
      </c>
      <c r="AM106" s="3">
        <v>229</v>
      </c>
      <c r="AN106" s="3" t="str">
        <f>IFERROR(MID(VLOOKUP($B106,Seqs!$A:$B,2,0),AO106,1),"")</f>
        <v>R</v>
      </c>
      <c r="AO106" s="3">
        <v>244</v>
      </c>
      <c r="AP106" s="3" t="str">
        <f>IFERROR(MID(VLOOKUP($B106,Seqs!$A:$B,2,0),AQ106,1),"")</f>
        <v>L</v>
      </c>
      <c r="AQ106" s="3">
        <v>276</v>
      </c>
      <c r="AR106" s="3" t="str">
        <f>IFERROR(MID(VLOOKUP($B106,Seqs!$A:$B,2,0),AS106,1),"")</f>
        <v>P</v>
      </c>
      <c r="AS106" s="3">
        <v>280</v>
      </c>
      <c r="AT106" s="3" t="str">
        <f>IFERROR(MID(VLOOKUP($B106,Seqs!$A:$B,2,0),AU106,1),"")</f>
        <v>F</v>
      </c>
      <c r="AU106" s="3">
        <v>312</v>
      </c>
      <c r="AV106" s="3" t="str">
        <f>IFERROR(MID(VLOOKUP($B106,Seqs!$A:$B,2,0),AW106,1),"")</f>
        <v>D</v>
      </c>
      <c r="AW106" s="3">
        <v>313</v>
      </c>
      <c r="AX106" s="3" t="str">
        <f>IFERROR(MID(VLOOKUP($B106,Seqs!$A:$B,2,0),AY106,1),"")</f>
        <v>G</v>
      </c>
      <c r="AY106" s="3">
        <v>327</v>
      </c>
      <c r="AZ106" s="79" t="str">
        <f>VLOOKUP(B106,Classification!A:D,2,0)</f>
        <v>A</v>
      </c>
      <c r="BA106" s="96" t="str">
        <f>VLOOKUP(B106,Classification!A:D,4,0)</f>
        <v>Apelin</v>
      </c>
      <c r="BB106" s="27" t="b">
        <f t="shared" si="869"/>
        <v>1</v>
      </c>
      <c r="BC106" s="23">
        <f t="shared" si="870"/>
        <v>254</v>
      </c>
      <c r="BD106" s="2" t="s">
        <v>1383</v>
      </c>
      <c r="BE106" s="3" t="s">
        <v>1381</v>
      </c>
      <c r="BF106" s="121">
        <v>2.6</v>
      </c>
      <c r="BG106" s="50" t="s">
        <v>1287</v>
      </c>
      <c r="BH106" s="50" t="s">
        <v>1287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si="871"/>
        <v>29</v>
      </c>
      <c r="BW106" s="73">
        <f t="shared" si="872"/>
        <v>57</v>
      </c>
      <c r="BX106" s="74">
        <f t="shared" si="873"/>
        <v>62</v>
      </c>
      <c r="BY106" s="73">
        <f t="shared" si="874"/>
        <v>94</v>
      </c>
      <c r="BZ106" s="74">
        <f t="shared" si="875"/>
        <v>98</v>
      </c>
      <c r="CA106" s="73" t="str">
        <f t="shared" si="876"/>
        <v>-</v>
      </c>
      <c r="CB106" s="74">
        <f t="shared" si="877"/>
        <v>141</v>
      </c>
      <c r="CC106" s="73">
        <f t="shared" si="878"/>
        <v>181</v>
      </c>
      <c r="CD106" s="74">
        <f t="shared" si="879"/>
        <v>193</v>
      </c>
      <c r="CE106" s="73">
        <f t="shared" si="880"/>
        <v>244</v>
      </c>
      <c r="CF106" s="74">
        <f t="shared" si="881"/>
        <v>280</v>
      </c>
      <c r="CG106" s="73">
        <f t="shared" si="882"/>
        <v>313</v>
      </c>
      <c r="CH106" s="72">
        <f t="shared" si="883"/>
        <v>56</v>
      </c>
      <c r="CI106" s="73">
        <f t="shared" si="884"/>
        <v>61</v>
      </c>
      <c r="CJ106" s="74">
        <f t="shared" si="885"/>
        <v>92</v>
      </c>
      <c r="CK106" s="74">
        <f t="shared" si="886"/>
        <v>97</v>
      </c>
      <c r="CL106" s="74">
        <f t="shared" si="887"/>
        <v>133</v>
      </c>
      <c r="CM106" s="74" t="str">
        <f t="shared" si="888"/>
        <v>-</v>
      </c>
      <c r="CN106" s="74">
        <f t="shared" si="889"/>
        <v>168</v>
      </c>
      <c r="CO106" s="74">
        <f t="shared" si="890"/>
        <v>183</v>
      </c>
      <c r="CP106" s="74">
        <f t="shared" si="891"/>
        <v>229</v>
      </c>
      <c r="CQ106" s="74">
        <f t="shared" si="892"/>
        <v>276</v>
      </c>
      <c r="CR106" s="74">
        <f t="shared" si="893"/>
        <v>312</v>
      </c>
      <c r="CS106" s="74">
        <f t="shared" si="894"/>
        <v>327</v>
      </c>
      <c r="CT106" s="23">
        <f t="shared" si="895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si="754"/>
        <v>ccr2_human__wt</v>
      </c>
      <c r="B107" s="3" t="s">
        <v>170</v>
      </c>
      <c r="C107" s="3" t="s">
        <v>100</v>
      </c>
      <c r="D107" s="3" t="str">
        <f>IFERROR(MID(VLOOKUP($B107,Seqs!$A:$B,2,0),E107,1),"")</f>
        <v>V</v>
      </c>
      <c r="E107" s="3">
        <v>37</v>
      </c>
      <c r="F107" s="3" t="str">
        <f>IFERROR(MID(VLOOKUP($B107,Seqs!$A:$B,2,0),G107,1),"")</f>
        <v>C</v>
      </c>
      <c r="G107" s="3">
        <v>70</v>
      </c>
      <c r="H107" s="3" t="str">
        <f>IFERROR(MID(VLOOKUP($B107,Seqs!$A:$B,2,0),I107,1),"")</f>
        <v>K</v>
      </c>
      <c r="I107" s="23">
        <v>71</v>
      </c>
      <c r="J107" s="3" t="str">
        <f>IFERROR(MID(VLOOKUP($B107,Seqs!$A:$B,2,0),K107,1),"")</f>
        <v>K</v>
      </c>
      <c r="K107" s="23">
        <v>74</v>
      </c>
      <c r="L107" s="3" t="str">
        <f>IFERROR(MID(VLOOKUP($B107,Seqs!$A:$B,2,0),M107,1),"")</f>
        <v>C</v>
      </c>
      <c r="M107" s="3">
        <v>75</v>
      </c>
      <c r="N107" s="3" t="str">
        <f>IFERROR(MID(VLOOKUP($B107,Seqs!$A:$B,2,0),O107,1),"")</f>
        <v>N</v>
      </c>
      <c r="O107" s="3">
        <v>104</v>
      </c>
      <c r="P107" s="3" t="str">
        <f>IFERROR(MID(VLOOKUP($B107,Seqs!$A:$B,2,0),Q107,1),"")</f>
        <v>E</v>
      </c>
      <c r="Q107" s="3">
        <v>105</v>
      </c>
      <c r="R107" s="3" t="str">
        <f>IFERROR(MID(VLOOKUP($B107,Seqs!$A:$B,2,0),S107,1),"")</f>
        <v>F</v>
      </c>
      <c r="S107" s="3">
        <v>108</v>
      </c>
      <c r="T107" s="3" t="str">
        <f>IFERROR(MID(VLOOKUP($B107,Seqs!$A:$B,2,0),U107,1),"")</f>
        <v>G</v>
      </c>
      <c r="U107" s="3">
        <v>109</v>
      </c>
      <c r="V107" s="3" t="str">
        <f>IFERROR(MID(VLOOKUP($B107,Seqs!$A:$B,2,0),W107,1),"")</f>
        <v>H</v>
      </c>
      <c r="W107" s="3">
        <v>144</v>
      </c>
      <c r="X107" s="3" t="str">
        <f>IFERROR(MID(VLOOKUP($B107,Seqs!$A:$B,2,0),Y107,1),"")</f>
        <v>A</v>
      </c>
      <c r="Y107" s="3">
        <v>145</v>
      </c>
      <c r="Z107" s="3" t="str">
        <f>IFERROR(MID(VLOOKUP($B107,Seqs!$A:$B,2,0),AA107,1),"")</f>
        <v>R</v>
      </c>
      <c r="AA107" s="3">
        <v>152</v>
      </c>
      <c r="AB107" s="3" t="str">
        <f>IFERROR(MID(VLOOKUP($B107,Seqs!$A:$B,2,0),AC107,1),"")</f>
        <v>T</v>
      </c>
      <c r="AC107" s="9">
        <v>153</v>
      </c>
      <c r="AD107" s="3" t="str">
        <f>IFERROR(MID(VLOOKUP($B107,Seqs!$A:$B,2,0),AE107,1),"")</f>
        <v>T</v>
      </c>
      <c r="AE107" s="3">
        <v>179</v>
      </c>
      <c r="AF107" s="3" t="str">
        <f>IFERROR(MID(VLOOKUP($B107,Seqs!$A:$B,2,0),AG107,1),"")</f>
        <v>C</v>
      </c>
      <c r="AG107" s="3">
        <v>190</v>
      </c>
      <c r="AH107" s="3" t="str">
        <f>IFERROR(MID(VLOOKUP($B107,Seqs!$A:$B,2,0),AI107,1),"")</f>
        <v>P</v>
      </c>
      <c r="AI107" s="3">
        <v>192</v>
      </c>
      <c r="AJ107" s="3" t="str">
        <f>IFERROR(MID(VLOOKUP($B107,Seqs!$A:$B,2,0),AK107,1),"")</f>
        <v>P</v>
      </c>
      <c r="AK107" s="3">
        <v>195</v>
      </c>
      <c r="AL107" s="3" t="str">
        <f>IFERROR(MID(VLOOKUP($B107,Seqs!$A:$B,2,0),AM107,1),"")</f>
        <v>C</v>
      </c>
      <c r="AM107" s="3">
        <v>232</v>
      </c>
      <c r="AN107" s="3" t="str">
        <f>IFERROR(MID(VLOOKUP($B107,Seqs!$A:$B,2,0),AO107,1),"")</f>
        <v>K</v>
      </c>
      <c r="AO107" s="3">
        <v>236</v>
      </c>
      <c r="AP107" s="3" t="str">
        <f>IFERROR(MID(VLOOKUP($B107,Seqs!$A:$B,2,0),AQ107,1),"")</f>
        <v>G</v>
      </c>
      <c r="AQ107" s="3">
        <v>273</v>
      </c>
      <c r="AR107" s="3" t="str">
        <f>IFERROR(MID(VLOOKUP($B107,Seqs!$A:$B,2,0),AS107,1),"")</f>
        <v>E</v>
      </c>
      <c r="AS107" s="3">
        <v>278</v>
      </c>
      <c r="AT107" s="3" t="str">
        <f>IFERROR(MID(VLOOKUP($B107,Seqs!$A:$B,2,0),AU107,1),"")</f>
        <v>V</v>
      </c>
      <c r="AU107" s="3">
        <v>308</v>
      </c>
      <c r="AV107" s="3" t="str">
        <f>IFERROR(MID(VLOOKUP($B107,Seqs!$A:$B,2,0),AW107,1),"")</f>
        <v>G</v>
      </c>
      <c r="AW107" s="3">
        <v>309</v>
      </c>
      <c r="AX107" s="3" t="str">
        <f>IFERROR(MID(VLOOKUP($B107,Seqs!$A:$B,2,0),AY107,1),"")</f>
        <v>L</v>
      </c>
      <c r="AY107" s="3">
        <v>320</v>
      </c>
      <c r="AZ107" s="79" t="str">
        <f>VLOOKUP(B107,Classification!A:D,2,0)</f>
        <v>A</v>
      </c>
      <c r="BA107" s="96" t="str">
        <f>VLOOKUP(B107,Classification!A:D,4,0)</f>
        <v>Chemokine</v>
      </c>
      <c r="BB107" s="27" t="b">
        <f t="shared" si="755"/>
        <v>1</v>
      </c>
      <c r="BC107" s="23">
        <f t="shared" si="728"/>
        <v>265</v>
      </c>
      <c r="BD107" s="2" t="s">
        <v>23</v>
      </c>
      <c r="BE107" s="3" t="s">
        <v>23</v>
      </c>
      <c r="BF107" s="121" t="s">
        <v>23</v>
      </c>
      <c r="BG107" s="50" t="s">
        <v>1379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si="729"/>
        <v>37</v>
      </c>
      <c r="BW107" s="73">
        <f t="shared" si="730"/>
        <v>71</v>
      </c>
      <c r="BX107" s="74">
        <f t="shared" si="731"/>
        <v>75</v>
      </c>
      <c r="BY107" s="73">
        <f t="shared" si="732"/>
        <v>105</v>
      </c>
      <c r="BZ107" s="74">
        <f t="shared" si="733"/>
        <v>109</v>
      </c>
      <c r="CA107" s="73">
        <f t="shared" si="734"/>
        <v>145</v>
      </c>
      <c r="CB107" s="74">
        <f t="shared" si="735"/>
        <v>153</v>
      </c>
      <c r="CC107" s="73">
        <f t="shared" si="736"/>
        <v>190</v>
      </c>
      <c r="CD107" s="74">
        <f t="shared" si="737"/>
        <v>195</v>
      </c>
      <c r="CE107" s="73">
        <f t="shared" si="738"/>
        <v>236</v>
      </c>
      <c r="CF107" s="74">
        <f t="shared" si="739"/>
        <v>278</v>
      </c>
      <c r="CG107" s="73">
        <f t="shared" si="740"/>
        <v>309</v>
      </c>
      <c r="CH107" s="72">
        <f t="shared" si="741"/>
        <v>70</v>
      </c>
      <c r="CI107" s="73">
        <f t="shared" si="742"/>
        <v>74</v>
      </c>
      <c r="CJ107" s="74">
        <f t="shared" si="743"/>
        <v>104</v>
      </c>
      <c r="CK107" s="74">
        <f t="shared" si="744"/>
        <v>108</v>
      </c>
      <c r="CL107" s="74">
        <f t="shared" si="745"/>
        <v>144</v>
      </c>
      <c r="CM107" s="74">
        <f t="shared" si="746"/>
        <v>152</v>
      </c>
      <c r="CN107" s="74">
        <f t="shared" si="747"/>
        <v>179</v>
      </c>
      <c r="CO107" s="74">
        <f t="shared" si="748"/>
        <v>192</v>
      </c>
      <c r="CP107" s="74">
        <f t="shared" si="749"/>
        <v>232</v>
      </c>
      <c r="CQ107" s="74">
        <f t="shared" si="750"/>
        <v>273</v>
      </c>
      <c r="CR107" s="74">
        <f t="shared" si="751"/>
        <v>308</v>
      </c>
      <c r="CS107" s="74">
        <f t="shared" si="752"/>
        <v>320</v>
      </c>
      <c r="CT107" s="23">
        <f t="shared" si="753"/>
        <v>1</v>
      </c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</row>
    <row r="108" spans="1:1030" x14ac:dyDescent="0.2">
      <c r="A108" s="3" t="str">
        <f t="shared" si="754"/>
        <v>ccr2_human_5T1A</v>
      </c>
      <c r="B108" s="3" t="s">
        <v>170</v>
      </c>
      <c r="C108" s="3" t="s">
        <v>1385</v>
      </c>
      <c r="D108" s="3" t="str">
        <f>IFERROR(MID(VLOOKUP($B108,Seqs!$A:$B,2,0),E108,1),"")</f>
        <v>V</v>
      </c>
      <c r="E108" s="3">
        <v>37</v>
      </c>
      <c r="F108" s="3" t="str">
        <f>IFERROR(MID(VLOOKUP($B108,Seqs!$A:$B,2,0),G108,1),"")</f>
        <v>C</v>
      </c>
      <c r="G108" s="3">
        <v>70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C</v>
      </c>
      <c r="M108" s="3">
        <v>75</v>
      </c>
      <c r="N108" s="3" t="str">
        <f>IFERROR(MID(VLOOKUP($B108,Seqs!$A:$B,2,0),O108,1),"")</f>
        <v>N</v>
      </c>
      <c r="O108" s="3">
        <v>104</v>
      </c>
      <c r="P108" s="3" t="str">
        <f>IFERROR(MID(VLOOKUP($B108,Seqs!$A:$B,2,0),Q108,1),"")</f>
        <v>E</v>
      </c>
      <c r="Q108" s="3">
        <v>105</v>
      </c>
      <c r="R108" s="3" t="str">
        <f>IFERROR(MID(VLOOKUP($B108,Seqs!$A:$B,2,0),S108,1),"")</f>
        <v>F</v>
      </c>
      <c r="S108" s="3">
        <v>108</v>
      </c>
      <c r="T108" s="3" t="str">
        <f>IFERROR(MID(VLOOKUP($B108,Seqs!$A:$B,2,0),U108,1),"")</f>
        <v>G</v>
      </c>
      <c r="U108" s="3">
        <v>109</v>
      </c>
      <c r="V108" s="3" t="str">
        <f>IFERROR(MID(VLOOKUP($B108,Seqs!$A:$B,2,0),W108,1),"")</f>
        <v>H</v>
      </c>
      <c r="W108" s="3">
        <v>144</v>
      </c>
      <c r="X108" s="3" t="str">
        <f>IFERROR(MID(VLOOKUP($B108,Seqs!$A:$B,2,0),Y108,1),"")</f>
        <v>A</v>
      </c>
      <c r="Y108" s="3">
        <v>145</v>
      </c>
      <c r="Z108" s="3" t="str">
        <f>IFERROR(MID(VLOOKUP($B108,Seqs!$A:$B,2,0),AA108,1),"")</f>
        <v>R</v>
      </c>
      <c r="AA108" s="3">
        <v>152</v>
      </c>
      <c r="AB108" s="3" t="str">
        <f>IFERROR(MID(VLOOKUP($B108,Seqs!$A:$B,2,0),AC108,1),"")</f>
        <v>T</v>
      </c>
      <c r="AC108" s="9">
        <v>153</v>
      </c>
      <c r="AD108" s="3" t="str">
        <f>IFERROR(MID(VLOOKUP($B108,Seqs!$A:$B,2,0),AE108,1),"")</f>
        <v>T</v>
      </c>
      <c r="AE108" s="3">
        <v>179</v>
      </c>
      <c r="AF108" s="3" t="str">
        <f>IFERROR(MID(VLOOKUP($B108,Seqs!$A:$B,2,0),AG108,1),"")</f>
        <v>C</v>
      </c>
      <c r="AG108" s="3">
        <v>190</v>
      </c>
      <c r="AH108" s="3" t="str">
        <f>IFERROR(MID(VLOOKUP($B108,Seqs!$A:$B,2,0),AI108,1),"")</f>
        <v>P</v>
      </c>
      <c r="AI108" s="3">
        <v>192</v>
      </c>
      <c r="AJ108" s="3" t="str">
        <f>IFERROR(MID(VLOOKUP($B108,Seqs!$A:$B,2,0),AK108,1),"")</f>
        <v>P</v>
      </c>
      <c r="AK108" s="3">
        <v>195</v>
      </c>
      <c r="AL108" s="3" t="str">
        <f>IFERROR(MID(VLOOKUP($B108,Seqs!$A:$B,2,0),AM108,1),"")</f>
        <v>T</v>
      </c>
      <c r="AM108" s="3">
        <v>228</v>
      </c>
      <c r="AN108" s="3" t="str">
        <f>IFERROR(MID(VLOOKUP($B108,Seqs!$A:$B,2,0),AO108,1),"")</f>
        <v>K</v>
      </c>
      <c r="AO108" s="3">
        <v>236</v>
      </c>
      <c r="AP108" s="3" t="str">
        <f>IFERROR(MID(VLOOKUP($B108,Seqs!$A:$B,2,0),AQ108,1),"")</f>
        <v>G</v>
      </c>
      <c r="AQ108" s="3">
        <v>273</v>
      </c>
      <c r="AR108" s="3" t="str">
        <f>IFERROR(MID(VLOOKUP($B108,Seqs!$A:$B,2,0),AS108,1),"")</f>
        <v>E</v>
      </c>
      <c r="AS108" s="3">
        <v>278</v>
      </c>
      <c r="AT108" s="3" t="str">
        <f>IFERROR(MID(VLOOKUP($B108,Seqs!$A:$B,2,0),AU108,1),"")</f>
        <v>V</v>
      </c>
      <c r="AU108" s="3">
        <v>308</v>
      </c>
      <c r="AV108" s="3" t="str">
        <f>IFERROR(MID(VLOOKUP($B108,Seqs!$A:$B,2,0),AW108,1),"")</f>
        <v>G</v>
      </c>
      <c r="AW108" s="3">
        <v>309</v>
      </c>
      <c r="AX108" s="3" t="str">
        <f>IFERROR(MID(VLOOKUP($B108,Seqs!$A:$B,2,0),AY108,1),"")</f>
        <v>L</v>
      </c>
      <c r="AY108" s="3">
        <v>320</v>
      </c>
      <c r="AZ108" s="79" t="str">
        <f>VLOOKUP(B108,Classification!A:D,2,0)</f>
        <v>A</v>
      </c>
      <c r="BA108" s="96" t="str">
        <f>VLOOKUP(B108,Classification!A:D,4,0)</f>
        <v>Chemokine</v>
      </c>
      <c r="BB108" s="27" t="b">
        <f t="shared" si="755"/>
        <v>1</v>
      </c>
      <c r="BC108" s="23">
        <f t="shared" si="728"/>
        <v>258</v>
      </c>
      <c r="BD108" s="16" t="s">
        <v>1383</v>
      </c>
      <c r="BE108" s="3" t="s">
        <v>1381</v>
      </c>
      <c r="BF108" s="121">
        <v>2.81</v>
      </c>
      <c r="BG108" s="50" t="s">
        <v>1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729"/>
        <v>37</v>
      </c>
      <c r="BW108" s="73" t="str">
        <f t="shared" si="730"/>
        <v>-</v>
      </c>
      <c r="BX108" s="74">
        <f t="shared" si="731"/>
        <v>75</v>
      </c>
      <c r="BY108" s="73">
        <f t="shared" si="732"/>
        <v>105</v>
      </c>
      <c r="BZ108" s="74">
        <f t="shared" si="733"/>
        <v>109</v>
      </c>
      <c r="CA108" s="73">
        <f t="shared" si="734"/>
        <v>145</v>
      </c>
      <c r="CB108" s="74">
        <f t="shared" si="735"/>
        <v>153</v>
      </c>
      <c r="CC108" s="73">
        <f t="shared" si="736"/>
        <v>190</v>
      </c>
      <c r="CD108" s="74">
        <f t="shared" si="737"/>
        <v>195</v>
      </c>
      <c r="CE108" s="73">
        <f t="shared" si="738"/>
        <v>236</v>
      </c>
      <c r="CF108" s="74">
        <f t="shared" si="739"/>
        <v>278</v>
      </c>
      <c r="CG108" s="73">
        <f t="shared" si="740"/>
        <v>309</v>
      </c>
      <c r="CH108" s="72">
        <f t="shared" si="741"/>
        <v>70</v>
      </c>
      <c r="CI108" s="73" t="str">
        <f t="shared" si="742"/>
        <v>-</v>
      </c>
      <c r="CJ108" s="74">
        <f t="shared" si="743"/>
        <v>104</v>
      </c>
      <c r="CK108" s="74">
        <f t="shared" si="744"/>
        <v>108</v>
      </c>
      <c r="CL108" s="74">
        <f t="shared" si="745"/>
        <v>144</v>
      </c>
      <c r="CM108" s="74">
        <f t="shared" si="746"/>
        <v>152</v>
      </c>
      <c r="CN108" s="74">
        <f t="shared" si="747"/>
        <v>179</v>
      </c>
      <c r="CO108" s="74">
        <f t="shared" si="748"/>
        <v>192</v>
      </c>
      <c r="CP108" s="74">
        <f t="shared" si="749"/>
        <v>228</v>
      </c>
      <c r="CQ108" s="74">
        <f t="shared" si="750"/>
        <v>273</v>
      </c>
      <c r="CR108" s="74">
        <f t="shared" si="751"/>
        <v>308</v>
      </c>
      <c r="CS108" s="74">
        <f t="shared" si="752"/>
        <v>320</v>
      </c>
      <c r="CT108" s="23" t="e">
        <f t="shared" si="753"/>
        <v>#VALUE!</v>
      </c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</row>
    <row r="109" spans="1:1030" x14ac:dyDescent="0.2">
      <c r="A109" s="3" t="str">
        <f t="shared" si="754"/>
        <v>ccr5_human__wt</v>
      </c>
      <c r="B109" s="3" t="s">
        <v>173</v>
      </c>
      <c r="C109" s="3" t="s">
        <v>100</v>
      </c>
      <c r="D109" s="3" t="str">
        <f>IFERROR(MID(VLOOKUP($B109,Seqs!$A:$B,2,0),E109,1),"")</f>
        <v>K</v>
      </c>
      <c r="E109" s="3">
        <v>22</v>
      </c>
      <c r="F109" s="3" t="str">
        <f>IFERROR(MID(VLOOKUP($B109,Seqs!$A:$B,2,0),G109,1),"")</f>
        <v>C</v>
      </c>
      <c r="G109" s="3">
        <v>58</v>
      </c>
      <c r="H109" s="3" t="str">
        <f>IFERROR(MID(VLOOKUP($B109,Seqs!$A:$B,2,0),I109,1),"")</f>
        <v>K</v>
      </c>
      <c r="I109" s="23">
        <v>59</v>
      </c>
      <c r="J109" s="3" t="str">
        <f>IFERROR(MID(VLOOKUP($B109,Seqs!$A:$B,2,0),K109,1),"")</f>
        <v>K</v>
      </c>
      <c r="K109" s="23">
        <v>62</v>
      </c>
      <c r="L109" s="3" t="str">
        <f>IFERROR(MID(VLOOKUP($B109,Seqs!$A:$B,2,0),M109,1),"")</f>
        <v>S</v>
      </c>
      <c r="M109" s="3">
        <v>63</v>
      </c>
      <c r="N109" s="3" t="str">
        <f>IFERROR(MID(VLOOKUP($B109,Seqs!$A:$B,2,0),O109,1),"")</f>
        <v>A</v>
      </c>
      <c r="O109" s="3">
        <v>92</v>
      </c>
      <c r="P109" s="3" t="str">
        <f>IFERROR(MID(VLOOKUP($B109,Seqs!$A:$B,2,0),Q109,1),"")</f>
        <v>Q</v>
      </c>
      <c r="Q109" s="3">
        <v>93</v>
      </c>
      <c r="R109" s="3" t="str">
        <f>IFERROR(MID(VLOOKUP($B109,Seqs!$A:$B,2,0),S109,1),"")</f>
        <v>F</v>
      </c>
      <c r="S109" s="3">
        <v>96</v>
      </c>
      <c r="T109" s="3" t="str">
        <f>IFERROR(MID(VLOOKUP($B109,Seqs!$A:$B,2,0),U109,1),"")</f>
        <v>G</v>
      </c>
      <c r="U109" s="3">
        <v>97</v>
      </c>
      <c r="V109" s="3" t="str">
        <f>IFERROR(MID(VLOOKUP($B109,Seqs!$A:$B,2,0),W109,1),"")</f>
        <v>H</v>
      </c>
      <c r="W109" s="3">
        <v>132</v>
      </c>
      <c r="X109" s="3" t="str">
        <f>IFERROR(MID(VLOOKUP($B109,Seqs!$A:$B,2,0),Y109,1),"")</f>
        <v>A</v>
      </c>
      <c r="Y109" s="3">
        <v>133</v>
      </c>
      <c r="Z109" s="3" t="str">
        <f>IFERROR(MID(VLOOKUP($B109,Seqs!$A:$B,2,0),AA109,1),"")</f>
        <v>R</v>
      </c>
      <c r="AA109" s="3">
        <v>140</v>
      </c>
      <c r="AB109" s="3" t="str">
        <f>IFERROR(MID(VLOOKUP($B109,Seqs!$A:$B,2,0),AC109,1),"")</f>
        <v>T</v>
      </c>
      <c r="AC109" s="9">
        <v>141</v>
      </c>
      <c r="AD109" s="3" t="str">
        <f>IFERROR(MID(VLOOKUP($B109,Seqs!$A:$B,2,0),AE109,1),"")</f>
        <v>T</v>
      </c>
      <c r="AE109" s="3">
        <v>167</v>
      </c>
      <c r="AF109" s="3" t="str">
        <f>IFERROR(MID(VLOOKUP($B109,Seqs!$A:$B,2,0),AG109,1),"")</f>
        <v>C</v>
      </c>
      <c r="AG109" s="3">
        <v>178</v>
      </c>
      <c r="AH109" s="3" t="str">
        <f>IFERROR(MID(VLOOKUP($B109,Seqs!$A:$B,2,0),AI109,1),"")</f>
        <v>S</v>
      </c>
      <c r="AI109" s="3">
        <v>180</v>
      </c>
      <c r="AJ109" s="3" t="str">
        <f>IFERROR(MID(VLOOKUP($B109,Seqs!$A:$B,2,0),AK109,1),"")</f>
        <v>Q</v>
      </c>
      <c r="AK109" s="3">
        <v>186</v>
      </c>
      <c r="AL109" s="3" t="str">
        <f>IFERROR(MID(VLOOKUP($B109,Seqs!$A:$B,2,0),AM109,1),"")</f>
        <v>C</v>
      </c>
      <c r="AM109" s="3">
        <v>224</v>
      </c>
      <c r="AN109" s="3" t="str">
        <f>IFERROR(MID(VLOOKUP($B109,Seqs!$A:$B,2,0),AO109,1),"")</f>
        <v>K</v>
      </c>
      <c r="AO109" s="3">
        <v>228</v>
      </c>
      <c r="AP109" s="3" t="str">
        <f>IFERROR(MID(VLOOKUP($B109,Seqs!$A:$B,2,0),AQ109,1),"")</f>
        <v>G</v>
      </c>
      <c r="AQ109" s="3">
        <v>265</v>
      </c>
      <c r="AR109" s="3" t="str">
        <f>IFERROR(MID(VLOOKUP($B109,Seqs!$A:$B,2,0),AS109,1),"")</f>
        <v>N</v>
      </c>
      <c r="AS109" s="3">
        <v>268</v>
      </c>
      <c r="AT109" s="3" t="str">
        <f>IFERROR(MID(VLOOKUP($B109,Seqs!$A:$B,2,0),AU109,1),"")</f>
        <v>V</v>
      </c>
      <c r="AU109" s="3">
        <v>300</v>
      </c>
      <c r="AV109" s="3" t="str">
        <f>IFERROR(MID(VLOOKUP($B109,Seqs!$A:$B,2,0),AW109,1),"")</f>
        <v>G</v>
      </c>
      <c r="AW109" s="3">
        <v>301</v>
      </c>
      <c r="AX109" s="3" t="str">
        <f>IFERROR(MID(VLOOKUP($B109,Seqs!$A:$B,2,0),AY109,1),"")</f>
        <v>Q</v>
      </c>
      <c r="AY109" s="3">
        <v>313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755"/>
        <v>1</v>
      </c>
      <c r="BC109" s="23">
        <f t="shared" si="728"/>
        <v>272</v>
      </c>
      <c r="BD109" s="35" t="s">
        <v>1379</v>
      </c>
      <c r="BE109" s="3" t="s">
        <v>23</v>
      </c>
      <c r="BF109" s="121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729"/>
        <v>22</v>
      </c>
      <c r="BW109" s="73">
        <f t="shared" si="730"/>
        <v>59</v>
      </c>
      <c r="BX109" s="74">
        <f t="shared" si="731"/>
        <v>63</v>
      </c>
      <c r="BY109" s="73">
        <f t="shared" si="732"/>
        <v>93</v>
      </c>
      <c r="BZ109" s="74">
        <f t="shared" si="733"/>
        <v>97</v>
      </c>
      <c r="CA109" s="73">
        <f t="shared" si="734"/>
        <v>133</v>
      </c>
      <c r="CB109" s="74">
        <f t="shared" si="735"/>
        <v>141</v>
      </c>
      <c r="CC109" s="73">
        <f t="shared" si="736"/>
        <v>178</v>
      </c>
      <c r="CD109" s="74">
        <f t="shared" si="737"/>
        <v>186</v>
      </c>
      <c r="CE109" s="73">
        <f t="shared" si="738"/>
        <v>228</v>
      </c>
      <c r="CF109" s="74">
        <f t="shared" si="739"/>
        <v>268</v>
      </c>
      <c r="CG109" s="73">
        <f t="shared" si="740"/>
        <v>301</v>
      </c>
      <c r="CH109" s="72">
        <f t="shared" si="741"/>
        <v>58</v>
      </c>
      <c r="CI109" s="73">
        <f t="shared" si="742"/>
        <v>62</v>
      </c>
      <c r="CJ109" s="74">
        <f t="shared" si="743"/>
        <v>92</v>
      </c>
      <c r="CK109" s="74">
        <f t="shared" si="744"/>
        <v>96</v>
      </c>
      <c r="CL109" s="74">
        <f t="shared" si="745"/>
        <v>132</v>
      </c>
      <c r="CM109" s="74">
        <f t="shared" si="746"/>
        <v>140</v>
      </c>
      <c r="CN109" s="74">
        <f t="shared" si="747"/>
        <v>167</v>
      </c>
      <c r="CO109" s="74">
        <f t="shared" si="748"/>
        <v>180</v>
      </c>
      <c r="CP109" s="74">
        <f t="shared" si="749"/>
        <v>224</v>
      </c>
      <c r="CQ109" s="74">
        <f t="shared" si="750"/>
        <v>265</v>
      </c>
      <c r="CR109" s="74">
        <f t="shared" si="751"/>
        <v>300</v>
      </c>
      <c r="CS109" s="74">
        <f t="shared" si="752"/>
        <v>313</v>
      </c>
      <c r="CT109" s="23">
        <f t="shared" si="753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754"/>
        <v>ccr5_human_4MBS</v>
      </c>
      <c r="B110" s="3" t="s">
        <v>173</v>
      </c>
      <c r="C110" s="3" t="s">
        <v>74</v>
      </c>
      <c r="D110" s="3" t="str">
        <f>IFERROR(MID(VLOOKUP($B110,Seqs!$A:$B,2,0),E110,1),"")</f>
        <v>V</v>
      </c>
      <c r="E110" s="3">
        <v>25</v>
      </c>
      <c r="F110" s="3" t="str">
        <f>IFERROR(MID(VLOOKUP($B110,Seqs!$A:$B,2,0),G110,1),"")</f>
        <v>C</v>
      </c>
      <c r="G110" s="3">
        <v>58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63</v>
      </c>
      <c r="N110" s="3" t="str">
        <f>IFERROR(MID(VLOOKUP($B110,Seqs!$A:$B,2,0),O110,1),"")</f>
        <v>A</v>
      </c>
      <c r="O110" s="3">
        <v>92</v>
      </c>
      <c r="P110" s="3" t="str">
        <f>IFERROR(MID(VLOOKUP($B110,Seqs!$A:$B,2,0),Q110,1),"")</f>
        <v>Q</v>
      </c>
      <c r="Q110" s="3">
        <v>93</v>
      </c>
      <c r="R110" s="3" t="str">
        <f>IFERROR(MID(VLOOKUP($B110,Seqs!$A:$B,2,0),S110,1),"")</f>
        <v>F</v>
      </c>
      <c r="S110" s="3">
        <v>96</v>
      </c>
      <c r="T110" s="3" t="str">
        <f>IFERROR(MID(VLOOKUP($B110,Seqs!$A:$B,2,0),U110,1),"")</f>
        <v>G</v>
      </c>
      <c r="U110" s="3">
        <v>97</v>
      </c>
      <c r="V110" s="3" t="str">
        <f>IFERROR(MID(VLOOKUP($B110,Seqs!$A:$B,2,0),W110,1),"")</f>
        <v>H</v>
      </c>
      <c r="W110" s="3">
        <v>132</v>
      </c>
      <c r="X110" s="3" t="str">
        <f>IFERROR(MID(VLOOKUP($B110,Seqs!$A:$B,2,0),Y110,1),"")</f>
        <v>A</v>
      </c>
      <c r="Y110" s="3">
        <v>133</v>
      </c>
      <c r="Z110" s="3" t="str">
        <f>IFERROR(MID(VLOOKUP($B110,Seqs!$A:$B,2,0),AA110,1),"")</f>
        <v>R</v>
      </c>
      <c r="AA110" s="3">
        <v>140</v>
      </c>
      <c r="AB110" s="3" t="str">
        <f>IFERROR(MID(VLOOKUP($B110,Seqs!$A:$B,2,0),AC110,1),"")</f>
        <v>T</v>
      </c>
      <c r="AC110" s="9">
        <v>141</v>
      </c>
      <c r="AD110" s="3" t="str">
        <f>IFERROR(MID(VLOOKUP($B110,Seqs!$A:$B,2,0),AE110,1),"")</f>
        <v>T</v>
      </c>
      <c r="AE110" s="3">
        <v>167</v>
      </c>
      <c r="AF110" s="3" t="str">
        <f>IFERROR(MID(VLOOKUP($B110,Seqs!$A:$B,2,0),AG110,1),"")</f>
        <v>C</v>
      </c>
      <c r="AG110" s="3">
        <v>178</v>
      </c>
      <c r="AH110" s="3" t="str">
        <f>IFERROR(MID(VLOOKUP($B110,Seqs!$A:$B,2,0),AI110,1),"")</f>
        <v>S</v>
      </c>
      <c r="AI110" s="3">
        <v>180</v>
      </c>
      <c r="AJ110" s="3" t="str">
        <f>IFERROR(MID(VLOOKUP($B110,Seqs!$A:$B,2,0),AK110,1),"")</f>
        <v>Q</v>
      </c>
      <c r="AK110" s="3">
        <v>186</v>
      </c>
      <c r="AL110" s="3" t="str">
        <f>IFERROR(MID(VLOOKUP($B110,Seqs!$A:$B,2,0),AM110,1),"")</f>
        <v>R</v>
      </c>
      <c r="AM110" s="3">
        <v>223</v>
      </c>
      <c r="AN110" s="3" t="str">
        <f>IFERROR(MID(VLOOKUP($B110,Seqs!$A:$B,2,0),AO110,1),"")</f>
        <v>K</v>
      </c>
      <c r="AO110" s="3">
        <v>228</v>
      </c>
      <c r="AP110" s="3" t="str">
        <f>IFERROR(MID(VLOOKUP($B110,Seqs!$A:$B,2,0),AQ110,1),"")</f>
        <v>G</v>
      </c>
      <c r="AQ110" s="3">
        <v>265</v>
      </c>
      <c r="AR110" s="3" t="str">
        <f>IFERROR(MID(VLOOKUP($B110,Seqs!$A:$B,2,0),AS110,1),"")</f>
        <v>N</v>
      </c>
      <c r="AS110" s="3">
        <v>268</v>
      </c>
      <c r="AT110" s="3" t="str">
        <f>IFERROR(MID(VLOOKUP($B110,Seqs!$A:$B,2,0),AU110,1),"")</f>
        <v>V</v>
      </c>
      <c r="AU110" s="3">
        <v>300</v>
      </c>
      <c r="AV110" s="3" t="str">
        <f>IFERROR(MID(VLOOKUP($B110,Seqs!$A:$B,2,0),AW110,1),"")</f>
        <v>G</v>
      </c>
      <c r="AW110" s="3">
        <v>301</v>
      </c>
      <c r="AX110" s="3" t="str">
        <f>IFERROR(MID(VLOOKUP($B110,Seqs!$A:$B,2,0),AY110,1),"")</f>
        <v>Q</v>
      </c>
      <c r="AY110" s="3">
        <v>313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755"/>
        <v>1</v>
      </c>
      <c r="BC110" s="23">
        <f t="shared" si="728"/>
        <v>265</v>
      </c>
      <c r="BD110" s="2" t="s">
        <v>23</v>
      </c>
      <c r="BE110" s="3" t="s">
        <v>1381</v>
      </c>
      <c r="BF110" s="121">
        <v>2.71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729"/>
        <v>25</v>
      </c>
      <c r="BW110" s="73" t="str">
        <f t="shared" si="730"/>
        <v>-</v>
      </c>
      <c r="BX110" s="74">
        <f t="shared" si="731"/>
        <v>63</v>
      </c>
      <c r="BY110" s="73">
        <f t="shared" si="732"/>
        <v>93</v>
      </c>
      <c r="BZ110" s="74">
        <f t="shared" si="733"/>
        <v>97</v>
      </c>
      <c r="CA110" s="73">
        <f t="shared" si="734"/>
        <v>133</v>
      </c>
      <c r="CB110" s="74">
        <f t="shared" si="735"/>
        <v>141</v>
      </c>
      <c r="CC110" s="73">
        <f t="shared" si="736"/>
        <v>178</v>
      </c>
      <c r="CD110" s="74">
        <f t="shared" si="737"/>
        <v>186</v>
      </c>
      <c r="CE110" s="73">
        <f t="shared" si="738"/>
        <v>228</v>
      </c>
      <c r="CF110" s="74">
        <f t="shared" si="739"/>
        <v>268</v>
      </c>
      <c r="CG110" s="73">
        <f t="shared" si="740"/>
        <v>301</v>
      </c>
      <c r="CH110" s="72">
        <f t="shared" si="741"/>
        <v>58</v>
      </c>
      <c r="CI110" s="73" t="str">
        <f t="shared" si="742"/>
        <v>-</v>
      </c>
      <c r="CJ110" s="74">
        <f t="shared" si="743"/>
        <v>92</v>
      </c>
      <c r="CK110" s="74">
        <f t="shared" si="744"/>
        <v>96</v>
      </c>
      <c r="CL110" s="74">
        <f t="shared" si="745"/>
        <v>132</v>
      </c>
      <c r="CM110" s="74">
        <f t="shared" si="746"/>
        <v>140</v>
      </c>
      <c r="CN110" s="74">
        <f t="shared" si="747"/>
        <v>167</v>
      </c>
      <c r="CO110" s="74">
        <f t="shared" si="748"/>
        <v>180</v>
      </c>
      <c r="CP110" s="74">
        <f t="shared" si="749"/>
        <v>223</v>
      </c>
      <c r="CQ110" s="74">
        <f t="shared" si="750"/>
        <v>265</v>
      </c>
      <c r="CR110" s="74">
        <f t="shared" si="751"/>
        <v>300</v>
      </c>
      <c r="CS110" s="74">
        <f t="shared" si="752"/>
        <v>313</v>
      </c>
      <c r="CT110" s="23" t="e">
        <f t="shared" si="753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ref="A111" si="896">CONCATENATE(B111,"_",C111)</f>
        <v>ccr5_human_5UIW</v>
      </c>
      <c r="B111" s="3" t="s">
        <v>173</v>
      </c>
      <c r="C111" s="3" t="s">
        <v>1434</v>
      </c>
      <c r="D111" s="3" t="str">
        <f>IFERROR(MID(VLOOKUP($B111,Seqs!$A:$B,2,0),E111,1),"")</f>
        <v>K</v>
      </c>
      <c r="E111" s="3">
        <v>22</v>
      </c>
      <c r="F111" s="3" t="str">
        <f>IFERROR(MID(VLOOKUP($B111,Seqs!$A:$B,2,0),G111,1),"")</f>
        <v>C</v>
      </c>
      <c r="G111" s="3">
        <v>58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63</v>
      </c>
      <c r="N111" s="3" t="str">
        <f>IFERROR(MID(VLOOKUP($B111,Seqs!$A:$B,2,0),O111,1),"")</f>
        <v>A</v>
      </c>
      <c r="O111" s="3">
        <v>92</v>
      </c>
      <c r="P111" s="3" t="str">
        <f>IFERROR(MID(VLOOKUP($B111,Seqs!$A:$B,2,0),Q111,1),"")</f>
        <v>Q</v>
      </c>
      <c r="Q111" s="3">
        <v>93</v>
      </c>
      <c r="R111" s="3" t="str">
        <f>IFERROR(MID(VLOOKUP($B111,Seqs!$A:$B,2,0),S111,1),"")</f>
        <v>F</v>
      </c>
      <c r="S111" s="3">
        <v>96</v>
      </c>
      <c r="T111" s="3" t="str">
        <f>IFERROR(MID(VLOOKUP($B111,Seqs!$A:$B,2,0),U111,1),"")</f>
        <v>G</v>
      </c>
      <c r="U111" s="3">
        <v>97</v>
      </c>
      <c r="V111" s="3" t="str">
        <f>IFERROR(MID(VLOOKUP($B111,Seqs!$A:$B,2,0),W111,1),"")</f>
        <v>H</v>
      </c>
      <c r="W111" s="3">
        <v>132</v>
      </c>
      <c r="X111" s="3" t="str">
        <f>IFERROR(MID(VLOOKUP($B111,Seqs!$A:$B,2,0),Y111,1),"")</f>
        <v>A</v>
      </c>
      <c r="Y111" s="3">
        <v>133</v>
      </c>
      <c r="Z111" s="3" t="str">
        <f>IFERROR(MID(VLOOKUP($B111,Seqs!$A:$B,2,0),AA111,1),"")</f>
        <v>R</v>
      </c>
      <c r="AA111" s="3">
        <v>140</v>
      </c>
      <c r="AB111" s="3" t="str">
        <f>IFERROR(MID(VLOOKUP($B111,Seqs!$A:$B,2,0),AC111,1),"")</f>
        <v>T</v>
      </c>
      <c r="AC111" s="3">
        <v>141</v>
      </c>
      <c r="AD111" s="3" t="str">
        <f>IFERROR(MID(VLOOKUP($B111,Seqs!$A:$B,2,0),AE111,1),"")</f>
        <v>T</v>
      </c>
      <c r="AE111" s="3">
        <v>167</v>
      </c>
      <c r="AF111" s="3" t="str">
        <f>IFERROR(MID(VLOOKUP($B111,Seqs!$A:$B,2,0),AG111,1),"")</f>
        <v>C</v>
      </c>
      <c r="AG111" s="3">
        <v>178</v>
      </c>
      <c r="AH111" s="3" t="str">
        <f>IFERROR(MID(VLOOKUP($B111,Seqs!$A:$B,2,0),AI111,1),"")</f>
        <v>S</v>
      </c>
      <c r="AI111" s="3">
        <v>180</v>
      </c>
      <c r="AJ111" s="3" t="str">
        <f>IFERROR(MID(VLOOKUP($B111,Seqs!$A:$B,2,0),AK111,1),"")</f>
        <v>Q</v>
      </c>
      <c r="AK111" s="3">
        <v>186</v>
      </c>
      <c r="AL111" s="3" t="str">
        <f>IFERROR(MID(VLOOKUP($B111,Seqs!$A:$B,2,0),AM111,1),"")</f>
        <v>R</v>
      </c>
      <c r="AM111" s="3">
        <v>223</v>
      </c>
      <c r="AN111" s="3" t="str">
        <f>IFERROR(MID(VLOOKUP($B111,Seqs!$A:$B,2,0),AO111,1),"")</f>
        <v>E</v>
      </c>
      <c r="AO111" s="3">
        <v>227</v>
      </c>
      <c r="AP111" s="3" t="str">
        <f>IFERROR(MID(VLOOKUP($B111,Seqs!$A:$B,2,0),AQ111,1),"")</f>
        <v>Q</v>
      </c>
      <c r="AQ111" s="3">
        <v>261</v>
      </c>
      <c r="AR111" s="3" t="str">
        <f>IFERROR(MID(VLOOKUP($B111,Seqs!$A:$B,2,0),AS111,1),"")</f>
        <v>N</v>
      </c>
      <c r="AS111" s="3">
        <v>268</v>
      </c>
      <c r="AT111" s="3" t="str">
        <f>IFERROR(MID(VLOOKUP($B111,Seqs!$A:$B,2,0),AU111,1),"")</f>
        <v>V</v>
      </c>
      <c r="AU111" s="3">
        <v>300</v>
      </c>
      <c r="AV111" s="3" t="str">
        <f>IFERROR(MID(VLOOKUP($B111,Seqs!$A:$B,2,0),AW111,1),"")</f>
        <v>G</v>
      </c>
      <c r="AW111" s="3">
        <v>301</v>
      </c>
      <c r="AX111" s="3" t="str">
        <f>IFERROR(MID(VLOOKUP($B111,Seqs!$A:$B,2,0),AY111,1),"")</f>
        <v>I</v>
      </c>
      <c r="AY111" s="3">
        <v>316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ref="BB111" si="897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23">
        <f>_xlfn.AGGREGATE(9,6,CH111:CS111)-_xlfn.AGGREGATE(9,6,BV111:CG111)+12</f>
        <v>268</v>
      </c>
      <c r="BD111" s="2" t="s">
        <v>1383</v>
      </c>
      <c r="BE111" s="3" t="s">
        <v>1381</v>
      </c>
      <c r="BF111" s="121">
        <v>2.2000000000000002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ref="BV111" si="898">E111</f>
        <v>22</v>
      </c>
      <c r="BW111" s="73" t="str">
        <f t="shared" ref="BW111" si="899">I111</f>
        <v>-</v>
      </c>
      <c r="BX111" s="74">
        <f t="shared" ref="BX111" si="900">M111</f>
        <v>63</v>
      </c>
      <c r="BY111" s="73">
        <f t="shared" ref="BY111" si="901">Q111</f>
        <v>93</v>
      </c>
      <c r="BZ111" s="74">
        <f t="shared" ref="BZ111" si="902">U111</f>
        <v>97</v>
      </c>
      <c r="CA111" s="73">
        <f t="shared" ref="CA111" si="903">Y111</f>
        <v>133</v>
      </c>
      <c r="CB111" s="74">
        <f t="shared" ref="CB111" si="904">AC111</f>
        <v>141</v>
      </c>
      <c r="CC111" s="73">
        <f t="shared" ref="CC111" si="905">AG111</f>
        <v>178</v>
      </c>
      <c r="CD111" s="74">
        <f t="shared" ref="CD111" si="906">AK111</f>
        <v>186</v>
      </c>
      <c r="CE111" s="73">
        <f t="shared" ref="CE111" si="907">AO111</f>
        <v>227</v>
      </c>
      <c r="CF111" s="74">
        <f t="shared" ref="CF111" si="908">AS111</f>
        <v>268</v>
      </c>
      <c r="CG111" s="73">
        <f t="shared" ref="CG111" si="909">AW111</f>
        <v>301</v>
      </c>
      <c r="CH111" s="72">
        <f t="shared" ref="CH111" si="910">G111</f>
        <v>58</v>
      </c>
      <c r="CI111" s="73" t="str">
        <f t="shared" ref="CI111" si="911">K111</f>
        <v>-</v>
      </c>
      <c r="CJ111" s="74">
        <f t="shared" ref="CJ111" si="912">O111</f>
        <v>92</v>
      </c>
      <c r="CK111" s="74">
        <f t="shared" ref="CK111" si="913">S111</f>
        <v>96</v>
      </c>
      <c r="CL111" s="74">
        <f t="shared" ref="CL111" si="914">W111</f>
        <v>132</v>
      </c>
      <c r="CM111" s="74">
        <f t="shared" ref="CM111" si="915">AA111</f>
        <v>140</v>
      </c>
      <c r="CN111" s="74">
        <f t="shared" ref="CN111" si="916">AE111</f>
        <v>167</v>
      </c>
      <c r="CO111" s="74">
        <f t="shared" ref="CO111" si="917">AI111</f>
        <v>180</v>
      </c>
      <c r="CP111" s="74">
        <f t="shared" ref="CP111" si="918">AM111</f>
        <v>223</v>
      </c>
      <c r="CQ111" s="74">
        <f t="shared" ref="CQ111" si="919">AQ111</f>
        <v>261</v>
      </c>
      <c r="CR111" s="74">
        <f t="shared" ref="CR111" si="920">AU111</f>
        <v>300</v>
      </c>
      <c r="CS111" s="74">
        <f t="shared" ref="CS111" si="921">AY111</f>
        <v>316</v>
      </c>
      <c r="CT111" s="23" t="e">
        <f t="shared" ref="CT111" si="922">M111-K111</f>
        <v>#VALUE!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754"/>
        <v>ccr9_human__wt</v>
      </c>
      <c r="B112" s="3" t="s">
        <v>177</v>
      </c>
      <c r="C112" s="3" t="s">
        <v>100</v>
      </c>
      <c r="D112" s="3" t="str">
        <f>IFERROR(MID(VLOOKUP($B112,Seqs!$A:$B,2,0),E112,1),"")</f>
        <v>V</v>
      </c>
      <c r="E112" s="3">
        <v>43</v>
      </c>
      <c r="F112" s="3" t="str">
        <f>IFERROR(MID(VLOOKUP($B112,Seqs!$A:$B,2,0),G112,1),"")</f>
        <v>C</v>
      </c>
      <c r="G112" s="3">
        <v>76</v>
      </c>
      <c r="H112" s="3" t="str">
        <f>IFERROR(MID(VLOOKUP($B112,Seqs!$A:$B,2,0),I112,1),"")</f>
        <v>T</v>
      </c>
      <c r="I112" s="23">
        <v>77</v>
      </c>
      <c r="J112" s="3" t="str">
        <f>IFERROR(MID(VLOOKUP($B112,Seqs!$A:$B,2,0),K112,1),"")</f>
        <v>K</v>
      </c>
      <c r="K112" s="23">
        <v>80</v>
      </c>
      <c r="L112" s="3" t="str">
        <f>IFERROR(MID(VLOOKUP($B112,Seqs!$A:$B,2,0),M112,1),"")</f>
        <v>T</v>
      </c>
      <c r="M112" s="3">
        <v>81</v>
      </c>
      <c r="N112" s="3" t="str">
        <f>IFERROR(MID(VLOOKUP($B112,Seqs!$A:$B,2,0),O112,1),"")</f>
        <v>D</v>
      </c>
      <c r="O112" s="3">
        <v>110</v>
      </c>
      <c r="P112" s="3" t="str">
        <f>IFERROR(MID(VLOOKUP($B112,Seqs!$A:$B,2,0),Q112,1),"")</f>
        <v>Q</v>
      </c>
      <c r="Q112" s="3">
        <v>111</v>
      </c>
      <c r="R112" s="3" t="str">
        <f>IFERROR(MID(VLOOKUP($B112,Seqs!$A:$B,2,0),S112,1),"")</f>
        <v>F</v>
      </c>
      <c r="S112" s="3">
        <v>114</v>
      </c>
      <c r="T112" s="3" t="str">
        <f>IFERROR(MID(VLOOKUP($B112,Seqs!$A:$B,2,0),U112,1),"")</f>
        <v>Q</v>
      </c>
      <c r="U112" s="3">
        <v>115</v>
      </c>
      <c r="V112" s="3" t="str">
        <f>IFERROR(MID(VLOOKUP($B112,Seqs!$A:$B,2,0),W112,1),"")</f>
        <v>Q</v>
      </c>
      <c r="W112" s="3">
        <v>150</v>
      </c>
      <c r="X112" s="3" t="str">
        <f>IFERROR(MID(VLOOKUP($B112,Seqs!$A:$B,2,0),Y112,1),"")</f>
        <v>A</v>
      </c>
      <c r="Y112" s="3">
        <v>151</v>
      </c>
      <c r="Z112" s="3" t="str">
        <f>IFERROR(MID(VLOOKUP($B112,Seqs!$A:$B,2,0),AA112,1),"")</f>
        <v>W</v>
      </c>
      <c r="AA112" s="3">
        <v>157</v>
      </c>
      <c r="AB112" s="3" t="str">
        <f>IFERROR(MID(VLOOKUP($B112,Seqs!$A:$B,2,0),AC112,1),"")</f>
        <v>R</v>
      </c>
      <c r="AC112" s="9">
        <v>158</v>
      </c>
      <c r="AD112" s="3" t="str">
        <f>IFERROR(MID(VLOOKUP($B112,Seqs!$A:$B,2,0),AE112,1),"")</f>
        <v>S</v>
      </c>
      <c r="AE112" s="3">
        <v>187</v>
      </c>
      <c r="AF112" s="3" t="str">
        <f>IFERROR(MID(VLOOKUP($B112,Seqs!$A:$B,2,0),AG112,1),"")</f>
        <v>C</v>
      </c>
      <c r="AG112" s="3">
        <v>198</v>
      </c>
      <c r="AH112" s="3" t="str">
        <f>IFERROR(MID(VLOOKUP($B112,Seqs!$A:$B,2,0),AI112,1),"")</f>
        <v>M</v>
      </c>
      <c r="AI112" s="3">
        <v>200</v>
      </c>
      <c r="AJ112" s="3" t="str">
        <f>IFERROR(MID(VLOOKUP($B112,Seqs!$A:$B,2,0),AK112,1),"")</f>
        <v>K</v>
      </c>
      <c r="AK112" s="3">
        <v>209</v>
      </c>
      <c r="AL112" s="3" t="str">
        <f>IFERROR(MID(VLOOKUP($B112,Seqs!$A:$B,2,0),AM112,1),"")</f>
        <v>A</v>
      </c>
      <c r="AM112" s="3">
        <v>244</v>
      </c>
      <c r="AN112" s="3" t="str">
        <f>IFERROR(MID(VLOOKUP($B112,Seqs!$A:$B,2,0),AO112,1),"")</f>
        <v>S</v>
      </c>
      <c r="AO112" s="3">
        <v>247</v>
      </c>
      <c r="AP112" s="3" t="str">
        <f>IFERROR(MID(VLOOKUP($B112,Seqs!$A:$B,2,0),AQ112,1),"")</f>
        <v>M</v>
      </c>
      <c r="AQ112" s="3">
        <v>284</v>
      </c>
      <c r="AR112" s="3" t="str">
        <f>IFERROR(MID(VLOOKUP($B112,Seqs!$A:$B,2,0),AS112,1),"")</f>
        <v>N</v>
      </c>
      <c r="AS112" s="3">
        <v>288</v>
      </c>
      <c r="AT112" s="3" t="str">
        <f>IFERROR(MID(VLOOKUP($B112,Seqs!$A:$B,2,0),AU112,1),"")</f>
        <v>V</v>
      </c>
      <c r="AU112" s="3">
        <v>320</v>
      </c>
      <c r="AV112" s="3" t="str">
        <f>IFERROR(MID(VLOOKUP($B112,Seqs!$A:$B,2,0),AW112,1),"")</f>
        <v>G</v>
      </c>
      <c r="AW112" s="3">
        <v>321</v>
      </c>
      <c r="AX112" s="3" t="str">
        <f>IFERROR(MID(VLOOKUP($B112,Seqs!$A:$B,2,0),AY112,1),"")</f>
        <v>A</v>
      </c>
      <c r="AY112" s="3">
        <v>341</v>
      </c>
      <c r="AZ112" s="79" t="str">
        <f>VLOOKUP(B112,Classification!A:D,2,0)</f>
        <v>A</v>
      </c>
      <c r="BA112" s="96" t="str">
        <f>VLOOKUP(B112,Classification!A:D,4,0)</f>
        <v>Chemokine</v>
      </c>
      <c r="BB112" s="27" t="b">
        <f t="shared" si="755"/>
        <v>1</v>
      </c>
      <c r="BC112" s="23">
        <f t="shared" si="728"/>
        <v>276</v>
      </c>
      <c r="BD112" s="57" t="s">
        <v>1379</v>
      </c>
      <c r="BE112" s="3" t="s">
        <v>23</v>
      </c>
      <c r="BF112" s="121" t="s">
        <v>23</v>
      </c>
      <c r="BG112" s="50" t="s">
        <v>1379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729"/>
        <v>43</v>
      </c>
      <c r="BW112" s="73">
        <f t="shared" si="730"/>
        <v>77</v>
      </c>
      <c r="BX112" s="74">
        <f t="shared" si="731"/>
        <v>81</v>
      </c>
      <c r="BY112" s="73">
        <f t="shared" si="732"/>
        <v>111</v>
      </c>
      <c r="BZ112" s="74">
        <f t="shared" si="733"/>
        <v>115</v>
      </c>
      <c r="CA112" s="73">
        <f t="shared" si="734"/>
        <v>151</v>
      </c>
      <c r="CB112" s="74">
        <f t="shared" si="735"/>
        <v>158</v>
      </c>
      <c r="CC112" s="73">
        <f t="shared" si="736"/>
        <v>198</v>
      </c>
      <c r="CD112" s="74">
        <f t="shared" si="737"/>
        <v>209</v>
      </c>
      <c r="CE112" s="73">
        <f t="shared" si="738"/>
        <v>247</v>
      </c>
      <c r="CF112" s="74">
        <f t="shared" si="739"/>
        <v>288</v>
      </c>
      <c r="CG112" s="73">
        <f t="shared" si="740"/>
        <v>321</v>
      </c>
      <c r="CH112" s="72">
        <f t="shared" si="741"/>
        <v>76</v>
      </c>
      <c r="CI112" s="73">
        <f t="shared" si="742"/>
        <v>80</v>
      </c>
      <c r="CJ112" s="74">
        <f t="shared" si="743"/>
        <v>110</v>
      </c>
      <c r="CK112" s="74">
        <f t="shared" si="744"/>
        <v>114</v>
      </c>
      <c r="CL112" s="74">
        <f t="shared" si="745"/>
        <v>150</v>
      </c>
      <c r="CM112" s="74">
        <f t="shared" si="746"/>
        <v>157</v>
      </c>
      <c r="CN112" s="74">
        <f t="shared" si="747"/>
        <v>187</v>
      </c>
      <c r="CO112" s="74">
        <f t="shared" si="748"/>
        <v>200</v>
      </c>
      <c r="CP112" s="74">
        <f t="shared" si="749"/>
        <v>244</v>
      </c>
      <c r="CQ112" s="74">
        <f t="shared" si="750"/>
        <v>284</v>
      </c>
      <c r="CR112" s="74">
        <f t="shared" si="751"/>
        <v>320</v>
      </c>
      <c r="CS112" s="74">
        <f t="shared" si="752"/>
        <v>341</v>
      </c>
      <c r="CT112" s="23">
        <f t="shared" si="753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754"/>
        <v>ccr9_human_5LWE</v>
      </c>
      <c r="B113" s="3" t="s">
        <v>177</v>
      </c>
      <c r="C113" s="3" t="s">
        <v>1372</v>
      </c>
      <c r="D113" s="3" t="str">
        <f>IFERROR(MID(VLOOKUP($B113,Seqs!$A:$B,2,0),E113,1),"")</f>
        <v>V</v>
      </c>
      <c r="E113" s="3">
        <v>43</v>
      </c>
      <c r="F113" s="3" t="str">
        <f>IFERROR(MID(VLOOKUP($B113,Seqs!$A:$B,2,0),G113,1),"")</f>
        <v>C</v>
      </c>
      <c r="G113" s="3">
        <v>76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81</v>
      </c>
      <c r="N113" s="3" t="str">
        <f>IFERROR(MID(VLOOKUP($B113,Seqs!$A:$B,2,0),O113,1),"")</f>
        <v>A</v>
      </c>
      <c r="O113" s="3">
        <v>108</v>
      </c>
      <c r="P113" s="3" t="str">
        <f>IFERROR(MID(VLOOKUP($B113,Seqs!$A:$B,2,0),Q113,1),"")</f>
        <v/>
      </c>
      <c r="Q113" s="3" t="s">
        <v>23</v>
      </c>
      <c r="R113" s="3" t="str">
        <f>IFERROR(MID(VLOOKUP($B113,Seqs!$A:$B,2,0),S113,1),"")</f>
        <v/>
      </c>
      <c r="S113" s="3" t="s">
        <v>23</v>
      </c>
      <c r="T113" s="3" t="str">
        <f>IFERROR(MID(VLOOKUP($B113,Seqs!$A:$B,2,0),U113,1),"")</f>
        <v>C</v>
      </c>
      <c r="U113" s="3">
        <v>119</v>
      </c>
      <c r="V113" s="3" t="str">
        <f>IFERROR(MID(VLOOKUP($B113,Seqs!$A:$B,2,0),W113,1),"")</f>
        <v>Q</v>
      </c>
      <c r="W113" s="3">
        <v>150</v>
      </c>
      <c r="X113" s="3" t="str">
        <f>IFERROR(MID(VLOOKUP($B113,Seqs!$A:$B,2,0),Y113,1),"")</f>
        <v>A</v>
      </c>
      <c r="Y113" s="3">
        <v>151</v>
      </c>
      <c r="Z113" s="3" t="str">
        <f>IFERROR(MID(VLOOKUP($B113,Seqs!$A:$B,2,0),AA113,1),"")</f>
        <v>W</v>
      </c>
      <c r="AA113" s="3">
        <v>157</v>
      </c>
      <c r="AB113" s="3" t="str">
        <f>IFERROR(MID(VLOOKUP($B113,Seqs!$A:$B,2,0),AC113,1),"")</f>
        <v>R</v>
      </c>
      <c r="AC113" s="9">
        <v>158</v>
      </c>
      <c r="AD113" s="3" t="str">
        <f>IFERROR(MID(VLOOKUP($B113,Seqs!$A:$B,2,0),AE113,1),"")</f>
        <v>I</v>
      </c>
      <c r="AE113" s="3">
        <v>184</v>
      </c>
      <c r="AF113" s="3" t="str">
        <f>IFERROR(MID(VLOOKUP($B113,Seqs!$A:$B,2,0),AG113,1),"")</f>
        <v/>
      </c>
      <c r="AG113" s="3" t="s">
        <v>23</v>
      </c>
      <c r="AH113" s="3" t="str">
        <f>IFERROR(MID(VLOOKUP($B113,Seqs!$A:$B,2,0),AI113,1),"")</f>
        <v/>
      </c>
      <c r="AI113" s="3" t="s">
        <v>23</v>
      </c>
      <c r="AJ113" s="3" t="str">
        <f>IFERROR(MID(VLOOKUP($B113,Seqs!$A:$B,2,0),AK113,1),"")</f>
        <v/>
      </c>
      <c r="AK113" s="3" t="s">
        <v>23</v>
      </c>
      <c r="AL113" s="3" t="str">
        <f>IFERROR(MID(VLOOKUP($B113,Seqs!$A:$B,2,0),AM113,1),"")</f>
        <v/>
      </c>
      <c r="AM113" s="3" t="s">
        <v>23</v>
      </c>
      <c r="AN113" s="3" t="str">
        <f>IFERROR(MID(VLOOKUP($B113,Seqs!$A:$B,2,0),AO113,1),"")</f>
        <v>S</v>
      </c>
      <c r="AO113" s="3">
        <v>247</v>
      </c>
      <c r="AP113" s="3" t="str">
        <f>IFERROR(MID(VLOOKUP($B113,Seqs!$A:$B,2,0),AQ113,1),"")</f>
        <v>M</v>
      </c>
      <c r="AQ113" s="3">
        <v>284</v>
      </c>
      <c r="AR113" s="3" t="str">
        <f>IFERROR(MID(VLOOKUP($B113,Seqs!$A:$B,2,0),AS113,1),"")</f>
        <v>N</v>
      </c>
      <c r="AS113" s="3">
        <v>288</v>
      </c>
      <c r="AT113" s="3" t="str">
        <f>IFERROR(MID(VLOOKUP($B113,Seqs!$A:$B,2,0),AU113,1),"")</f>
        <v>V</v>
      </c>
      <c r="AU113" s="3">
        <v>320</v>
      </c>
      <c r="AV113" s="3" t="str">
        <f>IFERROR(MID(VLOOKUP($B113,Seqs!$A:$B,2,0),AW113,1),"")</f>
        <v>G</v>
      </c>
      <c r="AW113" s="3">
        <v>321</v>
      </c>
      <c r="AX113" s="3" t="str">
        <f>IFERROR(MID(VLOOKUP($B113,Seqs!$A:$B,2,0),AY113,1),"")</f>
        <v>A</v>
      </c>
      <c r="AY113" s="3">
        <v>341</v>
      </c>
      <c r="AZ113" s="79" t="str">
        <f>VLOOKUP(B113,Classification!A:D,2,0)</f>
        <v>A</v>
      </c>
      <c r="BA113" s="96" t="str">
        <f>VLOOKUP(B113,Classification!A:D,4,0)</f>
        <v>Chemokine</v>
      </c>
      <c r="BB113" s="27" t="b">
        <f t="shared" si="755"/>
        <v>0</v>
      </c>
      <c r="BC113" s="23">
        <f t="shared" si="728"/>
        <v>224</v>
      </c>
      <c r="BD113" s="16" t="s">
        <v>1383</v>
      </c>
      <c r="BE113" s="3" t="s">
        <v>1381</v>
      </c>
      <c r="BF113" s="121">
        <v>2.8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729"/>
        <v>43</v>
      </c>
      <c r="BW113" s="73" t="str">
        <f t="shared" si="730"/>
        <v>-</v>
      </c>
      <c r="BX113" s="74">
        <f t="shared" si="731"/>
        <v>81</v>
      </c>
      <c r="BY113" s="73" t="str">
        <f t="shared" si="732"/>
        <v>-</v>
      </c>
      <c r="BZ113" s="74">
        <f t="shared" si="733"/>
        <v>119</v>
      </c>
      <c r="CA113" s="73">
        <f t="shared" si="734"/>
        <v>151</v>
      </c>
      <c r="CB113" s="74">
        <f t="shared" si="735"/>
        <v>158</v>
      </c>
      <c r="CC113" s="73" t="str">
        <f t="shared" si="736"/>
        <v>-</v>
      </c>
      <c r="CD113" s="74" t="str">
        <f t="shared" si="737"/>
        <v>-</v>
      </c>
      <c r="CE113" s="73">
        <f t="shared" si="738"/>
        <v>247</v>
      </c>
      <c r="CF113" s="74">
        <f t="shared" si="739"/>
        <v>288</v>
      </c>
      <c r="CG113" s="73">
        <f t="shared" si="740"/>
        <v>321</v>
      </c>
      <c r="CH113" s="72">
        <f t="shared" si="741"/>
        <v>76</v>
      </c>
      <c r="CI113" s="73" t="str">
        <f t="shared" si="742"/>
        <v>-</v>
      </c>
      <c r="CJ113" s="74">
        <f t="shared" si="743"/>
        <v>108</v>
      </c>
      <c r="CK113" s="74" t="str">
        <f t="shared" si="744"/>
        <v>-</v>
      </c>
      <c r="CL113" s="74">
        <f t="shared" si="745"/>
        <v>150</v>
      </c>
      <c r="CM113" s="74">
        <f t="shared" si="746"/>
        <v>157</v>
      </c>
      <c r="CN113" s="74">
        <f t="shared" si="747"/>
        <v>184</v>
      </c>
      <c r="CO113" s="74" t="str">
        <f t="shared" si="748"/>
        <v>-</v>
      </c>
      <c r="CP113" s="74" t="str">
        <f t="shared" si="749"/>
        <v>-</v>
      </c>
      <c r="CQ113" s="74">
        <f t="shared" si="750"/>
        <v>284</v>
      </c>
      <c r="CR113" s="74">
        <f t="shared" si="751"/>
        <v>320</v>
      </c>
      <c r="CS113" s="74">
        <f t="shared" si="752"/>
        <v>341</v>
      </c>
      <c r="CT113" s="23" t="e">
        <f t="shared" si="753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ref="A114" si="923">CONCATENATE(B114,"_",C114)</f>
        <v>ccr9_human_5LWE_dist</v>
      </c>
      <c r="B114" s="3" t="s">
        <v>177</v>
      </c>
      <c r="C114" s="3" t="s">
        <v>1391</v>
      </c>
      <c r="D114" s="3" t="str">
        <f>IFERROR(MID(VLOOKUP($B114,Seqs!$A:$B,2,0),E114,1),"")</f>
        <v>V</v>
      </c>
      <c r="E114" s="3">
        <v>43</v>
      </c>
      <c r="F114" s="3" t="str">
        <f>IFERROR(MID(VLOOKUP($B114,Seqs!$A:$B,2,0),G114,1),"")</f>
        <v>C</v>
      </c>
      <c r="G114" s="3">
        <v>76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T</v>
      </c>
      <c r="M114" s="3">
        <v>81</v>
      </c>
      <c r="N114" s="3" t="str">
        <f>IFERROR(MID(VLOOKUP($B114,Seqs!$A:$B,2,0),O114,1),"")</f>
        <v>A</v>
      </c>
      <c r="O114" s="3">
        <v>108</v>
      </c>
      <c r="P114" s="3" t="str">
        <f>IFERROR(MID(VLOOKUP($B114,Seqs!$A:$B,2,0),Q114,1),"")</f>
        <v/>
      </c>
      <c r="Q114" s="3" t="s">
        <v>23</v>
      </c>
      <c r="R114" s="3" t="str">
        <f>IFERROR(MID(VLOOKUP($B114,Seqs!$A:$B,2,0),S114,1),"")</f>
        <v/>
      </c>
      <c r="S114" s="3" t="s">
        <v>23</v>
      </c>
      <c r="T114" s="3" t="str">
        <f>IFERROR(MID(VLOOKUP($B114,Seqs!$A:$B,2,0),U114,1),"")</f>
        <v>C</v>
      </c>
      <c r="U114" s="3">
        <v>119</v>
      </c>
      <c r="V114" s="3" t="str">
        <f>IFERROR(MID(VLOOKUP($B114,Seqs!$A:$B,2,0),W114,1),"")</f>
        <v>Q</v>
      </c>
      <c r="W114" s="3">
        <v>150</v>
      </c>
      <c r="X114" s="3" t="str">
        <f>IFERROR(MID(VLOOKUP($B114,Seqs!$A:$B,2,0),Y114,1),"")</f>
        <v>A</v>
      </c>
      <c r="Y114" s="3">
        <v>151</v>
      </c>
      <c r="Z114" s="3" t="str">
        <f>IFERROR(MID(VLOOKUP($B114,Seqs!$A:$B,2,0),AA114,1),"")</f>
        <v>W</v>
      </c>
      <c r="AA114" s="3">
        <v>157</v>
      </c>
      <c r="AB114" s="3" t="str">
        <f>IFERROR(MID(VLOOKUP($B114,Seqs!$A:$B,2,0),AC114,1),"")</f>
        <v>R</v>
      </c>
      <c r="AC114" s="9">
        <v>158</v>
      </c>
      <c r="AD114" s="3" t="str">
        <f>IFERROR(MID(VLOOKUP($B114,Seqs!$A:$B,2,0),AE114,1),"")</f>
        <v>I</v>
      </c>
      <c r="AE114" s="3">
        <v>184</v>
      </c>
      <c r="AF114" s="3" t="str">
        <f>IFERROR(MID(VLOOKUP($B114,Seqs!$A:$B,2,0),AG114,1),"")</f>
        <v/>
      </c>
      <c r="AG114" s="3" t="s">
        <v>23</v>
      </c>
      <c r="AH114" s="3" t="str">
        <f>IFERROR(MID(VLOOKUP($B114,Seqs!$A:$B,2,0),AI114,1),"")</f>
        <v/>
      </c>
      <c r="AI114" s="3" t="s">
        <v>23</v>
      </c>
      <c r="AJ114" s="3" t="str">
        <f>IFERROR(MID(VLOOKUP($B114,Seqs!$A:$B,2,0),AK114,1),"")</f>
        <v>K</v>
      </c>
      <c r="AK114" s="3">
        <v>209</v>
      </c>
      <c r="AL114" s="3" t="str">
        <f>IFERROR(MID(VLOOKUP($B114,Seqs!$A:$B,2,0),AM114,1),"")</f>
        <v>A</v>
      </c>
      <c r="AM114" s="3">
        <v>244</v>
      </c>
      <c r="AN114" s="3" t="str">
        <f>IFERROR(MID(VLOOKUP($B114,Seqs!$A:$B,2,0),AO114,1),"")</f>
        <v>S</v>
      </c>
      <c r="AO114" s="3">
        <v>247</v>
      </c>
      <c r="AP114" s="3" t="str">
        <f>IFERROR(MID(VLOOKUP($B114,Seqs!$A:$B,2,0),AQ114,1),"")</f>
        <v>M</v>
      </c>
      <c r="AQ114" s="3">
        <v>284</v>
      </c>
      <c r="AR114" s="3" t="str">
        <f>IFERROR(MID(VLOOKUP($B114,Seqs!$A:$B,2,0),AS114,1),"")</f>
        <v>N</v>
      </c>
      <c r="AS114" s="3">
        <v>288</v>
      </c>
      <c r="AT114" s="3" t="str">
        <f>IFERROR(MID(VLOOKUP($B114,Seqs!$A:$B,2,0),AU114,1),"")</f>
        <v>V</v>
      </c>
      <c r="AU114" s="3">
        <v>320</v>
      </c>
      <c r="AV114" s="3" t="str">
        <f>IFERROR(MID(VLOOKUP($B114,Seqs!$A:$B,2,0),AW114,1),"")</f>
        <v>G</v>
      </c>
      <c r="AW114" s="3">
        <v>321</v>
      </c>
      <c r="AX114" s="3" t="str">
        <f>IFERROR(MID(VLOOKUP($B114,Seqs!$A:$B,2,0),AY114,1),"")</f>
        <v>A</v>
      </c>
      <c r="AY114" s="3">
        <v>341</v>
      </c>
      <c r="AZ114" s="79" t="str">
        <f>VLOOKUP(B114,Classification!A:D,2,0)</f>
        <v>A</v>
      </c>
      <c r="BA114" s="96" t="str">
        <f>VLOOKUP(B114,Classification!A:D,4,0)</f>
        <v>Chemokine</v>
      </c>
      <c r="BB114" s="27" t="b">
        <f t="shared" ref="BB114" si="924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925">_xlfn.AGGREGATE(9,6,CH114:CS114)-_xlfn.AGGREGATE(9,6,BV114:CG114)+12</f>
        <v>259</v>
      </c>
      <c r="BD114" s="16" t="s">
        <v>23</v>
      </c>
      <c r="BE114" s="3" t="s">
        <v>1381</v>
      </c>
      <c r="BF114" s="121">
        <v>2.8</v>
      </c>
      <c r="BG114" s="50" t="s">
        <v>1384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ref="BV114" si="926">E114</f>
        <v>43</v>
      </c>
      <c r="BW114" s="73" t="str">
        <f t="shared" ref="BW114" si="927">I114</f>
        <v>-</v>
      </c>
      <c r="BX114" s="74">
        <f t="shared" ref="BX114" si="928">M114</f>
        <v>81</v>
      </c>
      <c r="BY114" s="73" t="str">
        <f t="shared" ref="BY114" si="929">Q114</f>
        <v>-</v>
      </c>
      <c r="BZ114" s="74">
        <f t="shared" ref="BZ114" si="930">U114</f>
        <v>119</v>
      </c>
      <c r="CA114" s="73">
        <f t="shared" ref="CA114" si="931">Y114</f>
        <v>151</v>
      </c>
      <c r="CB114" s="74">
        <f t="shared" ref="CB114" si="932">AC114</f>
        <v>158</v>
      </c>
      <c r="CC114" s="73" t="str">
        <f t="shared" ref="CC114" si="933">AG114</f>
        <v>-</v>
      </c>
      <c r="CD114" s="74">
        <f t="shared" ref="CD114" si="934">AK114</f>
        <v>209</v>
      </c>
      <c r="CE114" s="73">
        <f t="shared" ref="CE114" si="935">AO114</f>
        <v>247</v>
      </c>
      <c r="CF114" s="74">
        <f t="shared" ref="CF114" si="936">AS114</f>
        <v>288</v>
      </c>
      <c r="CG114" s="73">
        <f t="shared" ref="CG114" si="937">AW114</f>
        <v>321</v>
      </c>
      <c r="CH114" s="72">
        <f t="shared" ref="CH114" si="938">G114</f>
        <v>76</v>
      </c>
      <c r="CI114" s="73" t="str">
        <f t="shared" ref="CI114" si="939">K114</f>
        <v>-</v>
      </c>
      <c r="CJ114" s="74">
        <f t="shared" ref="CJ114" si="940">O114</f>
        <v>108</v>
      </c>
      <c r="CK114" s="74" t="str">
        <f t="shared" ref="CK114" si="941">S114</f>
        <v>-</v>
      </c>
      <c r="CL114" s="74">
        <f t="shared" ref="CL114" si="942">W114</f>
        <v>150</v>
      </c>
      <c r="CM114" s="74">
        <f t="shared" ref="CM114" si="943">AA114</f>
        <v>157</v>
      </c>
      <c r="CN114" s="74">
        <f t="shared" ref="CN114" si="944">AE114</f>
        <v>184</v>
      </c>
      <c r="CO114" s="74" t="str">
        <f t="shared" ref="CO114" si="945">AI114</f>
        <v>-</v>
      </c>
      <c r="CP114" s="74">
        <f t="shared" ref="CP114" si="946">AM114</f>
        <v>244</v>
      </c>
      <c r="CQ114" s="74">
        <f t="shared" ref="CQ114" si="947">AQ114</f>
        <v>284</v>
      </c>
      <c r="CR114" s="74">
        <f t="shared" ref="CR114" si="948">AU114</f>
        <v>320</v>
      </c>
      <c r="CS114" s="74">
        <f t="shared" ref="CS114" si="949">AY114</f>
        <v>341</v>
      </c>
      <c r="CT114" s="23" t="e">
        <f t="shared" ref="CT114" si="950">M114-K114</f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si="754"/>
        <v>cnr1_human__wt</v>
      </c>
      <c r="B115" s="3" t="s">
        <v>182</v>
      </c>
      <c r="C115" s="3" t="s">
        <v>100</v>
      </c>
      <c r="D115" s="3" t="str">
        <f>IFERROR(MID(VLOOKUP($B115,Seqs!$A:$B,2,0),E115,1),"")</f>
        <v>N</v>
      </c>
      <c r="E115" s="3">
        <v>112</v>
      </c>
      <c r="F115" s="3" t="str">
        <f>IFERROR(MID(VLOOKUP($B115,Seqs!$A:$B,2,0),G115,1),"")</f>
        <v>S</v>
      </c>
      <c r="G115" s="3">
        <v>144</v>
      </c>
      <c r="H115" s="3" t="str">
        <f>IFERROR(MID(VLOOKUP($B115,Seqs!$A:$B,2,0),I115,1),"")</f>
        <v>R</v>
      </c>
      <c r="I115" s="23">
        <v>145</v>
      </c>
      <c r="J115" s="3" t="str">
        <f>IFERROR(MID(VLOOKUP($B115,Seqs!$A:$B,2,0),K115,1),"")</f>
        <v>R</v>
      </c>
      <c r="K115" s="23">
        <v>148</v>
      </c>
      <c r="L115" s="3" t="str">
        <f>IFERROR(MID(VLOOKUP($B115,Seqs!$A:$B,2,0),M115,1),"")</f>
        <v>R</v>
      </c>
      <c r="M115" s="3">
        <v>150</v>
      </c>
      <c r="N115" s="3" t="str">
        <f>IFERROR(MID(VLOOKUP($B115,Seqs!$A:$B,2,0),O115,1),"")</f>
        <v>V</v>
      </c>
      <c r="O115" s="3">
        <v>179</v>
      </c>
      <c r="P115" s="3" t="str">
        <f>IFERROR(MID(VLOOKUP($B115,Seqs!$A:$B,2,0),Q115,1),"")</f>
        <v/>
      </c>
      <c r="Q115" s="3" t="s">
        <v>23</v>
      </c>
      <c r="R115" s="3" t="str">
        <f>IFERROR(MID(VLOOKUP($B115,Seqs!$A:$B,2,0),S115,1),"")</f>
        <v/>
      </c>
      <c r="S115" s="3" t="s">
        <v>23</v>
      </c>
      <c r="T115" s="3" t="str">
        <f>IFERROR(MID(VLOOKUP($B115,Seqs!$A:$B,2,0),U115,1),"")</f>
        <v>S</v>
      </c>
      <c r="U115" s="3">
        <v>185</v>
      </c>
      <c r="V115" s="3" t="str">
        <f>IFERROR(MID(VLOOKUP($B115,Seqs!$A:$B,2,0),W115,1),"")</f>
        <v>R</v>
      </c>
      <c r="W115" s="3">
        <v>220</v>
      </c>
      <c r="X115" s="3" t="str">
        <f>IFERROR(MID(VLOOKUP($B115,Seqs!$A:$B,2,0),Y115,1),"")</f>
        <v>P</v>
      </c>
      <c r="Y115" s="3">
        <v>221</v>
      </c>
      <c r="Z115" s="3" t="str">
        <f>IFERROR(MID(VLOOKUP($B115,Seqs!$A:$B,2,0),AA115,1),"")</f>
        <v>V</v>
      </c>
      <c r="AA115" s="3">
        <v>228</v>
      </c>
      <c r="AB115" s="3" t="str">
        <f>IFERROR(MID(VLOOKUP($B115,Seqs!$A:$B,2,0),AC115,1),"")</f>
        <v>T</v>
      </c>
      <c r="AC115" s="9">
        <v>229</v>
      </c>
      <c r="AD115" s="3" t="str">
        <f>IFERROR(MID(VLOOKUP($B115,Seqs!$A:$B,2,0),AE115,1),"")</f>
        <v>G</v>
      </c>
      <c r="AE115" s="3">
        <v>254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D</v>
      </c>
      <c r="AK115" s="3">
        <v>272</v>
      </c>
      <c r="AL115" s="3" t="str">
        <f>IFERROR(MID(VLOOKUP($B115,Seqs!$A:$B,2,0),AM115,1),"")</f>
        <v>G</v>
      </c>
      <c r="AM115" s="3">
        <v>312</v>
      </c>
      <c r="AN115" s="3" t="str">
        <f>IFERROR(MID(VLOOKUP($B115,Seqs!$A:$B,2,0),AO115,1),"")</f>
        <v>P</v>
      </c>
      <c r="AO115" s="3">
        <v>332</v>
      </c>
      <c r="AP115" s="3" t="str">
        <f>IFERROR(MID(VLOOKUP($B115,Seqs!$A:$B,2,0),AQ115,1),"")</f>
        <v>G</v>
      </c>
      <c r="AQ115" s="3">
        <v>369</v>
      </c>
      <c r="AR115" s="3" t="str">
        <f>IFERROR(MID(VLOOKUP($B115,Seqs!$A:$B,2,0),AS115,1),"")</f>
        <v>N</v>
      </c>
      <c r="AS115" s="3">
        <v>372</v>
      </c>
      <c r="AT115" s="3" t="str">
        <f>IFERROR(MID(VLOOKUP($B115,Seqs!$A:$B,2,0),AU115,1),"")</f>
        <v>R</v>
      </c>
      <c r="AU115" s="3">
        <v>400</v>
      </c>
      <c r="AV115" s="3" t="str">
        <f>IFERROR(MID(VLOOKUP($B115,Seqs!$A:$B,2,0),AW115,1),"")</f>
        <v>S</v>
      </c>
      <c r="AW115" s="3">
        <v>401</v>
      </c>
      <c r="AX115" s="3" t="str">
        <f>IFERROR(MID(VLOOKUP($B115,Seqs!$A:$B,2,0),AY115,1),"")</f>
        <v>P</v>
      </c>
      <c r="AY115" s="3">
        <v>413</v>
      </c>
      <c r="AZ115" s="79" t="str">
        <f>VLOOKUP(B115,Classification!A:D,2,0)</f>
        <v>A</v>
      </c>
      <c r="BA115" s="96" t="str">
        <f>VLOOKUP(B115,Classification!A:D,4,0)</f>
        <v>Cannabinoid</v>
      </c>
      <c r="BB115" s="27" t="b">
        <f t="shared" si="755"/>
        <v>1</v>
      </c>
      <c r="BC115" s="23">
        <f t="shared" si="728"/>
        <v>260</v>
      </c>
      <c r="BD115" s="57" t="s">
        <v>1379</v>
      </c>
      <c r="BE115" s="3" t="s">
        <v>23</v>
      </c>
      <c r="BF115" s="121" t="s">
        <v>23</v>
      </c>
      <c r="BG115" s="50" t="s">
        <v>1379</v>
      </c>
      <c r="BH115" s="50" t="s">
        <v>1384</v>
      </c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729"/>
        <v>112</v>
      </c>
      <c r="BW115" s="73">
        <f t="shared" si="730"/>
        <v>145</v>
      </c>
      <c r="BX115" s="74">
        <f t="shared" si="731"/>
        <v>150</v>
      </c>
      <c r="BY115" s="73" t="str">
        <f t="shared" si="732"/>
        <v>-</v>
      </c>
      <c r="BZ115" s="74">
        <f t="shared" si="733"/>
        <v>185</v>
      </c>
      <c r="CA115" s="73">
        <f t="shared" si="734"/>
        <v>221</v>
      </c>
      <c r="CB115" s="74">
        <f t="shared" si="735"/>
        <v>229</v>
      </c>
      <c r="CC115" s="73" t="str">
        <f t="shared" si="736"/>
        <v>-</v>
      </c>
      <c r="CD115" s="74">
        <f t="shared" si="737"/>
        <v>272</v>
      </c>
      <c r="CE115" s="73">
        <f t="shared" si="738"/>
        <v>332</v>
      </c>
      <c r="CF115" s="74">
        <f t="shared" si="739"/>
        <v>372</v>
      </c>
      <c r="CG115" s="73">
        <f t="shared" si="740"/>
        <v>401</v>
      </c>
      <c r="CH115" s="72">
        <f t="shared" si="741"/>
        <v>144</v>
      </c>
      <c r="CI115" s="73">
        <f t="shared" si="742"/>
        <v>148</v>
      </c>
      <c r="CJ115" s="74">
        <f t="shared" si="743"/>
        <v>179</v>
      </c>
      <c r="CK115" s="74" t="str">
        <f t="shared" si="744"/>
        <v>-</v>
      </c>
      <c r="CL115" s="74">
        <f t="shared" si="745"/>
        <v>220</v>
      </c>
      <c r="CM115" s="74">
        <f t="shared" si="746"/>
        <v>228</v>
      </c>
      <c r="CN115" s="74">
        <f t="shared" si="747"/>
        <v>254</v>
      </c>
      <c r="CO115" s="74" t="str">
        <f t="shared" si="748"/>
        <v>-</v>
      </c>
      <c r="CP115" s="74">
        <f t="shared" si="749"/>
        <v>312</v>
      </c>
      <c r="CQ115" s="74">
        <f t="shared" si="750"/>
        <v>369</v>
      </c>
      <c r="CR115" s="74">
        <f t="shared" si="751"/>
        <v>400</v>
      </c>
      <c r="CS115" s="74">
        <f t="shared" si="752"/>
        <v>413</v>
      </c>
      <c r="CT115" s="23">
        <f t="shared" si="753"/>
        <v>2</v>
      </c>
    </row>
    <row r="116" spans="1:1030" s="3" customFormat="1" x14ac:dyDescent="0.2">
      <c r="A116" s="3" t="str">
        <f t="shared" si="754"/>
        <v>cnr1_human_5TGZ</v>
      </c>
      <c r="B116" s="3" t="s">
        <v>182</v>
      </c>
      <c r="C116" s="3" t="s">
        <v>1365</v>
      </c>
      <c r="D116" s="3" t="str">
        <f>IFERROR(MID(VLOOKUP($B116,Seqs!$A:$B,2,0),E116,1),"")</f>
        <v>P</v>
      </c>
      <c r="E116" s="3">
        <v>113</v>
      </c>
      <c r="F116" s="3" t="str">
        <f>IFERROR(MID(VLOOKUP($B116,Seqs!$A:$B,2,0),G116,1),"")</f>
        <v>S</v>
      </c>
      <c r="G116" s="3">
        <v>144</v>
      </c>
      <c r="H116" s="3" t="str">
        <f>IFERROR(MID(VLOOKUP($B116,Seqs!$A:$B,2,0),I116,1),"")</f>
        <v>R</v>
      </c>
      <c r="I116" s="23">
        <v>145</v>
      </c>
      <c r="J116" s="3" t="str">
        <f>IFERROR(MID(VLOOKUP($B116,Seqs!$A:$B,2,0),K116,1),"")</f>
        <v>R</v>
      </c>
      <c r="K116" s="23">
        <v>148</v>
      </c>
      <c r="L116" s="3" t="str">
        <f>IFERROR(MID(VLOOKUP($B116,Seqs!$A:$B,2,0),M116,1),"")</f>
        <v>R</v>
      </c>
      <c r="M116" s="3">
        <v>150</v>
      </c>
      <c r="N116" s="3" t="str">
        <f>IFERROR(MID(VLOOKUP($B116,Seqs!$A:$B,2,0),O116,1),"")</f>
        <v>V</v>
      </c>
      <c r="O116" s="3">
        <v>179</v>
      </c>
      <c r="P116" s="3" t="str">
        <f>IFERROR(MID(VLOOKUP($B116,Seqs!$A:$B,2,0),Q116,1),"")</f>
        <v/>
      </c>
      <c r="Q116" s="3" t="s">
        <v>23</v>
      </c>
      <c r="R116" s="3" t="str">
        <f>IFERROR(MID(VLOOKUP($B116,Seqs!$A:$B,2,0),S116,1),"")</f>
        <v/>
      </c>
      <c r="S116" s="3" t="s">
        <v>23</v>
      </c>
      <c r="T116" s="3" t="str">
        <f>IFERROR(MID(VLOOKUP($B116,Seqs!$A:$B,2,0),U116,1),"")</f>
        <v>S</v>
      </c>
      <c r="U116" s="3">
        <v>185</v>
      </c>
      <c r="V116" s="3" t="str">
        <f>IFERROR(MID(VLOOKUP($B116,Seqs!$A:$B,2,0),W116,1),"")</f>
        <v>R</v>
      </c>
      <c r="W116" s="3">
        <v>220</v>
      </c>
      <c r="X116" s="3" t="str">
        <f>IFERROR(MID(VLOOKUP($B116,Seqs!$A:$B,2,0),Y116,1),"")</f>
        <v>P</v>
      </c>
      <c r="Y116" s="3">
        <v>221</v>
      </c>
      <c r="Z116" s="3" t="str">
        <f>IFERROR(MID(VLOOKUP($B116,Seqs!$A:$B,2,0),AA116,1),"")</f>
        <v>V</v>
      </c>
      <c r="AA116" s="3">
        <v>228</v>
      </c>
      <c r="AB116" s="3" t="str">
        <f>IFERROR(MID(VLOOKUP($B116,Seqs!$A:$B,2,0),AC116,1),"")</f>
        <v>T</v>
      </c>
      <c r="AC116" s="9">
        <v>229</v>
      </c>
      <c r="AD116" s="3" t="str">
        <f>IFERROR(MID(VLOOKUP($B116,Seqs!$A:$B,2,0),AE116,1),"")</f>
        <v>G</v>
      </c>
      <c r="AE116" s="3">
        <v>254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D</v>
      </c>
      <c r="AK116" s="3">
        <v>272</v>
      </c>
      <c r="AL116" s="3" t="str">
        <f>IFERROR(MID(VLOOKUP($B116,Seqs!$A:$B,2,0),AM116,1),"")</f>
        <v>H</v>
      </c>
      <c r="AM116" s="3">
        <v>304</v>
      </c>
      <c r="AN116" s="3" t="str">
        <f>IFERROR(MID(VLOOKUP($B116,Seqs!$A:$B,2,0),AO116,1),"")</f>
        <v>P</v>
      </c>
      <c r="AO116" s="3">
        <v>332</v>
      </c>
      <c r="AP116" s="3" t="str">
        <f>IFERROR(MID(VLOOKUP($B116,Seqs!$A:$B,2,0),AQ116,1),"")</f>
        <v>F</v>
      </c>
      <c r="AQ116" s="3">
        <v>368</v>
      </c>
      <c r="AR116" s="3" t="str">
        <f>IFERROR(MID(VLOOKUP($B116,Seqs!$A:$B,2,0),AS116,1),"")</f>
        <v>N</v>
      </c>
      <c r="AS116" s="3">
        <v>372</v>
      </c>
      <c r="AT116" s="3" t="str">
        <f>IFERROR(MID(VLOOKUP($B116,Seqs!$A:$B,2,0),AU116,1),"")</f>
        <v>R</v>
      </c>
      <c r="AU116" s="3">
        <v>400</v>
      </c>
      <c r="AV116" s="3" t="str">
        <f>IFERROR(MID(VLOOKUP($B116,Seqs!$A:$B,2,0),AW116,1),"")</f>
        <v>S</v>
      </c>
      <c r="AW116" s="3">
        <v>401</v>
      </c>
      <c r="AX116" s="3" t="str">
        <f>IFERROR(MID(VLOOKUP($B116,Seqs!$A:$B,2,0),AY116,1),"")</f>
        <v>M</v>
      </c>
      <c r="AY116" s="3">
        <v>411</v>
      </c>
      <c r="AZ116" s="79" t="str">
        <f>VLOOKUP(B116,Classification!A:D,2,0)</f>
        <v>A</v>
      </c>
      <c r="BA116" s="96" t="str">
        <f>VLOOKUP(B116,Classification!A:D,4,0)</f>
        <v>Cannabinoid</v>
      </c>
      <c r="BB116" s="27" t="b">
        <f t="shared" si="755"/>
        <v>1</v>
      </c>
      <c r="BC116" s="23">
        <f t="shared" si="728"/>
        <v>248</v>
      </c>
      <c r="BD116" s="16" t="s">
        <v>1383</v>
      </c>
      <c r="BE116" s="3" t="s">
        <v>1381</v>
      </c>
      <c r="BF116" s="121">
        <v>2.8</v>
      </c>
      <c r="BG116" s="50" t="s">
        <v>1384</v>
      </c>
      <c r="BH116" s="50" t="s">
        <v>1384</v>
      </c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si="729"/>
        <v>113</v>
      </c>
      <c r="BW116" s="73">
        <f t="shared" si="730"/>
        <v>145</v>
      </c>
      <c r="BX116" s="74">
        <f t="shared" si="731"/>
        <v>150</v>
      </c>
      <c r="BY116" s="73" t="str">
        <f t="shared" si="732"/>
        <v>-</v>
      </c>
      <c r="BZ116" s="74">
        <f t="shared" si="733"/>
        <v>185</v>
      </c>
      <c r="CA116" s="73">
        <f t="shared" si="734"/>
        <v>221</v>
      </c>
      <c r="CB116" s="74">
        <f t="shared" si="735"/>
        <v>229</v>
      </c>
      <c r="CC116" s="73" t="str">
        <f t="shared" si="736"/>
        <v>-</v>
      </c>
      <c r="CD116" s="74">
        <f t="shared" si="737"/>
        <v>272</v>
      </c>
      <c r="CE116" s="73">
        <f t="shared" si="738"/>
        <v>332</v>
      </c>
      <c r="CF116" s="74">
        <f t="shared" si="739"/>
        <v>372</v>
      </c>
      <c r="CG116" s="73">
        <f t="shared" si="740"/>
        <v>401</v>
      </c>
      <c r="CH116" s="72">
        <f t="shared" si="741"/>
        <v>144</v>
      </c>
      <c r="CI116" s="73">
        <f t="shared" si="742"/>
        <v>148</v>
      </c>
      <c r="CJ116" s="74">
        <f t="shared" si="743"/>
        <v>179</v>
      </c>
      <c r="CK116" s="74" t="str">
        <f t="shared" si="744"/>
        <v>-</v>
      </c>
      <c r="CL116" s="74">
        <f t="shared" si="745"/>
        <v>220</v>
      </c>
      <c r="CM116" s="74">
        <f t="shared" si="746"/>
        <v>228</v>
      </c>
      <c r="CN116" s="74">
        <f t="shared" si="747"/>
        <v>254</v>
      </c>
      <c r="CO116" s="74" t="str">
        <f t="shared" si="748"/>
        <v>-</v>
      </c>
      <c r="CP116" s="74">
        <f t="shared" si="749"/>
        <v>304</v>
      </c>
      <c r="CQ116" s="74">
        <f t="shared" si="750"/>
        <v>368</v>
      </c>
      <c r="CR116" s="74">
        <f t="shared" si="751"/>
        <v>400</v>
      </c>
      <c r="CS116" s="74">
        <f t="shared" si="752"/>
        <v>411</v>
      </c>
      <c r="CT116" s="23">
        <f t="shared" si="753"/>
        <v>2</v>
      </c>
      <c r="AMP116" s="1"/>
    </row>
    <row r="117" spans="1:1030" x14ac:dyDescent="0.2">
      <c r="A117" s="3" t="str">
        <f t="shared" si="754"/>
        <v>cnr1_human_5U09</v>
      </c>
      <c r="B117" s="3" t="s">
        <v>182</v>
      </c>
      <c r="C117" s="3" t="s">
        <v>1371</v>
      </c>
      <c r="D117" s="3" t="str">
        <f>IFERROR(MID(VLOOKUP($B117,Seqs!$A:$B,2,0),E117,1),"")</f>
        <v>N</v>
      </c>
      <c r="E117" s="3">
        <v>112</v>
      </c>
      <c r="F117" s="3" t="str">
        <f>IFERROR(MID(VLOOKUP($B117,Seqs!$A:$B,2,0),G117,1),"")</f>
        <v>S</v>
      </c>
      <c r="G117" s="3">
        <v>144</v>
      </c>
      <c r="H117" s="3" t="str">
        <f>IFERROR(MID(VLOOKUP($B117,Seqs!$A:$B,2,0),I117,1),"")</f>
        <v>R</v>
      </c>
      <c r="I117" s="23">
        <v>145</v>
      </c>
      <c r="J117" s="3" t="str">
        <f>IFERROR(MID(VLOOKUP($B117,Seqs!$A:$B,2,0),K117,1),"")</f>
        <v>R</v>
      </c>
      <c r="K117" s="23">
        <v>148</v>
      </c>
      <c r="L117" s="3" t="str">
        <f>IFERROR(MID(VLOOKUP($B117,Seqs!$A:$B,2,0),M117,1),"")</f>
        <v>R</v>
      </c>
      <c r="M117" s="3">
        <v>150</v>
      </c>
      <c r="N117" s="3" t="str">
        <f>IFERROR(MID(VLOOKUP($B117,Seqs!$A:$B,2,0),O117,1),"")</f>
        <v>V</v>
      </c>
      <c r="O117" s="3">
        <v>179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S</v>
      </c>
      <c r="U117" s="3">
        <v>185</v>
      </c>
      <c r="V117" s="3" t="str">
        <f>IFERROR(MID(VLOOKUP($B117,Seqs!$A:$B,2,0),W117,1),"")</f>
        <v>R</v>
      </c>
      <c r="W117" s="3">
        <v>220</v>
      </c>
      <c r="X117" s="3" t="str">
        <f>IFERROR(MID(VLOOKUP($B117,Seqs!$A:$B,2,0),Y117,1),"")</f>
        <v>P</v>
      </c>
      <c r="Y117" s="3">
        <v>221</v>
      </c>
      <c r="Z117" s="3" t="str">
        <f>IFERROR(MID(VLOOKUP($B117,Seqs!$A:$B,2,0),AA117,1),"")</f>
        <v>V</v>
      </c>
      <c r="AA117" s="3">
        <v>228</v>
      </c>
      <c r="AB117" s="3" t="str">
        <f>IFERROR(MID(VLOOKUP($B117,Seqs!$A:$B,2,0),AC117,1),"")</f>
        <v>T</v>
      </c>
      <c r="AC117" s="9">
        <v>229</v>
      </c>
      <c r="AD117" s="3" t="str">
        <f>IFERROR(MID(VLOOKUP($B117,Seqs!$A:$B,2,0),AE117,1),"")</f>
        <v>G</v>
      </c>
      <c r="AE117" s="3">
        <v>254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D</v>
      </c>
      <c r="AK117" s="3">
        <v>272</v>
      </c>
      <c r="AL117" s="3" t="str">
        <f>IFERROR(MID(VLOOKUP($B117,Seqs!$A:$B,2,0),AM117,1),"")</f>
        <v>A</v>
      </c>
      <c r="AM117" s="3">
        <v>301</v>
      </c>
      <c r="AN117" s="3" t="str">
        <f>IFERROR(MID(VLOOKUP($B117,Seqs!$A:$B,2,0),AO117,1),"")</f>
        <v>D</v>
      </c>
      <c r="AO117" s="3">
        <v>333</v>
      </c>
      <c r="AP117" s="3" t="str">
        <f>IFERROR(MID(VLOOKUP($B117,Seqs!$A:$B,2,0),AQ117,1),"")</f>
        <v>F</v>
      </c>
      <c r="AQ117" s="3">
        <v>368</v>
      </c>
      <c r="AR117" s="3" t="str">
        <f>IFERROR(MID(VLOOKUP($B117,Seqs!$A:$B,2,0),AS117,1),"")</f>
        <v>L</v>
      </c>
      <c r="AS117" s="3">
        <v>374</v>
      </c>
      <c r="AT117" s="3" t="str">
        <f>IFERROR(MID(VLOOKUP($B117,Seqs!$A:$B,2,0),AU117,1),"")</f>
        <v>R</v>
      </c>
      <c r="AU117" s="3">
        <v>400</v>
      </c>
      <c r="AV117" s="3" t="str">
        <f>IFERROR(MID(VLOOKUP($B117,Seqs!$A:$B,2,0),AW117,1),"")</f>
        <v>S</v>
      </c>
      <c r="AW117" s="3">
        <v>401</v>
      </c>
      <c r="AX117" s="3" t="str">
        <f>IFERROR(MID(VLOOKUP($B117,Seqs!$A:$B,2,0),AY117,1),"")</f>
        <v>M</v>
      </c>
      <c r="AY117" s="3">
        <v>411</v>
      </c>
      <c r="AZ117" s="79" t="str">
        <f>VLOOKUP(B117,Classification!A:D,2,0)</f>
        <v>A</v>
      </c>
      <c r="BA117" s="96" t="str">
        <f>VLOOKUP(B117,Classification!A:D,4,0)</f>
        <v>Cannabinoid</v>
      </c>
      <c r="BB117" s="27" t="b">
        <f t="shared" si="755"/>
        <v>1</v>
      </c>
      <c r="BC117" s="23">
        <f t="shared" si="728"/>
        <v>243</v>
      </c>
      <c r="BD117" s="2" t="s">
        <v>23</v>
      </c>
      <c r="BE117" s="3" t="s">
        <v>1381</v>
      </c>
      <c r="BF117" s="121">
        <v>2.6</v>
      </c>
      <c r="BG117" s="50" t="s">
        <v>1384</v>
      </c>
      <c r="BH117" s="50" t="s">
        <v>1384</v>
      </c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729"/>
        <v>112</v>
      </c>
      <c r="BW117" s="73">
        <f t="shared" si="730"/>
        <v>145</v>
      </c>
      <c r="BX117" s="74">
        <f t="shared" si="731"/>
        <v>150</v>
      </c>
      <c r="BY117" s="73" t="str">
        <f t="shared" si="732"/>
        <v>-</v>
      </c>
      <c r="BZ117" s="74">
        <f t="shared" si="733"/>
        <v>185</v>
      </c>
      <c r="CA117" s="73">
        <f t="shared" si="734"/>
        <v>221</v>
      </c>
      <c r="CB117" s="74">
        <f t="shared" si="735"/>
        <v>229</v>
      </c>
      <c r="CC117" s="73" t="str">
        <f t="shared" si="736"/>
        <v>-</v>
      </c>
      <c r="CD117" s="74">
        <f t="shared" si="737"/>
        <v>272</v>
      </c>
      <c r="CE117" s="73">
        <f t="shared" si="738"/>
        <v>333</v>
      </c>
      <c r="CF117" s="74">
        <f t="shared" si="739"/>
        <v>374</v>
      </c>
      <c r="CG117" s="73">
        <f t="shared" si="740"/>
        <v>401</v>
      </c>
      <c r="CH117" s="72">
        <f t="shared" si="741"/>
        <v>144</v>
      </c>
      <c r="CI117" s="73">
        <f t="shared" si="742"/>
        <v>148</v>
      </c>
      <c r="CJ117" s="74">
        <f t="shared" si="743"/>
        <v>179</v>
      </c>
      <c r="CK117" s="74" t="str">
        <f t="shared" si="744"/>
        <v>-</v>
      </c>
      <c r="CL117" s="74">
        <f t="shared" si="745"/>
        <v>220</v>
      </c>
      <c r="CM117" s="74">
        <f t="shared" si="746"/>
        <v>228</v>
      </c>
      <c r="CN117" s="74">
        <f t="shared" si="747"/>
        <v>254</v>
      </c>
      <c r="CO117" s="74" t="str">
        <f t="shared" si="748"/>
        <v>-</v>
      </c>
      <c r="CP117" s="74">
        <f t="shared" si="749"/>
        <v>301</v>
      </c>
      <c r="CQ117" s="74">
        <f t="shared" si="750"/>
        <v>368</v>
      </c>
      <c r="CR117" s="74">
        <f t="shared" si="751"/>
        <v>400</v>
      </c>
      <c r="CS117" s="74">
        <f t="shared" si="752"/>
        <v>411</v>
      </c>
      <c r="CT117" s="23">
        <f t="shared" si="753"/>
        <v>2</v>
      </c>
    </row>
    <row r="118" spans="1:1030" x14ac:dyDescent="0.2">
      <c r="A118" s="3" t="str">
        <f t="shared" ref="A118" si="951">CONCATENATE(B118,"_",C118)</f>
        <v>cnr1_human_5XR8</v>
      </c>
      <c r="B118" s="3" t="s">
        <v>182</v>
      </c>
      <c r="C118" s="3" t="s">
        <v>1435</v>
      </c>
      <c r="D118" s="3" t="str">
        <f>IFERROR(MID(VLOOKUP($B118,Seqs!$A:$B,2,0),E118,1),"")</f>
        <v>N</v>
      </c>
      <c r="E118" s="3">
        <v>112</v>
      </c>
      <c r="F118" s="3" t="str">
        <f>IFERROR(MID(VLOOKUP($B118,Seqs!$A:$B,2,0),G118,1),"")</f>
        <v>S</v>
      </c>
      <c r="G118" s="3">
        <v>146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Y</v>
      </c>
      <c r="M118" s="3">
        <v>153</v>
      </c>
      <c r="N118" s="3" t="str">
        <f>IFERROR(MID(VLOOKUP($B118,Seqs!$A:$B,2,0),O118,1),"")</f>
        <v>F</v>
      </c>
      <c r="O118" s="3">
        <v>180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S</v>
      </c>
      <c r="U118" s="3">
        <v>185</v>
      </c>
      <c r="V118" s="3" t="str">
        <f>IFERROR(MID(VLOOKUP($B118,Seqs!$A:$B,2,0),W118,1),"")</f>
        <v>R</v>
      </c>
      <c r="W118" s="3">
        <v>220</v>
      </c>
      <c r="X118" s="3" t="str">
        <f>IFERROR(MID(VLOOKUP($B118,Seqs!$A:$B,2,0),Y118,1),"")</f>
        <v>P</v>
      </c>
      <c r="Y118" s="3">
        <v>221</v>
      </c>
      <c r="Z118" s="3" t="str">
        <f>IFERROR(MID(VLOOKUP($B118,Seqs!$A:$B,2,0),AA118,1),"")</f>
        <v>V</v>
      </c>
      <c r="AA118" s="3">
        <v>228</v>
      </c>
      <c r="AB118" s="3" t="str">
        <f>IFERROR(MID(VLOOKUP($B118,Seqs!$A:$B,2,0),AC118,1),"")</f>
        <v>T</v>
      </c>
      <c r="AC118" s="3">
        <v>229</v>
      </c>
      <c r="AD118" s="3" t="str">
        <f>IFERROR(MID(VLOOKUP($B118,Seqs!$A:$B,2,0),AE118,1),"")</f>
        <v>G</v>
      </c>
      <c r="AE118" s="3">
        <v>254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D</v>
      </c>
      <c r="AK118" s="3">
        <v>272</v>
      </c>
      <c r="AL118" s="3" t="str">
        <f>IFERROR(MID(VLOOKUP($B118,Seqs!$A:$B,2,0),AM118,1),"")</f>
        <v>S</v>
      </c>
      <c r="AM118" s="3">
        <v>303</v>
      </c>
      <c r="AN118" s="3" t="str">
        <f>IFERROR(MID(VLOOKUP($B118,Seqs!$A:$B,2,0),AO118,1),"")</f>
        <v>D</v>
      </c>
      <c r="AO118" s="3">
        <v>338</v>
      </c>
      <c r="AP118" s="3" t="str">
        <f>IFERROR(MID(VLOOKUP($B118,Seqs!$A:$B,2,0),AQ118,1),"")</f>
        <v>F</v>
      </c>
      <c r="AQ118" s="3">
        <v>368</v>
      </c>
      <c r="AR118" s="3" t="str">
        <f>IFERROR(MID(VLOOKUP($B118,Seqs!$A:$B,2,0),AS118,1),"")</f>
        <v>N</v>
      </c>
      <c r="AS118" s="3">
        <v>372</v>
      </c>
      <c r="AT118" s="3" t="str">
        <f>IFERROR(MID(VLOOKUP($B118,Seqs!$A:$B,2,0),AU118,1),"")</f>
        <v>Y</v>
      </c>
      <c r="AU118" s="3">
        <v>397</v>
      </c>
      <c r="AV118" s="3" t="str">
        <f>IFERROR(MID(VLOOKUP($B118,Seqs!$A:$B,2,0),AW118,1),"")</f>
        <v>S</v>
      </c>
      <c r="AW118" s="3">
        <v>401</v>
      </c>
      <c r="AX118" s="3" t="str">
        <f>IFERROR(MID(VLOOKUP($B118,Seqs!$A:$B,2,0),AY118,1),"")</f>
        <v>F</v>
      </c>
      <c r="AY118" s="3">
        <v>412</v>
      </c>
      <c r="AZ118" s="79" t="str">
        <f>VLOOKUP(B118,Classification!A:D,2,0)</f>
        <v>A</v>
      </c>
      <c r="BA118" s="96" t="str">
        <f>VLOOKUP(B118,Classification!A:D,4,0)</f>
        <v>Cannabinoid</v>
      </c>
      <c r="BB118" s="27" t="b">
        <f t="shared" ref="BB118" si="952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953">_xlfn.AGGREGATE(9,6,CH118:CS118)-_xlfn.AGGREGATE(9,6,BV118:CG118)+12</f>
        <v>237</v>
      </c>
      <c r="BD118" s="2" t="s">
        <v>23</v>
      </c>
      <c r="BE118" s="3" t="s">
        <v>1297</v>
      </c>
      <c r="BF118" s="121">
        <v>2.95</v>
      </c>
      <c r="BG118" s="50" t="s">
        <v>1</v>
      </c>
      <c r="BH118" s="50" t="s">
        <v>1</v>
      </c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ref="BV118" si="954">E118</f>
        <v>112</v>
      </c>
      <c r="BW118" s="73" t="str">
        <f t="shared" ref="BW118" si="955">I118</f>
        <v>-</v>
      </c>
      <c r="BX118" s="74">
        <f t="shared" ref="BX118" si="956">M118</f>
        <v>153</v>
      </c>
      <c r="BY118" s="73" t="str">
        <f t="shared" ref="BY118" si="957">Q118</f>
        <v>-</v>
      </c>
      <c r="BZ118" s="74">
        <f t="shared" ref="BZ118" si="958">U118</f>
        <v>185</v>
      </c>
      <c r="CA118" s="73">
        <f t="shared" ref="CA118" si="959">Y118</f>
        <v>221</v>
      </c>
      <c r="CB118" s="74">
        <f t="shared" ref="CB118" si="960">AC118</f>
        <v>229</v>
      </c>
      <c r="CC118" s="73" t="str">
        <f t="shared" ref="CC118" si="961">AG118</f>
        <v>-</v>
      </c>
      <c r="CD118" s="74">
        <f t="shared" ref="CD118" si="962">AK118</f>
        <v>272</v>
      </c>
      <c r="CE118" s="73">
        <f t="shared" ref="CE118" si="963">AO118</f>
        <v>338</v>
      </c>
      <c r="CF118" s="74">
        <f t="shared" ref="CF118" si="964">AS118</f>
        <v>372</v>
      </c>
      <c r="CG118" s="73">
        <f t="shared" ref="CG118" si="965">AW118</f>
        <v>401</v>
      </c>
      <c r="CH118" s="72">
        <f t="shared" ref="CH118" si="966">G118</f>
        <v>146</v>
      </c>
      <c r="CI118" s="73" t="str">
        <f t="shared" ref="CI118" si="967">K118</f>
        <v>-</v>
      </c>
      <c r="CJ118" s="74">
        <f t="shared" ref="CJ118" si="968">O118</f>
        <v>180</v>
      </c>
      <c r="CK118" s="74" t="str">
        <f t="shared" ref="CK118" si="969">S118</f>
        <v>-</v>
      </c>
      <c r="CL118" s="74">
        <f t="shared" ref="CL118" si="970">W118</f>
        <v>220</v>
      </c>
      <c r="CM118" s="74">
        <f t="shared" ref="CM118" si="971">AA118</f>
        <v>228</v>
      </c>
      <c r="CN118" s="74">
        <f t="shared" ref="CN118" si="972">AE118</f>
        <v>254</v>
      </c>
      <c r="CO118" s="74" t="str">
        <f t="shared" ref="CO118" si="973">AI118</f>
        <v>-</v>
      </c>
      <c r="CP118" s="74">
        <f t="shared" ref="CP118" si="974">AM118</f>
        <v>303</v>
      </c>
      <c r="CQ118" s="74">
        <f t="shared" ref="CQ118" si="975">AQ118</f>
        <v>368</v>
      </c>
      <c r="CR118" s="74">
        <f t="shared" ref="CR118" si="976">AU118</f>
        <v>397</v>
      </c>
      <c r="CS118" s="74">
        <f t="shared" ref="CS118" si="977">AY118</f>
        <v>412</v>
      </c>
      <c r="CT118" s="23" t="e">
        <f t="shared" ref="CT118" si="978">M118-K118</f>
        <v>#VALUE!</v>
      </c>
    </row>
    <row r="119" spans="1:1030" x14ac:dyDescent="0.2">
      <c r="A119" s="3" t="str">
        <f t="shared" ref="A119" si="979">CONCATENATE(B119,"_",C119)</f>
        <v>cnr1_human_5XRA</v>
      </c>
      <c r="B119" s="3" t="s">
        <v>182</v>
      </c>
      <c r="C119" s="3" t="s">
        <v>1436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146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Y</v>
      </c>
      <c r="M119" s="3">
        <v>153</v>
      </c>
      <c r="N119" s="3" t="str">
        <f>IFERROR(MID(VLOOKUP($B119,Seqs!$A:$B,2,0),O119,1),"")</f>
        <v>F</v>
      </c>
      <c r="O119" s="3">
        <v>180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3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A</v>
      </c>
      <c r="AM119" s="3">
        <v>305</v>
      </c>
      <c r="AN119" s="3" t="str">
        <f>IFERROR(MID(VLOOKUP($B119,Seqs!$A:$B,2,0),AO119,1),"")</f>
        <v>D</v>
      </c>
      <c r="AO119" s="3">
        <v>338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Y</v>
      </c>
      <c r="AU119" s="3">
        <v>397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F</v>
      </c>
      <c r="AY119" s="3">
        <v>412</v>
      </c>
      <c r="AZ119" s="79" t="str">
        <f>VLOOKUP(B119,Classification!A:D,2,0)</f>
        <v>A</v>
      </c>
      <c r="BA119" s="96" t="str">
        <f>VLOOKUP(B119,Classification!A:D,4,0)</f>
        <v>Cannabinoid</v>
      </c>
      <c r="BB119" s="27" t="b">
        <f t="shared" ref="BB119" si="980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23">
        <f t="shared" ref="BC119" si="981">_xlfn.AGGREGATE(9,6,CH119:CS119)-_xlfn.AGGREGATE(9,6,BV119:CG119)+12</f>
        <v>240</v>
      </c>
      <c r="BD119" s="2" t="s">
        <v>1382</v>
      </c>
      <c r="BE119" s="3" t="s">
        <v>1297</v>
      </c>
      <c r="BF119" s="121">
        <v>2.8</v>
      </c>
      <c r="BG119" s="50" t="s">
        <v>1</v>
      </c>
      <c r="BH119" s="50" t="s">
        <v>1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ref="BV119" si="982">E119</f>
        <v>112</v>
      </c>
      <c r="BW119" s="73" t="str">
        <f t="shared" ref="BW119" si="983">I119</f>
        <v>-</v>
      </c>
      <c r="BX119" s="74">
        <f t="shared" ref="BX119" si="984">M119</f>
        <v>153</v>
      </c>
      <c r="BY119" s="73" t="str">
        <f t="shared" ref="BY119" si="985">Q119</f>
        <v>-</v>
      </c>
      <c r="BZ119" s="74">
        <f t="shared" ref="BZ119" si="986">U119</f>
        <v>185</v>
      </c>
      <c r="CA119" s="73">
        <f t="shared" ref="CA119" si="987">Y119</f>
        <v>221</v>
      </c>
      <c r="CB119" s="74">
        <f t="shared" ref="CB119" si="988">AC119</f>
        <v>229</v>
      </c>
      <c r="CC119" s="73" t="str">
        <f t="shared" ref="CC119" si="989">AG119</f>
        <v>-</v>
      </c>
      <c r="CD119" s="74">
        <f t="shared" ref="CD119" si="990">AK119</f>
        <v>272</v>
      </c>
      <c r="CE119" s="73">
        <f t="shared" ref="CE119" si="991">AO119</f>
        <v>338</v>
      </c>
      <c r="CF119" s="74">
        <f t="shared" ref="CF119" si="992">AS119</f>
        <v>372</v>
      </c>
      <c r="CG119" s="73">
        <f t="shared" ref="CG119" si="993">AW119</f>
        <v>401</v>
      </c>
      <c r="CH119" s="72">
        <f t="shared" ref="CH119" si="994">G119</f>
        <v>146</v>
      </c>
      <c r="CI119" s="73" t="str">
        <f t="shared" ref="CI119" si="995">K119</f>
        <v>-</v>
      </c>
      <c r="CJ119" s="74">
        <f t="shared" ref="CJ119" si="996">O119</f>
        <v>180</v>
      </c>
      <c r="CK119" s="74" t="str">
        <f t="shared" ref="CK119" si="997">S119</f>
        <v>-</v>
      </c>
      <c r="CL119" s="74">
        <f t="shared" ref="CL119" si="998">W119</f>
        <v>220</v>
      </c>
      <c r="CM119" s="74">
        <f t="shared" ref="CM119" si="999">AA119</f>
        <v>228</v>
      </c>
      <c r="CN119" s="74">
        <f t="shared" ref="CN119" si="1000">AE119</f>
        <v>254</v>
      </c>
      <c r="CO119" s="74" t="str">
        <f t="shared" ref="CO119" si="1001">AI119</f>
        <v>-</v>
      </c>
      <c r="CP119" s="74">
        <f t="shared" ref="CP119" si="1002">AM119</f>
        <v>305</v>
      </c>
      <c r="CQ119" s="74">
        <f t="shared" ref="CQ119" si="1003">AQ119</f>
        <v>369</v>
      </c>
      <c r="CR119" s="74">
        <f t="shared" ref="CR119" si="1004">AU119</f>
        <v>397</v>
      </c>
      <c r="CS119" s="74">
        <f t="shared" ref="CS119" si="1005">AY119</f>
        <v>412</v>
      </c>
      <c r="CT119" s="23" t="e">
        <f t="shared" ref="CT119" si="1006">M119-K119</f>
        <v>#VALUE!</v>
      </c>
    </row>
    <row r="120" spans="1:1030" x14ac:dyDescent="0.2">
      <c r="A120" s="3" t="str">
        <f t="shared" si="754"/>
        <v>cxcr4_human__wt</v>
      </c>
      <c r="B120" s="3" t="s">
        <v>1172</v>
      </c>
      <c r="C120" s="3" t="s">
        <v>100</v>
      </c>
      <c r="D120" s="3" t="str">
        <f>IFERROR(MID(VLOOKUP($B120,Seqs!$A:$B,2,0),E120,1),"")</f>
        <v>R</v>
      </c>
      <c r="E120" s="3">
        <v>30</v>
      </c>
      <c r="F120" s="3" t="str">
        <f>IFERROR(MID(VLOOKUP($B120,Seqs!$A:$B,2,0),G120,1),"")</f>
        <v>Q</v>
      </c>
      <c r="G120" s="3">
        <v>66</v>
      </c>
      <c r="H120" s="3" t="str">
        <f>IFERROR(MID(VLOOKUP($B120,Seqs!$A:$B,2,0),I120,1),"")</f>
        <v>K</v>
      </c>
      <c r="I120" s="23">
        <v>67</v>
      </c>
      <c r="J120" s="3" t="str">
        <f>IFERROR(MID(VLOOKUP($B120,Seqs!$A:$B,2,0),K120,1),"")</f>
        <v>R</v>
      </c>
      <c r="K120" s="23">
        <v>70</v>
      </c>
      <c r="L120" s="3" t="str">
        <f>IFERROR(MID(VLOOKUP($B120,Seqs!$A:$B,2,0),M120,1),"")</f>
        <v>S</v>
      </c>
      <c r="M120" s="3">
        <v>71</v>
      </c>
      <c r="N120" s="3" t="str">
        <f>IFERROR(MID(VLOOKUP($B120,Seqs!$A:$B,2,0),O120,1),"")</f>
        <v>A</v>
      </c>
      <c r="O120" s="3">
        <v>100</v>
      </c>
      <c r="P120" s="3" t="str">
        <f>IFERROR(MID(VLOOKUP($B120,Seqs!$A:$B,2,0),Q120,1),"")</f>
        <v>N</v>
      </c>
      <c r="Q120" s="3">
        <v>101</v>
      </c>
      <c r="R120" s="3" t="str">
        <f>IFERROR(MID(VLOOKUP($B120,Seqs!$A:$B,2,0),S120,1),"")</f>
        <v>F</v>
      </c>
      <c r="S120" s="3">
        <v>104</v>
      </c>
      <c r="T120" s="3" t="str">
        <f>IFERROR(MID(VLOOKUP($B120,Seqs!$A:$B,2,0),U120,1),"")</f>
        <v>G</v>
      </c>
      <c r="U120" s="3">
        <v>105</v>
      </c>
      <c r="V120" s="3" t="str">
        <f>IFERROR(MID(VLOOKUP($B120,Seqs!$A:$B,2,0),W120,1),"")</f>
        <v>H</v>
      </c>
      <c r="W120" s="3">
        <v>140</v>
      </c>
      <c r="X120" s="3" t="str">
        <f>IFERROR(MID(VLOOKUP($B120,Seqs!$A:$B,2,0),Y120,1),"")</f>
        <v>A</v>
      </c>
      <c r="Y120" s="3">
        <v>141</v>
      </c>
      <c r="Z120" s="3" t="str">
        <f>IFERROR(MID(VLOOKUP($B120,Seqs!$A:$B,2,0),AA120,1),"")</f>
        <v>R</v>
      </c>
      <c r="AA120" s="3">
        <v>148</v>
      </c>
      <c r="AB120" s="3" t="str">
        <f>IFERROR(MID(VLOOKUP($B120,Seqs!$A:$B,2,0),AC120,1),"")</f>
        <v>K</v>
      </c>
      <c r="AC120" s="9">
        <v>149</v>
      </c>
      <c r="AD120" s="3" t="str">
        <f>IFERROR(MID(VLOOKUP($B120,Seqs!$A:$B,2,0),AE120,1),"")</f>
        <v>A</v>
      </c>
      <c r="AE120" s="3">
        <v>175</v>
      </c>
      <c r="AF120" s="3" t="str">
        <f>IFERROR(MID(VLOOKUP($B120,Seqs!$A:$B,2,0),AG120,1),"")</f>
        <v>C</v>
      </c>
      <c r="AG120" s="3">
        <v>186</v>
      </c>
      <c r="AH120" s="3" t="str">
        <f>IFERROR(MID(VLOOKUP($B120,Seqs!$A:$B,2,0),AI120,1),"")</f>
        <v>R</v>
      </c>
      <c r="AI120" s="3">
        <v>188</v>
      </c>
      <c r="AJ120" s="3" t="str">
        <f>IFERROR(MID(VLOOKUP($B120,Seqs!$A:$B,2,0),AK120,1),"")</f>
        <v>D</v>
      </c>
      <c r="AK120" s="3">
        <v>193</v>
      </c>
      <c r="AL120" s="3" t="str">
        <f>IFERROR(MID(VLOOKUP($B120,Seqs!$A:$B,2,0),AM120,1),"")</f>
        <v>S</v>
      </c>
      <c r="AM120" s="3">
        <v>229</v>
      </c>
      <c r="AN120" s="3" t="str">
        <f>IFERROR(MID(VLOOKUP($B120,Seqs!$A:$B,2,0),AO120,1),"")</f>
        <v>K</v>
      </c>
      <c r="AO120" s="3">
        <v>234</v>
      </c>
      <c r="AP120" s="3" t="str">
        <f>IFERROR(MID(VLOOKUP($B120,Seqs!$A:$B,2,0),AQ120,1),"")</f>
        <v>E</v>
      </c>
      <c r="AQ120" s="3">
        <v>268</v>
      </c>
      <c r="AR120" s="3" t="str">
        <f>IFERROR(MID(VLOOKUP($B120,Seqs!$A:$B,2,0),AS120,1),"")</f>
        <v>G</v>
      </c>
      <c r="AS120" s="3">
        <v>273</v>
      </c>
      <c r="AT120" s="3" t="str">
        <f>IFERROR(MID(VLOOKUP($B120,Seqs!$A:$B,2,0),AU120,1),"")</f>
        <v>L</v>
      </c>
      <c r="AU120" s="3">
        <v>305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T</v>
      </c>
      <c r="AY120" s="3">
        <v>318</v>
      </c>
      <c r="AZ120" s="79" t="str">
        <f>VLOOKUP(B120,Classification!A:D,2,0)</f>
        <v>A</v>
      </c>
      <c r="BA120" s="96" t="str">
        <f>VLOOKUP(B120,Classification!A:D,4,0)</f>
        <v>Chemokine</v>
      </c>
      <c r="BB120" s="27" t="b">
        <f t="shared" si="755"/>
        <v>1</v>
      </c>
      <c r="BC120" s="23">
        <f t="shared" ref="BC120:BC127" si="1007">_xlfn.AGGREGATE(9,6,CH120:CS120)-_xlfn.AGGREGATE(9,6,BV120:CG120)+12</f>
        <v>267</v>
      </c>
      <c r="BD120" s="35" t="s">
        <v>1379</v>
      </c>
      <c r="BE120" s="3" t="s">
        <v>23</v>
      </c>
      <c r="BF120" s="121" t="s">
        <v>23</v>
      </c>
      <c r="BG120" s="50" t="s">
        <v>1379</v>
      </c>
      <c r="BH120" s="50" t="s">
        <v>1384</v>
      </c>
      <c r="BI120" s="1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:BV127" si="1008">E120</f>
        <v>30</v>
      </c>
      <c r="BW120" s="73">
        <f t="shared" ref="BW120:BW127" si="1009">I120</f>
        <v>67</v>
      </c>
      <c r="BX120" s="74">
        <f t="shared" ref="BX120:BX127" si="1010">M120</f>
        <v>71</v>
      </c>
      <c r="BY120" s="73">
        <f t="shared" ref="BY120:BY127" si="1011">Q120</f>
        <v>101</v>
      </c>
      <c r="BZ120" s="74">
        <f t="shared" ref="BZ120:BZ127" si="1012">U120</f>
        <v>105</v>
      </c>
      <c r="CA120" s="73">
        <f t="shared" ref="CA120:CA127" si="1013">Y120</f>
        <v>141</v>
      </c>
      <c r="CB120" s="74">
        <f t="shared" ref="CB120:CB127" si="1014">AC120</f>
        <v>149</v>
      </c>
      <c r="CC120" s="73">
        <f t="shared" ref="CC120:CC127" si="1015">AG120</f>
        <v>186</v>
      </c>
      <c r="CD120" s="74">
        <f t="shared" ref="CD120:CD127" si="1016">AK120</f>
        <v>193</v>
      </c>
      <c r="CE120" s="73">
        <f t="shared" ref="CE120:CE127" si="1017">AO120</f>
        <v>234</v>
      </c>
      <c r="CF120" s="74">
        <f t="shared" ref="CF120:CF127" si="1018">AS120</f>
        <v>273</v>
      </c>
      <c r="CG120" s="73">
        <f t="shared" ref="CG120:CG127" si="1019">AW120</f>
        <v>306</v>
      </c>
      <c r="CH120" s="72">
        <f t="shared" ref="CH120:CH127" si="1020">G120</f>
        <v>66</v>
      </c>
      <c r="CI120" s="73">
        <f t="shared" ref="CI120:CI127" si="1021">K120</f>
        <v>70</v>
      </c>
      <c r="CJ120" s="74">
        <f t="shared" ref="CJ120:CJ127" si="1022">O120</f>
        <v>100</v>
      </c>
      <c r="CK120" s="74">
        <f t="shared" ref="CK120:CK127" si="1023">S120</f>
        <v>104</v>
      </c>
      <c r="CL120" s="74">
        <f t="shared" ref="CL120:CL127" si="1024">W120</f>
        <v>140</v>
      </c>
      <c r="CM120" s="74">
        <f t="shared" ref="CM120:CM127" si="1025">AA120</f>
        <v>148</v>
      </c>
      <c r="CN120" s="74">
        <f t="shared" ref="CN120:CN127" si="1026">AE120</f>
        <v>175</v>
      </c>
      <c r="CO120" s="74">
        <f t="shared" ref="CO120:CO127" si="1027">AI120</f>
        <v>188</v>
      </c>
      <c r="CP120" s="74">
        <f t="shared" ref="CP120:CP127" si="1028">AM120</f>
        <v>229</v>
      </c>
      <c r="CQ120" s="74">
        <f t="shared" ref="CQ120:CQ127" si="1029">AQ120</f>
        <v>268</v>
      </c>
      <c r="CR120" s="74">
        <f t="shared" ref="CR120:CR127" si="1030">AU120</f>
        <v>305</v>
      </c>
      <c r="CS120" s="74">
        <f t="shared" ref="CS120:CS127" si="1031">AY120</f>
        <v>318</v>
      </c>
      <c r="CT120" s="23">
        <f t="shared" ref="CT120:CT127" si="1032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754"/>
        <v>cxcr4_human_3ODU</v>
      </c>
      <c r="B121" s="3" t="s">
        <v>1172</v>
      </c>
      <c r="C121" s="3" t="s">
        <v>63</v>
      </c>
      <c r="D121" s="3" t="str">
        <f>IFERROR(MID(VLOOKUP($B121,Seqs!$A:$B,2,0),E121,1),"")</f>
        <v>A</v>
      </c>
      <c r="E121" s="3">
        <v>34</v>
      </c>
      <c r="F121" s="3" t="str">
        <f>IFERROR(MID(VLOOKUP($B121,Seqs!$A:$B,2,0),G121,1),"")</f>
        <v>Q</v>
      </c>
      <c r="G121" s="3">
        <v>66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S</v>
      </c>
      <c r="M121" s="3">
        <v>71</v>
      </c>
      <c r="N121" s="3" t="str">
        <f>IFERROR(MID(VLOOKUP($B121,Seqs!$A:$B,2,0),O121,1),"")</f>
        <v>A</v>
      </c>
      <c r="O121" s="3">
        <v>100</v>
      </c>
      <c r="P121" s="3" t="str">
        <f>IFERROR(MID(VLOOKUP($B121,Seqs!$A:$B,2,0),Q121,1),"")</f>
        <v>N</v>
      </c>
      <c r="Q121" s="3">
        <v>101</v>
      </c>
      <c r="R121" s="3" t="str">
        <f>IFERROR(MID(VLOOKUP($B121,Seqs!$A:$B,2,0),S121,1),"")</f>
        <v>F</v>
      </c>
      <c r="S121" s="3">
        <v>104</v>
      </c>
      <c r="T121" s="3" t="str">
        <f>IFERROR(MID(VLOOKUP($B121,Seqs!$A:$B,2,0),U121,1),"")</f>
        <v>G</v>
      </c>
      <c r="U121" s="3">
        <v>105</v>
      </c>
      <c r="V121" s="3" t="str">
        <f>IFERROR(MID(VLOOKUP($B121,Seqs!$A:$B,2,0),W121,1),"")</f>
        <v>H</v>
      </c>
      <c r="W121" s="3">
        <v>140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S</v>
      </c>
      <c r="AC121" s="9">
        <v>144</v>
      </c>
      <c r="AD121" s="3" t="str">
        <f>IFERROR(MID(VLOOKUP($B121,Seqs!$A:$B,2,0),AE121,1),"")</f>
        <v>A</v>
      </c>
      <c r="AE121" s="3">
        <v>175</v>
      </c>
      <c r="AF121" s="3" t="str">
        <f>IFERROR(MID(VLOOKUP($B121,Seqs!$A:$B,2,0),AG121,1),"")</f>
        <v>C</v>
      </c>
      <c r="AG121" s="3">
        <v>186</v>
      </c>
      <c r="AH121" s="3" t="str">
        <f>IFERROR(MID(VLOOKUP($B121,Seqs!$A:$B,2,0),AI121,1),"")</f>
        <v>R</v>
      </c>
      <c r="AI121" s="3">
        <v>188</v>
      </c>
      <c r="AJ121" s="3" t="str">
        <f>IFERROR(MID(VLOOKUP($B121,Seqs!$A:$B,2,0),AK121,1),"")</f>
        <v>D</v>
      </c>
      <c r="AK121" s="3">
        <v>193</v>
      </c>
      <c r="AL121" s="3" t="str">
        <f>IFERROR(MID(VLOOKUP($B121,Seqs!$A:$B,2,0),AM121,1),"")</f>
        <v>K</v>
      </c>
      <c r="AM121" s="3">
        <v>225</v>
      </c>
      <c r="AN121" s="3" t="str">
        <f>IFERROR(MID(VLOOKUP($B121,Seqs!$A:$B,2,0),AO121,1),"")</f>
        <v>G</v>
      </c>
      <c r="AO121" s="3">
        <v>231</v>
      </c>
      <c r="AP121" s="3" t="str">
        <f>IFERROR(MID(VLOOKUP($B121,Seqs!$A:$B,2,0),AQ121,1),"")</f>
        <v>E</v>
      </c>
      <c r="AQ121" s="3">
        <v>268</v>
      </c>
      <c r="AR121" s="3" t="str">
        <f>IFERROR(MID(VLOOKUP($B121,Seqs!$A:$B,2,0),AS121,1),"")</f>
        <v>G</v>
      </c>
      <c r="AS121" s="3">
        <v>273</v>
      </c>
      <c r="AT121" s="3" t="str">
        <f>IFERROR(MID(VLOOKUP($B121,Seqs!$A:$B,2,0),AU121,1),"")</f>
        <v>I</v>
      </c>
      <c r="AU121" s="3">
        <v>300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6" t="str">
        <f>VLOOKUP(B121,Classification!A:D,4,0)</f>
        <v>Chemokine</v>
      </c>
      <c r="BB121" s="27" t="b">
        <f t="shared" si="755"/>
        <v>1</v>
      </c>
      <c r="BC121" s="23">
        <f t="shared" si="1007"/>
        <v>240</v>
      </c>
      <c r="BD121" s="2" t="s">
        <v>1383</v>
      </c>
      <c r="BE121" s="3" t="s">
        <v>1381</v>
      </c>
      <c r="BF121" s="121">
        <v>2.5</v>
      </c>
      <c r="BG121" s="50" t="s">
        <v>1384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1008"/>
        <v>34</v>
      </c>
      <c r="BW121" s="73" t="str">
        <f t="shared" si="1009"/>
        <v>-</v>
      </c>
      <c r="BX121" s="74">
        <f t="shared" si="1010"/>
        <v>71</v>
      </c>
      <c r="BY121" s="73">
        <f t="shared" si="1011"/>
        <v>101</v>
      </c>
      <c r="BZ121" s="74">
        <f t="shared" si="1012"/>
        <v>105</v>
      </c>
      <c r="CA121" s="73" t="str">
        <f t="shared" si="1013"/>
        <v>-</v>
      </c>
      <c r="CB121" s="74">
        <f t="shared" si="1014"/>
        <v>144</v>
      </c>
      <c r="CC121" s="73">
        <f t="shared" si="1015"/>
        <v>186</v>
      </c>
      <c r="CD121" s="74">
        <f t="shared" si="1016"/>
        <v>193</v>
      </c>
      <c r="CE121" s="73">
        <f t="shared" si="1017"/>
        <v>231</v>
      </c>
      <c r="CF121" s="74">
        <f t="shared" si="1018"/>
        <v>273</v>
      </c>
      <c r="CG121" s="73" t="str">
        <f t="shared" si="1019"/>
        <v>-</v>
      </c>
      <c r="CH121" s="72">
        <f t="shared" si="1020"/>
        <v>66</v>
      </c>
      <c r="CI121" s="73" t="str">
        <f t="shared" si="1021"/>
        <v>-</v>
      </c>
      <c r="CJ121" s="74">
        <f t="shared" si="1022"/>
        <v>100</v>
      </c>
      <c r="CK121" s="74">
        <f t="shared" si="1023"/>
        <v>104</v>
      </c>
      <c r="CL121" s="74">
        <f t="shared" si="1024"/>
        <v>140</v>
      </c>
      <c r="CM121" s="74" t="str">
        <f t="shared" si="1025"/>
        <v>-</v>
      </c>
      <c r="CN121" s="74">
        <f t="shared" si="1026"/>
        <v>175</v>
      </c>
      <c r="CO121" s="74">
        <f t="shared" si="1027"/>
        <v>188</v>
      </c>
      <c r="CP121" s="74">
        <f t="shared" si="1028"/>
        <v>225</v>
      </c>
      <c r="CQ121" s="74">
        <f t="shared" si="1029"/>
        <v>268</v>
      </c>
      <c r="CR121" s="74">
        <f t="shared" si="1030"/>
        <v>300</v>
      </c>
      <c r="CS121" s="74" t="str">
        <f t="shared" si="1031"/>
        <v>-</v>
      </c>
      <c r="CT121" s="23" t="e">
        <f t="shared" si="1032"/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754"/>
        <v>cxcr4_human_3OE0</v>
      </c>
      <c r="B122" s="3" t="s">
        <v>1172</v>
      </c>
      <c r="C122" s="3" t="s">
        <v>1032</v>
      </c>
      <c r="D122" s="3" t="str">
        <f>IFERROR(MID(VLOOKUP($B122,Seqs!$A:$B,2,0),E122,1),"")</f>
        <v>A</v>
      </c>
      <c r="E122" s="3">
        <v>34</v>
      </c>
      <c r="F122" s="3" t="str">
        <f>IFERROR(MID(VLOOKUP($B122,Seqs!$A:$B,2,0),G122,1),"")</f>
        <v>Q</v>
      </c>
      <c r="G122" s="3">
        <v>66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71</v>
      </c>
      <c r="N122" s="3" t="str">
        <f>IFERROR(MID(VLOOKUP($B122,Seqs!$A:$B,2,0),O122,1),"")</f>
        <v>A</v>
      </c>
      <c r="O122" s="3">
        <v>100</v>
      </c>
      <c r="P122" s="3" t="str">
        <f>IFERROR(MID(VLOOKUP($B122,Seqs!$A:$B,2,0),Q122,1),"")</f>
        <v>N</v>
      </c>
      <c r="Q122" s="3">
        <v>101</v>
      </c>
      <c r="R122" s="3" t="str">
        <f>IFERROR(MID(VLOOKUP($B122,Seqs!$A:$B,2,0),S122,1),"")</f>
        <v>F</v>
      </c>
      <c r="S122" s="3">
        <v>104</v>
      </c>
      <c r="T122" s="3" t="str">
        <f>IFERROR(MID(VLOOKUP($B122,Seqs!$A:$B,2,0),U122,1),"")</f>
        <v>G</v>
      </c>
      <c r="U122" s="3">
        <v>105</v>
      </c>
      <c r="V122" s="3" t="str">
        <f>IFERROR(MID(VLOOKUP($B122,Seqs!$A:$B,2,0),W122,1),"")</f>
        <v>H</v>
      </c>
      <c r="W122" s="3">
        <v>140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S</v>
      </c>
      <c r="AC122" s="9">
        <v>144</v>
      </c>
      <c r="AD122" s="3" t="str">
        <f>IFERROR(MID(VLOOKUP($B122,Seqs!$A:$B,2,0),AE122,1),"")</f>
        <v>A</v>
      </c>
      <c r="AE122" s="3">
        <v>175</v>
      </c>
      <c r="AF122" s="3" t="str">
        <f>IFERROR(MID(VLOOKUP($B122,Seqs!$A:$B,2,0),AG122,1),"")</f>
        <v>C</v>
      </c>
      <c r="AG122" s="3">
        <v>186</v>
      </c>
      <c r="AH122" s="3" t="str">
        <f>IFERROR(MID(VLOOKUP($B122,Seqs!$A:$B,2,0),AI122,1),"")</f>
        <v>R</v>
      </c>
      <c r="AI122" s="3">
        <v>188</v>
      </c>
      <c r="AJ122" s="3" t="str">
        <f>IFERROR(MID(VLOOKUP($B122,Seqs!$A:$B,2,0),AK122,1),"")</f>
        <v>D</v>
      </c>
      <c r="AK122" s="3">
        <v>193</v>
      </c>
      <c r="AL122" s="3" t="str">
        <f>IFERROR(MID(VLOOKUP($B122,Seqs!$A:$B,2,0),AM122,1),"")</f>
        <v>H</v>
      </c>
      <c r="AM122" s="3">
        <v>228</v>
      </c>
      <c r="AN122" s="3" t="str">
        <f>IFERROR(MID(VLOOKUP($B122,Seqs!$A:$B,2,0),AO122,1),"")</f>
        <v>K</v>
      </c>
      <c r="AO122" s="3">
        <v>239</v>
      </c>
      <c r="AP122" s="3" t="str">
        <f>IFERROR(MID(VLOOKUP($B122,Seqs!$A:$B,2,0),AQ122,1),"")</f>
        <v>E</v>
      </c>
      <c r="AQ122" s="3">
        <v>268</v>
      </c>
      <c r="AR122" s="3" t="str">
        <f>IFERROR(MID(VLOOKUP($B122,Seqs!$A:$B,2,0),AS122,1),"")</f>
        <v>G</v>
      </c>
      <c r="AS122" s="3">
        <v>273</v>
      </c>
      <c r="AT122" s="3" t="str">
        <f>IFERROR(MID(VLOOKUP($B122,Seqs!$A:$B,2,0),AU122,1),"")</f>
        <v>I</v>
      </c>
      <c r="AU122" s="3">
        <v>300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6" t="str">
        <f>VLOOKUP(B122,Classification!A:D,4,0)</f>
        <v>Chemokine</v>
      </c>
      <c r="BB122" s="27" t="b">
        <f t="shared" si="755"/>
        <v>1</v>
      </c>
      <c r="BC122" s="23">
        <f t="shared" si="1007"/>
        <v>235</v>
      </c>
      <c r="BD122" s="4" t="s">
        <v>23</v>
      </c>
      <c r="BE122" s="3" t="s">
        <v>1381</v>
      </c>
      <c r="BF122" s="121">
        <v>2.9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1008"/>
        <v>34</v>
      </c>
      <c r="BW122" s="73" t="str">
        <f t="shared" si="1009"/>
        <v>-</v>
      </c>
      <c r="BX122" s="74">
        <f t="shared" si="1010"/>
        <v>71</v>
      </c>
      <c r="BY122" s="73">
        <f t="shared" si="1011"/>
        <v>101</v>
      </c>
      <c r="BZ122" s="74">
        <f t="shared" si="1012"/>
        <v>105</v>
      </c>
      <c r="CA122" s="73" t="str">
        <f t="shared" si="1013"/>
        <v>-</v>
      </c>
      <c r="CB122" s="74">
        <f t="shared" si="1014"/>
        <v>144</v>
      </c>
      <c r="CC122" s="73">
        <f t="shared" si="1015"/>
        <v>186</v>
      </c>
      <c r="CD122" s="74">
        <f t="shared" si="1016"/>
        <v>193</v>
      </c>
      <c r="CE122" s="73">
        <f t="shared" si="1017"/>
        <v>239</v>
      </c>
      <c r="CF122" s="74">
        <f t="shared" si="1018"/>
        <v>273</v>
      </c>
      <c r="CG122" s="73" t="str">
        <f t="shared" si="1019"/>
        <v>-</v>
      </c>
      <c r="CH122" s="72">
        <f t="shared" si="1020"/>
        <v>66</v>
      </c>
      <c r="CI122" s="73" t="str">
        <f t="shared" si="1021"/>
        <v>-</v>
      </c>
      <c r="CJ122" s="74">
        <f t="shared" si="1022"/>
        <v>100</v>
      </c>
      <c r="CK122" s="74">
        <f t="shared" si="1023"/>
        <v>104</v>
      </c>
      <c r="CL122" s="74">
        <f t="shared" si="1024"/>
        <v>140</v>
      </c>
      <c r="CM122" s="74" t="str">
        <f t="shared" si="1025"/>
        <v>-</v>
      </c>
      <c r="CN122" s="74">
        <f t="shared" si="1026"/>
        <v>175</v>
      </c>
      <c r="CO122" s="74">
        <f t="shared" si="1027"/>
        <v>188</v>
      </c>
      <c r="CP122" s="74">
        <f t="shared" si="1028"/>
        <v>228</v>
      </c>
      <c r="CQ122" s="74">
        <f t="shared" si="1029"/>
        <v>268</v>
      </c>
      <c r="CR122" s="74">
        <f t="shared" si="1030"/>
        <v>300</v>
      </c>
      <c r="CS122" s="74" t="str">
        <f t="shared" si="1031"/>
        <v>-</v>
      </c>
      <c r="CT122" s="23" t="e">
        <f t="shared" si="1032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754"/>
        <v>cxcr4_human_4RWS</v>
      </c>
      <c r="B123" s="3" t="s">
        <v>1172</v>
      </c>
      <c r="C123" s="3" t="s">
        <v>1053</v>
      </c>
      <c r="D123" s="3" t="str">
        <f>IFERROR(MID(VLOOKUP($B123,Seqs!$A:$B,2,0),E123,1),"")</f>
        <v>R</v>
      </c>
      <c r="E123" s="3">
        <v>30</v>
      </c>
      <c r="F123" s="3" t="str">
        <f>IFERROR(MID(VLOOKUP($B123,Seqs!$A:$B,2,0),G123,1),"")</f>
        <v>Q</v>
      </c>
      <c r="G123" s="3">
        <v>66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71</v>
      </c>
      <c r="N123" s="3" t="str">
        <f>IFERROR(MID(VLOOKUP($B123,Seqs!$A:$B,2,0),O123,1),"")</f>
        <v>A</v>
      </c>
      <c r="O123" s="3">
        <v>100</v>
      </c>
      <c r="P123" s="3" t="str">
        <f>IFERROR(MID(VLOOKUP($B123,Seqs!$A:$B,2,0),Q123,1),"")</f>
        <v>N</v>
      </c>
      <c r="Q123" s="3">
        <v>101</v>
      </c>
      <c r="R123" s="3" t="str">
        <f>IFERROR(MID(VLOOKUP($B123,Seqs!$A:$B,2,0),S123,1),"")</f>
        <v>F</v>
      </c>
      <c r="S123" s="3">
        <v>104</v>
      </c>
      <c r="T123" s="3" t="str">
        <f>IFERROR(MID(VLOOKUP($B123,Seqs!$A:$B,2,0),U123,1),"")</f>
        <v>G</v>
      </c>
      <c r="U123" s="3">
        <v>105</v>
      </c>
      <c r="V123" s="3" t="str">
        <f>IFERROR(MID(VLOOKUP($B123,Seqs!$A:$B,2,0),W123,1),"")</f>
        <v>H</v>
      </c>
      <c r="W123" s="3">
        <v>140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S</v>
      </c>
      <c r="AC123" s="9">
        <v>144</v>
      </c>
      <c r="AD123" s="3" t="str">
        <f>IFERROR(MID(VLOOKUP($B123,Seqs!$A:$B,2,0),AE123,1),"")</f>
        <v>A</v>
      </c>
      <c r="AE123" s="3">
        <v>175</v>
      </c>
      <c r="AF123" s="3" t="str">
        <f>IFERROR(MID(VLOOKUP($B123,Seqs!$A:$B,2,0),AG123,1),"")</f>
        <v>C</v>
      </c>
      <c r="AG123" s="3">
        <v>186</v>
      </c>
      <c r="AH123" s="3" t="str">
        <f>IFERROR(MID(VLOOKUP($B123,Seqs!$A:$B,2,0),AI123,1),"")</f>
        <v>R</v>
      </c>
      <c r="AI123" s="3">
        <v>188</v>
      </c>
      <c r="AJ123" s="3" t="str">
        <f>IFERROR(MID(VLOOKUP($B123,Seqs!$A:$B,2,0),AK123,1),"")</f>
        <v>D</v>
      </c>
      <c r="AK123" s="3">
        <v>193</v>
      </c>
      <c r="AL123" s="3" t="str">
        <f>IFERROR(MID(VLOOKUP($B123,Seqs!$A:$B,2,0),AM123,1),"")</f>
        <v>S</v>
      </c>
      <c r="AM123" s="3">
        <v>227</v>
      </c>
      <c r="AN123" s="3" t="str">
        <f>IFERROR(MID(VLOOKUP($B123,Seqs!$A:$B,2,0),AO123,1),"")</f>
        <v>K</v>
      </c>
      <c r="AO123" s="3">
        <v>239</v>
      </c>
      <c r="AP123" s="3" t="str">
        <f>IFERROR(MID(VLOOKUP($B123,Seqs!$A:$B,2,0),AQ123,1),"")</f>
        <v>E</v>
      </c>
      <c r="AQ123" s="3">
        <v>268</v>
      </c>
      <c r="AR123" s="3" t="str">
        <f>IFERROR(MID(VLOOKUP($B123,Seqs!$A:$B,2,0),AS123,1),"")</f>
        <v>G</v>
      </c>
      <c r="AS123" s="3">
        <v>273</v>
      </c>
      <c r="AT123" s="3" t="str">
        <f>IFERROR(MID(VLOOKUP($B123,Seqs!$A:$B,2,0),AU123,1),"")</f>
        <v>I</v>
      </c>
      <c r="AU123" s="3">
        <v>300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Chemokine</v>
      </c>
      <c r="BB123" s="27" t="b">
        <f t="shared" si="755"/>
        <v>1</v>
      </c>
      <c r="BC123" s="23">
        <f t="shared" si="1007"/>
        <v>238</v>
      </c>
      <c r="BD123" s="5" t="s">
        <v>23</v>
      </c>
      <c r="BE123" s="3" t="s">
        <v>1381</v>
      </c>
      <c r="BF123" s="121">
        <v>3.1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1008"/>
        <v>30</v>
      </c>
      <c r="BW123" s="73" t="str">
        <f t="shared" si="1009"/>
        <v>-</v>
      </c>
      <c r="BX123" s="74">
        <f t="shared" si="1010"/>
        <v>71</v>
      </c>
      <c r="BY123" s="73">
        <f t="shared" si="1011"/>
        <v>101</v>
      </c>
      <c r="BZ123" s="74">
        <f t="shared" si="1012"/>
        <v>105</v>
      </c>
      <c r="CA123" s="73" t="str">
        <f t="shared" si="1013"/>
        <v>-</v>
      </c>
      <c r="CB123" s="74">
        <f t="shared" si="1014"/>
        <v>144</v>
      </c>
      <c r="CC123" s="73">
        <f t="shared" si="1015"/>
        <v>186</v>
      </c>
      <c r="CD123" s="74">
        <f t="shared" si="1016"/>
        <v>193</v>
      </c>
      <c r="CE123" s="73">
        <f t="shared" si="1017"/>
        <v>239</v>
      </c>
      <c r="CF123" s="74">
        <f t="shared" si="1018"/>
        <v>273</v>
      </c>
      <c r="CG123" s="73" t="str">
        <f t="shared" si="1019"/>
        <v>-</v>
      </c>
      <c r="CH123" s="72">
        <f t="shared" si="1020"/>
        <v>66</v>
      </c>
      <c r="CI123" s="73" t="str">
        <f t="shared" si="1021"/>
        <v>-</v>
      </c>
      <c r="CJ123" s="74">
        <f t="shared" si="1022"/>
        <v>100</v>
      </c>
      <c r="CK123" s="74">
        <f t="shared" si="1023"/>
        <v>104</v>
      </c>
      <c r="CL123" s="74">
        <f t="shared" si="1024"/>
        <v>140</v>
      </c>
      <c r="CM123" s="74" t="str">
        <f t="shared" si="1025"/>
        <v>-</v>
      </c>
      <c r="CN123" s="74">
        <f t="shared" si="1026"/>
        <v>175</v>
      </c>
      <c r="CO123" s="74">
        <f t="shared" si="1027"/>
        <v>188</v>
      </c>
      <c r="CP123" s="74">
        <f t="shared" si="1028"/>
        <v>227</v>
      </c>
      <c r="CQ123" s="74">
        <f t="shared" si="1029"/>
        <v>268</v>
      </c>
      <c r="CR123" s="74">
        <f t="shared" si="1030"/>
        <v>300</v>
      </c>
      <c r="CS123" s="74" t="str">
        <f t="shared" si="1031"/>
        <v>-</v>
      </c>
      <c r="CT123" s="23" t="e">
        <f t="shared" si="1032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s="12" customFormat="1" x14ac:dyDescent="0.2">
      <c r="A124" s="9" t="str">
        <f t="shared" ref="A124" si="1033">CONCATENATE(B124,"_",C124)</f>
        <v>drd2_human__wt</v>
      </c>
      <c r="B124" s="9" t="s">
        <v>191</v>
      </c>
      <c r="C124" s="9" t="s">
        <v>100</v>
      </c>
      <c r="D124" s="9" t="str">
        <f>IFERROR(MID(VLOOKUP($B124,Seqs!$A:$B,2,0),E124,1),"")</f>
        <v>R</v>
      </c>
      <c r="E124" s="9">
        <v>31</v>
      </c>
      <c r="F124" s="9" t="str">
        <f>IFERROR(MID(VLOOKUP($B124,Seqs!$A:$B,2,0),G124,1),"")</f>
        <v>E</v>
      </c>
      <c r="G124" s="9">
        <v>62</v>
      </c>
      <c r="H124" s="9" t="str">
        <f>IFERROR(MID(VLOOKUP($B124,Seqs!$A:$B,2,0),I124,1),"")</f>
        <v>K</v>
      </c>
      <c r="I124" s="111">
        <v>63</v>
      </c>
      <c r="J124" s="9" t="str">
        <f>IFERROR(MID(VLOOKUP($B124,Seqs!$A:$B,2,0),K124,1),"")</f>
        <v>Q</v>
      </c>
      <c r="K124" s="111">
        <v>66</v>
      </c>
      <c r="L124" s="9" t="str">
        <f>IFERROR(MID(VLOOKUP($B124,Seqs!$A:$B,2,0),M124,1),"")</f>
        <v>T</v>
      </c>
      <c r="M124" s="9">
        <v>67</v>
      </c>
      <c r="N124" s="9" t="str">
        <f>IFERROR(MID(VLOOKUP($B124,Seqs!$A:$B,2,0),O124,1),"")</f>
        <v>G</v>
      </c>
      <c r="O124" s="9">
        <v>98</v>
      </c>
      <c r="P124" s="9" t="str">
        <f>IFERROR(MID(VLOOKUP($B124,Seqs!$A:$B,2,0),Q124,1),"")</f>
        <v>E</v>
      </c>
      <c r="Q124" s="9">
        <v>99</v>
      </c>
      <c r="R124" s="9" t="str">
        <f>IFERROR(MID(VLOOKUP($B124,Seqs!$A:$B,2,0),S124,1),"")</f>
        <v>F</v>
      </c>
      <c r="S124" s="9">
        <v>102</v>
      </c>
      <c r="T124" s="9" t="str">
        <f>IFERROR(MID(VLOOKUP($B124,Seqs!$A:$B,2,0),U124,1),"")</f>
        <v>S</v>
      </c>
      <c r="U124" s="9">
        <v>103</v>
      </c>
      <c r="V124" s="9" t="str">
        <f>IFERROR(MID(VLOOKUP($B124,Seqs!$A:$B,2,0),W124,1),"")</f>
        <v>M</v>
      </c>
      <c r="W124" s="9">
        <v>138</v>
      </c>
      <c r="X124" s="9" t="str">
        <f>IFERROR(MID(VLOOKUP($B124,Seqs!$A:$B,2,0),Y124,1),"")</f>
        <v>P</v>
      </c>
      <c r="Y124" s="9">
        <v>139</v>
      </c>
      <c r="Z124" s="9" t="str">
        <f>IFERROR(MID(VLOOKUP($B124,Seqs!$A:$B,2,0),AA124,1),"")</f>
        <v>S</v>
      </c>
      <c r="AA124" s="9">
        <v>147</v>
      </c>
      <c r="AB124" s="9" t="str">
        <f>IFERROR(MID(VLOOKUP($B124,Seqs!$A:$B,2,0),AC124,1),"")</f>
        <v>S</v>
      </c>
      <c r="AC124" s="9">
        <v>148</v>
      </c>
      <c r="AD124" s="9" t="str">
        <f>IFERROR(MID(VLOOKUP($B124,Seqs!$A:$B,2,0),AE124,1),"")</f>
        <v>F</v>
      </c>
      <c r="AE124" s="9">
        <v>172</v>
      </c>
      <c r="AF124" s="9" t="str">
        <f>IFERROR(MID(VLOOKUP($B124,Seqs!$A:$B,2,0),AG124,1),"")</f>
        <v>C</v>
      </c>
      <c r="AG124" s="9">
        <v>182</v>
      </c>
      <c r="AH124" s="9" t="str">
        <f>IFERROR(MID(VLOOKUP($B124,Seqs!$A:$B,2,0),AI124,1),"")</f>
        <v>I</v>
      </c>
      <c r="AI124" s="9">
        <v>184</v>
      </c>
      <c r="AJ124" s="9" t="str">
        <f>IFERROR(MID(VLOOKUP($B124,Seqs!$A:$B,2,0),AK124,1),"")</f>
        <v>N</v>
      </c>
      <c r="AK124" s="9">
        <v>186</v>
      </c>
      <c r="AL124" s="9" t="str">
        <f>IFERROR(MID(VLOOKUP($B124,Seqs!$A:$B,2,0),AM124,1),"")</f>
        <v>K</v>
      </c>
      <c r="AM124" s="9">
        <v>226</v>
      </c>
      <c r="AN124" s="9" t="str">
        <f>IFERROR(MID(VLOOKUP($B124,Seqs!$A:$B,2,0),AO124,1),"")</f>
        <v>K</v>
      </c>
      <c r="AO124" s="9">
        <v>362</v>
      </c>
      <c r="AP124" s="9" t="str">
        <f>IFERROR(MID(VLOOKUP($B124,Seqs!$A:$B,2,0),AQ124,1),"")</f>
        <v>C</v>
      </c>
      <c r="AQ124" s="9">
        <v>399</v>
      </c>
      <c r="AR124" s="9" t="str">
        <f>IFERROR(MID(VLOOKUP($B124,Seqs!$A:$B,2,0),AS124,1),"")</f>
        <v>P</v>
      </c>
      <c r="AS124" s="9">
        <v>404</v>
      </c>
      <c r="AT124" s="9" t="str">
        <f>IFERROR(MID(VLOOKUP($B124,Seqs!$A:$B,2,0),AU124,1),"")</f>
        <v>F</v>
      </c>
      <c r="AU124" s="9">
        <v>429</v>
      </c>
      <c r="AV124" s="9" t="str">
        <f>IFERROR(MID(VLOOKUP($B124,Seqs!$A:$B,2,0),AW124,1),"")</f>
        <v>N</v>
      </c>
      <c r="AW124" s="9">
        <v>430</v>
      </c>
      <c r="AX124" s="9" t="str">
        <f>IFERROR(MID(VLOOKUP($B124,Seqs!$A:$B,2,0),AY124,1),"")</f>
        <v>H</v>
      </c>
      <c r="AY124" s="9">
        <v>442</v>
      </c>
      <c r="AZ124" s="112" t="str">
        <f>VLOOKUP(B124,Classification!A:D,2,0)</f>
        <v>A</v>
      </c>
      <c r="BA124" s="100" t="str">
        <f>VLOOKUP(B124,Classification!A:D,4,0)</f>
        <v>Dopamine</v>
      </c>
      <c r="BB124" s="37" t="b">
        <f t="shared" ref="BB124" si="1034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111">
        <f t="shared" ref="BC124" si="1035">_xlfn.AGGREGATE(9,6,CH124:CS124)-_xlfn.AGGREGATE(9,6,BV124:CG124)+12</f>
        <v>263</v>
      </c>
      <c r="BD124" s="126" t="s">
        <v>1379</v>
      </c>
      <c r="BE124" s="9" t="s">
        <v>23</v>
      </c>
      <c r="BF124" s="122" t="s">
        <v>23</v>
      </c>
      <c r="BG124" s="52" t="s">
        <v>1379</v>
      </c>
      <c r="BH124" s="52" t="s">
        <v>1384</v>
      </c>
      <c r="BJ124" s="113" t="s">
        <v>1293</v>
      </c>
      <c r="BK124" s="114" t="s">
        <v>1293</v>
      </c>
      <c r="BL124" s="114" t="s">
        <v>1293</v>
      </c>
      <c r="BM124" s="114" t="s">
        <v>1293</v>
      </c>
      <c r="BN124" s="114" t="s">
        <v>1293</v>
      </c>
      <c r="BO124" s="114" t="s">
        <v>1293</v>
      </c>
      <c r="BP124" s="114" t="s">
        <v>1293</v>
      </c>
      <c r="BQ124" s="114" t="s">
        <v>1293</v>
      </c>
      <c r="BR124" s="114" t="s">
        <v>1293</v>
      </c>
      <c r="BS124" s="114" t="s">
        <v>1293</v>
      </c>
      <c r="BT124" s="114" t="s">
        <v>1293</v>
      </c>
      <c r="BU124" s="114" t="s">
        <v>1293</v>
      </c>
      <c r="BV124" s="113">
        <f t="shared" ref="BV124" si="1036">E124</f>
        <v>31</v>
      </c>
      <c r="BW124" s="115">
        <f t="shared" ref="BW124" si="1037">I124</f>
        <v>63</v>
      </c>
      <c r="BX124" s="116">
        <f t="shared" ref="BX124" si="1038">M124</f>
        <v>67</v>
      </c>
      <c r="BY124" s="115">
        <f t="shared" ref="BY124" si="1039">Q124</f>
        <v>99</v>
      </c>
      <c r="BZ124" s="116">
        <f t="shared" ref="BZ124" si="1040">U124</f>
        <v>103</v>
      </c>
      <c r="CA124" s="115">
        <f t="shared" ref="CA124" si="1041">Y124</f>
        <v>139</v>
      </c>
      <c r="CB124" s="116">
        <f t="shared" ref="CB124" si="1042">AC124</f>
        <v>148</v>
      </c>
      <c r="CC124" s="115">
        <f t="shared" ref="CC124" si="1043">AG124</f>
        <v>182</v>
      </c>
      <c r="CD124" s="116">
        <f t="shared" ref="CD124" si="1044">AK124</f>
        <v>186</v>
      </c>
      <c r="CE124" s="115">
        <f t="shared" ref="CE124" si="1045">AO124</f>
        <v>362</v>
      </c>
      <c r="CF124" s="116">
        <f t="shared" ref="CF124" si="1046">AS124</f>
        <v>404</v>
      </c>
      <c r="CG124" s="115">
        <f t="shared" ref="CG124" si="1047">AW124</f>
        <v>430</v>
      </c>
      <c r="CH124" s="113">
        <f t="shared" ref="CH124" si="1048">G124</f>
        <v>62</v>
      </c>
      <c r="CI124" s="115">
        <f t="shared" ref="CI124" si="1049">K124</f>
        <v>66</v>
      </c>
      <c r="CJ124" s="116">
        <f t="shared" ref="CJ124" si="1050">O124</f>
        <v>98</v>
      </c>
      <c r="CK124" s="116">
        <f t="shared" ref="CK124" si="1051">S124</f>
        <v>102</v>
      </c>
      <c r="CL124" s="116">
        <f t="shared" ref="CL124" si="1052">W124</f>
        <v>138</v>
      </c>
      <c r="CM124" s="116">
        <f t="shared" ref="CM124" si="1053">AA124</f>
        <v>147</v>
      </c>
      <c r="CN124" s="116">
        <f t="shared" ref="CN124" si="1054">AE124</f>
        <v>172</v>
      </c>
      <c r="CO124" s="116">
        <f t="shared" ref="CO124" si="1055">AI124</f>
        <v>184</v>
      </c>
      <c r="CP124" s="116">
        <f t="shared" ref="CP124" si="1056">AM124</f>
        <v>226</v>
      </c>
      <c r="CQ124" s="116">
        <f t="shared" ref="CQ124" si="1057">AQ124</f>
        <v>399</v>
      </c>
      <c r="CR124" s="116">
        <f t="shared" ref="CR124" si="1058">AU124</f>
        <v>429</v>
      </c>
      <c r="CS124" s="116">
        <f t="shared" ref="CS124" si="1059">AY124</f>
        <v>442</v>
      </c>
      <c r="CT124" s="111">
        <f t="shared" ref="CT124" si="1060">M124-K124</f>
        <v>1</v>
      </c>
    </row>
    <row r="125" spans="1:1030" s="12" customFormat="1" x14ac:dyDescent="0.2">
      <c r="A125" s="9" t="str">
        <f t="shared" ref="A125" si="1061">CONCATENATE(B125,"_",C125)</f>
        <v>drd2_human_6C38</v>
      </c>
      <c r="B125" s="9" t="s">
        <v>191</v>
      </c>
      <c r="C125" s="9" t="s">
        <v>1477</v>
      </c>
      <c r="D125" s="9" t="str">
        <f>IFERROR(MID(VLOOKUP($B125,Seqs!$A:$B,2,0),E125,1),"")</f>
        <v>Y</v>
      </c>
      <c r="E125" s="9">
        <v>36</v>
      </c>
      <c r="F125" s="9" t="str">
        <f>IFERROR(MID(VLOOKUP($B125,Seqs!$A:$B,2,0),G125,1),"")</f>
        <v>E</v>
      </c>
      <c r="G125" s="9">
        <v>62</v>
      </c>
      <c r="H125" s="9" t="str">
        <f>IFERROR(MID(VLOOKUP($B125,Seqs!$A:$B,2,0),I125,1),"")</f>
        <v>K</v>
      </c>
      <c r="I125" s="111">
        <v>63</v>
      </c>
      <c r="J125" s="9" t="str">
        <f>IFERROR(MID(VLOOKUP($B125,Seqs!$A:$B,2,0),K125,1),"")</f>
        <v>Q</v>
      </c>
      <c r="K125" s="111">
        <v>66</v>
      </c>
      <c r="L125" s="9" t="str">
        <f>IFERROR(MID(VLOOKUP($B125,Seqs!$A:$B,2,0),M125,1),"")</f>
        <v>T</v>
      </c>
      <c r="M125" s="9">
        <v>67</v>
      </c>
      <c r="N125" s="9" t="str">
        <f>IFERROR(MID(VLOOKUP($B125,Seqs!$A:$B,2,0),O125,1),"")</f>
        <v>G</v>
      </c>
      <c r="O125" s="9">
        <v>98</v>
      </c>
      <c r="P125" s="9" t="str">
        <f>IFERROR(MID(VLOOKUP($B125,Seqs!$A:$B,2,0),Q125,1),"")</f>
        <v>E</v>
      </c>
      <c r="Q125" s="9">
        <v>99</v>
      </c>
      <c r="R125" s="9" t="str">
        <f>IFERROR(MID(VLOOKUP($B125,Seqs!$A:$B,2,0),S125,1),"")</f>
        <v>F</v>
      </c>
      <c r="S125" s="9">
        <v>102</v>
      </c>
      <c r="T125" s="9" t="str">
        <f>IFERROR(MID(VLOOKUP($B125,Seqs!$A:$B,2,0),U125,1),"")</f>
        <v>S</v>
      </c>
      <c r="U125" s="9">
        <v>103</v>
      </c>
      <c r="V125" s="9" t="str">
        <f>IFERROR(MID(VLOOKUP($B125,Seqs!$A:$B,2,0),W125,1),"")</f>
        <v>M</v>
      </c>
      <c r="W125" s="9">
        <v>138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Y</v>
      </c>
      <c r="AC125" s="9">
        <v>146</v>
      </c>
      <c r="AD125" s="9" t="str">
        <f>IFERROR(MID(VLOOKUP($B125,Seqs!$A:$B,2,0),AE125,1),"")</f>
        <v>F</v>
      </c>
      <c r="AE125" s="9">
        <v>172</v>
      </c>
      <c r="AF125" s="9" t="str">
        <f>IFERROR(MID(VLOOKUP($B125,Seqs!$A:$B,2,0),AG125,1),"")</f>
        <v>C</v>
      </c>
      <c r="AG125" s="9">
        <v>182</v>
      </c>
      <c r="AH125" s="9" t="str">
        <f>IFERROR(MID(VLOOKUP($B125,Seqs!$A:$B,2,0),AI125,1),"")</f>
        <v>I</v>
      </c>
      <c r="AI125" s="9">
        <v>184</v>
      </c>
      <c r="AJ125" s="9" t="str">
        <f>IFERROR(MID(VLOOKUP($B125,Seqs!$A:$B,2,0),AK125,1),"")</f>
        <v>A</v>
      </c>
      <c r="AK125" s="9">
        <v>188</v>
      </c>
      <c r="AL125" s="9" t="str">
        <f>IFERROR(MID(VLOOKUP($B125,Seqs!$A:$B,2,0),AM125,1),"")</f>
        <v>S</v>
      </c>
      <c r="AM125" s="9">
        <v>229</v>
      </c>
      <c r="AN125" s="9" t="str">
        <f>IFERROR(MID(VLOOKUP($B125,Seqs!$A:$B,2,0),AO125,1),"")</f>
        <v>E</v>
      </c>
      <c r="AO125" s="9">
        <v>368</v>
      </c>
      <c r="AP125" s="9" t="str">
        <f>IFERROR(MID(VLOOKUP($B125,Seqs!$A:$B,2,0),AQ125,1),"")</f>
        <v>C</v>
      </c>
      <c r="AQ125" s="9">
        <v>399</v>
      </c>
      <c r="AR125" s="9" t="str">
        <f>IFERROR(MID(VLOOKUP($B125,Seqs!$A:$B,2,0),AS125,1),"")</f>
        <v>P</v>
      </c>
      <c r="AS125" s="9">
        <v>404</v>
      </c>
      <c r="AT125" s="9" t="str">
        <f>IFERROR(MID(VLOOKUP($B125,Seqs!$A:$B,2,0),AU125,1),"")</f>
        <v>F</v>
      </c>
      <c r="AU125" s="9">
        <v>429</v>
      </c>
      <c r="AV125" s="9" t="str">
        <f>IFERROR(MID(VLOOKUP($B125,Seqs!$A:$B,2,0),AW125,1),"")</f>
        <v>N</v>
      </c>
      <c r="AW125" s="9">
        <v>430</v>
      </c>
      <c r="AX125" s="9" t="str">
        <f>IFERROR(MID(VLOOKUP($B125,Seqs!$A:$B,2,0),AY125,1),"")</f>
        <v>H</v>
      </c>
      <c r="AY125" s="9">
        <v>442</v>
      </c>
      <c r="AZ125" s="112" t="str">
        <f>VLOOKUP(B125,Classification!A:D,2,0)</f>
        <v>A</v>
      </c>
      <c r="BA125" s="100" t="str">
        <f>VLOOKUP(B125,Classification!A:D,4,0)</f>
        <v>Dopamine</v>
      </c>
      <c r="BB125" s="37" t="b">
        <f t="shared" ref="BB125" si="1062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11">
        <f t="shared" ref="BC125" si="1063">_xlfn.AGGREGATE(9,6,CH125:CS125)-_xlfn.AGGREGATE(9,6,BV125:CG125)+12</f>
        <v>247</v>
      </c>
      <c r="BD125" s="126" t="s">
        <v>1383</v>
      </c>
      <c r="BE125" s="9" t="s">
        <v>1381</v>
      </c>
      <c r="BF125" s="122">
        <v>2.87</v>
      </c>
      <c r="BG125" s="52" t="s">
        <v>1</v>
      </c>
      <c r="BH125" s="52" t="s">
        <v>1</v>
      </c>
      <c r="BJ125" s="113" t="s">
        <v>1293</v>
      </c>
      <c r="BK125" s="114" t="s">
        <v>1293</v>
      </c>
      <c r="BL125" s="114" t="s">
        <v>1293</v>
      </c>
      <c r="BM125" s="114" t="s">
        <v>1293</v>
      </c>
      <c r="BN125" s="114" t="s">
        <v>1293</v>
      </c>
      <c r="BO125" s="114" t="s">
        <v>1293</v>
      </c>
      <c r="BP125" s="114" t="s">
        <v>1293</v>
      </c>
      <c r="BQ125" s="114" t="s">
        <v>1293</v>
      </c>
      <c r="BR125" s="114" t="s">
        <v>1293</v>
      </c>
      <c r="BS125" s="114" t="s">
        <v>1293</v>
      </c>
      <c r="BT125" s="114" t="s">
        <v>1293</v>
      </c>
      <c r="BU125" s="114" t="s">
        <v>1293</v>
      </c>
      <c r="BV125" s="113">
        <f t="shared" ref="BV125" si="1064">E125</f>
        <v>36</v>
      </c>
      <c r="BW125" s="115">
        <f t="shared" ref="BW125" si="1065">I125</f>
        <v>63</v>
      </c>
      <c r="BX125" s="116">
        <f t="shared" ref="BX125" si="1066">M125</f>
        <v>67</v>
      </c>
      <c r="BY125" s="115">
        <f t="shared" ref="BY125" si="1067">Q125</f>
        <v>99</v>
      </c>
      <c r="BZ125" s="116">
        <f t="shared" ref="BZ125" si="1068">U125</f>
        <v>103</v>
      </c>
      <c r="CA125" s="115" t="str">
        <f t="shared" ref="CA125" si="1069">Y125</f>
        <v>-</v>
      </c>
      <c r="CB125" s="116">
        <f t="shared" ref="CB125" si="1070">AC125</f>
        <v>146</v>
      </c>
      <c r="CC125" s="115">
        <f t="shared" ref="CC125" si="1071">AG125</f>
        <v>182</v>
      </c>
      <c r="CD125" s="116">
        <f t="shared" ref="CD125" si="1072">AK125</f>
        <v>188</v>
      </c>
      <c r="CE125" s="115">
        <f t="shared" ref="CE125" si="1073">AO125</f>
        <v>368</v>
      </c>
      <c r="CF125" s="116">
        <f t="shared" ref="CF125" si="1074">AS125</f>
        <v>404</v>
      </c>
      <c r="CG125" s="115">
        <f t="shared" ref="CG125" si="1075">AW125</f>
        <v>430</v>
      </c>
      <c r="CH125" s="113">
        <f t="shared" ref="CH125" si="1076">G125</f>
        <v>62</v>
      </c>
      <c r="CI125" s="115">
        <f t="shared" ref="CI125" si="1077">K125</f>
        <v>66</v>
      </c>
      <c r="CJ125" s="116">
        <f t="shared" ref="CJ125" si="1078">O125</f>
        <v>98</v>
      </c>
      <c r="CK125" s="116">
        <f t="shared" ref="CK125" si="1079">S125</f>
        <v>102</v>
      </c>
      <c r="CL125" s="116">
        <f t="shared" ref="CL125" si="1080">W125</f>
        <v>138</v>
      </c>
      <c r="CM125" s="116" t="str">
        <f t="shared" ref="CM125" si="1081">AA125</f>
        <v>-</v>
      </c>
      <c r="CN125" s="116">
        <f t="shared" ref="CN125" si="1082">AE125</f>
        <v>172</v>
      </c>
      <c r="CO125" s="116">
        <f t="shared" ref="CO125" si="1083">AI125</f>
        <v>184</v>
      </c>
      <c r="CP125" s="116">
        <f t="shared" ref="CP125" si="1084">AM125</f>
        <v>229</v>
      </c>
      <c r="CQ125" s="116">
        <f t="shared" ref="CQ125" si="1085">AQ125</f>
        <v>399</v>
      </c>
      <c r="CR125" s="116">
        <f t="shared" ref="CR125" si="1086">AU125</f>
        <v>429</v>
      </c>
      <c r="CS125" s="116">
        <f t="shared" ref="CS125" si="1087">AY125</f>
        <v>442</v>
      </c>
      <c r="CT125" s="111">
        <f t="shared" ref="CT125" si="1088">M125-K125</f>
        <v>1</v>
      </c>
    </row>
    <row r="126" spans="1:1030" x14ac:dyDescent="0.2">
      <c r="A126" s="3" t="str">
        <f t="shared" si="754"/>
        <v>drd3_human__wt</v>
      </c>
      <c r="B126" s="3" t="s">
        <v>192</v>
      </c>
      <c r="C126" s="3" t="s">
        <v>100</v>
      </c>
      <c r="D126" s="3" t="str">
        <f>IFERROR(MID(VLOOKUP($B126,Seqs!$A:$B,2,0),E126,1),"")</f>
        <v>A</v>
      </c>
      <c r="E126" s="3">
        <v>26</v>
      </c>
      <c r="F126" s="3" t="str">
        <f>IFERROR(MID(VLOOKUP($B126,Seqs!$A:$B,2,0),G126,1),"")</f>
        <v>E</v>
      </c>
      <c r="G126" s="3">
        <v>57</v>
      </c>
      <c r="H126" s="3" t="str">
        <f>IFERROR(MID(VLOOKUP($B126,Seqs!$A:$B,2,0),I126,1),"")</f>
        <v>R</v>
      </c>
      <c r="I126" s="23">
        <v>58</v>
      </c>
      <c r="J126" s="3" t="str">
        <f>IFERROR(MID(VLOOKUP($B126,Seqs!$A:$B,2,0),K126,1),"")</f>
        <v>Q</v>
      </c>
      <c r="K126" s="23">
        <v>61</v>
      </c>
      <c r="L126" s="3" t="str">
        <f>IFERROR(MID(VLOOKUP($B126,Seqs!$A:$B,2,0),M126,1),"")</f>
        <v>T</v>
      </c>
      <c r="M126" s="3">
        <v>62</v>
      </c>
      <c r="N126" s="3" t="str">
        <f>IFERROR(MID(VLOOKUP($B126,Seqs!$A:$B,2,0),O126,1),"")</f>
        <v>T</v>
      </c>
      <c r="O126" s="3">
        <v>92</v>
      </c>
      <c r="P126" s="3" t="str">
        <f>IFERROR(MID(VLOOKUP($B126,Seqs!$A:$B,2,0),Q126,1),"")</f>
        <v>V</v>
      </c>
      <c r="Q126" s="3">
        <v>95</v>
      </c>
      <c r="R126" s="3" t="str">
        <f>IFERROR(MID(VLOOKUP($B126,Seqs!$A:$B,2,0),S126,1),"")</f>
        <v>F</v>
      </c>
      <c r="S126" s="3">
        <v>98</v>
      </c>
      <c r="T126" s="3" t="str">
        <f>IFERROR(MID(VLOOKUP($B126,Seqs!$A:$B,2,0),U126,1),"")</f>
        <v>S</v>
      </c>
      <c r="U126" s="3">
        <v>99</v>
      </c>
      <c r="V126" s="3" t="str">
        <f>IFERROR(MID(VLOOKUP($B126,Seqs!$A:$B,2,0),W126,1),"")</f>
        <v>M</v>
      </c>
      <c r="W126" s="3">
        <v>134</v>
      </c>
      <c r="X126" s="3" t="str">
        <f>IFERROR(MID(VLOOKUP($B126,Seqs!$A:$B,2,0),Y126,1),"")</f>
        <v>P</v>
      </c>
      <c r="Y126" s="3">
        <v>135</v>
      </c>
      <c r="Z126" s="3" t="str">
        <f>IFERROR(MID(VLOOKUP($B126,Seqs!$A:$B,2,0),AA126,1),"")</f>
        <v>G</v>
      </c>
      <c r="AA126" s="3">
        <v>143</v>
      </c>
      <c r="AB126" s="3" t="str">
        <f>IFERROR(MID(VLOOKUP($B126,Seqs!$A:$B,2,0),AC126,1),"")</f>
        <v>S</v>
      </c>
      <c r="AC126" s="9">
        <v>146</v>
      </c>
      <c r="AD126" s="3" t="str">
        <f>IFERROR(MID(VLOOKUP($B126,Seqs!$A:$B,2,0),AE126,1),"")</f>
        <v>G</v>
      </c>
      <c r="AE126" s="3">
        <v>171</v>
      </c>
      <c r="AF126" s="3" t="str">
        <f>IFERROR(MID(VLOOKUP($B126,Seqs!$A:$B,2,0),AG126,1),"")</f>
        <v>C</v>
      </c>
      <c r="AG126" s="3">
        <v>181</v>
      </c>
      <c r="AH126" s="3" t="str">
        <f>IFERROR(MID(VLOOKUP($B126,Seqs!$A:$B,2,0),AI126,1),"")</f>
        <v>I</v>
      </c>
      <c r="AI126" s="3">
        <v>183</v>
      </c>
      <c r="AJ126" s="3" t="str">
        <f>IFERROR(MID(VLOOKUP($B126,Seqs!$A:$B,2,0),AK126,1),"")</f>
        <v>N</v>
      </c>
      <c r="AK126" s="3">
        <v>185</v>
      </c>
      <c r="AL126" s="3" t="str">
        <f>IFERROR(MID(VLOOKUP($B126,Seqs!$A:$B,2,0),AM126,1),"")</f>
        <v>R</v>
      </c>
      <c r="AM126" s="3">
        <v>226</v>
      </c>
      <c r="AN126" s="3" t="str">
        <f>IFERROR(MID(VLOOKUP($B126,Seqs!$A:$B,2,0),AO126,1),"")</f>
        <v>R</v>
      </c>
      <c r="AO126" s="3">
        <v>318</v>
      </c>
      <c r="AP126" s="3" t="str">
        <f>IFERROR(MID(VLOOKUP($B126,Seqs!$A:$B,2,0),AQ126,1),"")</f>
        <v>H</v>
      </c>
      <c r="AQ126" s="3">
        <v>354</v>
      </c>
      <c r="AR126" s="3" t="str">
        <f>IFERROR(MID(VLOOKUP($B126,Seqs!$A:$B,2,0),AS126,1),"")</f>
        <v>S</v>
      </c>
      <c r="AS126" s="3">
        <v>361</v>
      </c>
      <c r="AT126" s="3" t="str">
        <f>IFERROR(MID(VLOOKUP($B126,Seqs!$A:$B,2,0),AU126,1),"")</f>
        <v>F</v>
      </c>
      <c r="AU126" s="3">
        <v>386</v>
      </c>
      <c r="AV126" s="3" t="str">
        <f>IFERROR(MID(VLOOKUP($B126,Seqs!$A:$B,2,0),AW126,1),"")</f>
        <v>N</v>
      </c>
      <c r="AW126" s="3">
        <v>387</v>
      </c>
      <c r="AX126" s="3" t="str">
        <f>IFERROR(MID(VLOOKUP($B126,Seqs!$A:$B,2,0),AY126,1),"")</f>
        <v>S</v>
      </c>
      <c r="AY126" s="3">
        <v>399</v>
      </c>
      <c r="AZ126" s="79" t="str">
        <f>VLOOKUP(B126,Classification!A:D,2,0)</f>
        <v>A</v>
      </c>
      <c r="BA126" s="96" t="str">
        <f>VLOOKUP(B126,Classification!A:D,4,0)</f>
        <v>Dopamine</v>
      </c>
      <c r="BB126" s="27" t="b">
        <f t="shared" si="755"/>
        <v>1</v>
      </c>
      <c r="BC126" s="23">
        <f t="shared" si="1007"/>
        <v>263</v>
      </c>
      <c r="BD126" s="57" t="s">
        <v>1379</v>
      </c>
      <c r="BE126" s="3" t="s">
        <v>23</v>
      </c>
      <c r="BF126" s="121" t="s">
        <v>23</v>
      </c>
      <c r="BG126" s="50" t="s">
        <v>1379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1008"/>
        <v>26</v>
      </c>
      <c r="BW126" s="73">
        <f t="shared" si="1009"/>
        <v>58</v>
      </c>
      <c r="BX126" s="74">
        <f t="shared" si="1010"/>
        <v>62</v>
      </c>
      <c r="BY126" s="73">
        <f t="shared" si="1011"/>
        <v>95</v>
      </c>
      <c r="BZ126" s="74">
        <f t="shared" si="1012"/>
        <v>99</v>
      </c>
      <c r="CA126" s="73">
        <f t="shared" si="1013"/>
        <v>135</v>
      </c>
      <c r="CB126" s="74">
        <f t="shared" si="1014"/>
        <v>146</v>
      </c>
      <c r="CC126" s="73">
        <f t="shared" si="1015"/>
        <v>181</v>
      </c>
      <c r="CD126" s="74">
        <f t="shared" si="1016"/>
        <v>185</v>
      </c>
      <c r="CE126" s="73">
        <f t="shared" si="1017"/>
        <v>318</v>
      </c>
      <c r="CF126" s="74">
        <f t="shared" si="1018"/>
        <v>361</v>
      </c>
      <c r="CG126" s="73">
        <f t="shared" si="1019"/>
        <v>387</v>
      </c>
      <c r="CH126" s="72">
        <f t="shared" si="1020"/>
        <v>57</v>
      </c>
      <c r="CI126" s="73">
        <f t="shared" si="1021"/>
        <v>61</v>
      </c>
      <c r="CJ126" s="74">
        <f t="shared" si="1022"/>
        <v>92</v>
      </c>
      <c r="CK126" s="74">
        <f t="shared" si="1023"/>
        <v>98</v>
      </c>
      <c r="CL126" s="74">
        <f t="shared" si="1024"/>
        <v>134</v>
      </c>
      <c r="CM126" s="74">
        <f t="shared" si="1025"/>
        <v>143</v>
      </c>
      <c r="CN126" s="74">
        <f t="shared" si="1026"/>
        <v>171</v>
      </c>
      <c r="CO126" s="74">
        <f t="shared" si="1027"/>
        <v>183</v>
      </c>
      <c r="CP126" s="74">
        <f t="shared" si="1028"/>
        <v>226</v>
      </c>
      <c r="CQ126" s="74">
        <f t="shared" si="1029"/>
        <v>354</v>
      </c>
      <c r="CR126" s="74">
        <f t="shared" si="1030"/>
        <v>386</v>
      </c>
      <c r="CS126" s="74">
        <f t="shared" si="1031"/>
        <v>399</v>
      </c>
      <c r="CT126" s="23">
        <f t="shared" si="1032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754"/>
        <v>drd3_human_3PBL</v>
      </c>
      <c r="B127" s="3" t="s">
        <v>192</v>
      </c>
      <c r="C127" s="3" t="s">
        <v>72</v>
      </c>
      <c r="D127" s="3" t="str">
        <f>IFERROR(MID(VLOOKUP($B127,Seqs!$A:$B,2,0),E127,1),"")</f>
        <v>Y</v>
      </c>
      <c r="E127" s="3">
        <v>32</v>
      </c>
      <c r="F127" s="3" t="str">
        <f>IFERROR(MID(VLOOKUP($B127,Seqs!$A:$B,2,0),G127,1),"")</f>
        <v>E</v>
      </c>
      <c r="G127" s="3">
        <v>57</v>
      </c>
      <c r="H127" s="3" t="str">
        <f>IFERROR(MID(VLOOKUP($B127,Seqs!$A:$B,2,0),I127,1),"")</f>
        <v>R</v>
      </c>
      <c r="I127" s="23">
        <v>58</v>
      </c>
      <c r="J127" s="3" t="str">
        <f>IFERROR(MID(VLOOKUP($B127,Seqs!$A:$B,2,0),K127,1),"")</f>
        <v>Q</v>
      </c>
      <c r="K127" s="23">
        <v>61</v>
      </c>
      <c r="L127" s="3" t="str">
        <f>IFERROR(MID(VLOOKUP($B127,Seqs!$A:$B,2,0),M127,1),"")</f>
        <v>T</v>
      </c>
      <c r="M127" s="3">
        <v>62</v>
      </c>
      <c r="N127" s="3" t="str">
        <f>IFERROR(MID(VLOOKUP($B127,Seqs!$A:$B,2,0),O127,1),"")</f>
        <v>T</v>
      </c>
      <c r="O127" s="3">
        <v>92</v>
      </c>
      <c r="P127" s="3" t="str">
        <f>IFERROR(MID(VLOOKUP($B127,Seqs!$A:$B,2,0),Q127,1),"")</f>
        <v>V</v>
      </c>
      <c r="Q127" s="3">
        <v>95</v>
      </c>
      <c r="R127" s="3" t="str">
        <f>IFERROR(MID(VLOOKUP($B127,Seqs!$A:$B,2,0),S127,1),"")</f>
        <v>F</v>
      </c>
      <c r="S127" s="3">
        <v>98</v>
      </c>
      <c r="T127" s="3" t="str">
        <f>IFERROR(MID(VLOOKUP($B127,Seqs!$A:$B,2,0),U127,1),"")</f>
        <v>S</v>
      </c>
      <c r="U127" s="3">
        <v>99</v>
      </c>
      <c r="V127" s="3" t="str">
        <f>IFERROR(MID(VLOOKUP($B127,Seqs!$A:$B,2,0),W127,1),"")</f>
        <v>M</v>
      </c>
      <c r="W127" s="3">
        <v>134</v>
      </c>
      <c r="X127" s="3" t="str">
        <f>IFERROR(MID(VLOOKUP($B127,Seqs!$A:$B,2,0),Y127,1),"")</f>
        <v>P</v>
      </c>
      <c r="Y127" s="3">
        <v>135</v>
      </c>
      <c r="Z127" s="3" t="str">
        <f>IFERROR(MID(VLOOKUP($B127,Seqs!$A:$B,2,0),AA127,1),"")</f>
        <v>G</v>
      </c>
      <c r="AA127" s="3">
        <v>143</v>
      </c>
      <c r="AB127" s="3" t="str">
        <f>IFERROR(MID(VLOOKUP($B127,Seqs!$A:$B,2,0),AC127,1),"")</f>
        <v>S</v>
      </c>
      <c r="AC127" s="9">
        <v>146</v>
      </c>
      <c r="AD127" s="3" t="str">
        <f>IFERROR(MID(VLOOKUP($B127,Seqs!$A:$B,2,0),AE127,1),"")</f>
        <v>G</v>
      </c>
      <c r="AE127" s="3">
        <v>171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I</v>
      </c>
      <c r="AI127" s="3">
        <v>183</v>
      </c>
      <c r="AJ127" s="3" t="str">
        <f>IFERROR(MID(VLOOKUP($B127,Seqs!$A:$B,2,0),AK127,1),"")</f>
        <v>N</v>
      </c>
      <c r="AK127" s="3">
        <v>185</v>
      </c>
      <c r="AL127" s="3" t="str">
        <f>IFERROR(MID(VLOOKUP($B127,Seqs!$A:$B,2,0),AM127,1),"")</f>
        <v>K</v>
      </c>
      <c r="AM127" s="3">
        <v>216</v>
      </c>
      <c r="AN127" s="3" t="str">
        <f>IFERROR(MID(VLOOKUP($B127,Seqs!$A:$B,2,0),AO127,1),"")</f>
        <v>R</v>
      </c>
      <c r="AO127" s="3">
        <v>323</v>
      </c>
      <c r="AP127" s="3" t="str">
        <f>IFERROR(MID(VLOOKUP($B127,Seqs!$A:$B,2,0),AQ127,1),"")</f>
        <v>H</v>
      </c>
      <c r="AQ127" s="3">
        <v>354</v>
      </c>
      <c r="AR127" s="3" t="str">
        <f>IFERROR(MID(VLOOKUP($B127,Seqs!$A:$B,2,0),AS127,1),"")</f>
        <v>S</v>
      </c>
      <c r="AS127" s="3">
        <v>361</v>
      </c>
      <c r="AT127" s="3" t="str">
        <f>IFERROR(MID(VLOOKUP($B127,Seqs!$A:$B,2,0),AU127,1),"")</f>
        <v>F</v>
      </c>
      <c r="AU127" s="3">
        <v>386</v>
      </c>
      <c r="AV127" s="3" t="str">
        <f>IFERROR(MID(VLOOKUP($B127,Seqs!$A:$B,2,0),AW127,1),"")</f>
        <v>N</v>
      </c>
      <c r="AW127" s="3">
        <v>387</v>
      </c>
      <c r="AX127" s="3" t="str">
        <f>IFERROR(MID(VLOOKUP($B127,Seqs!$A:$B,2,0),AY127,1),"")</f>
        <v>S</v>
      </c>
      <c r="AY127" s="3">
        <v>399</v>
      </c>
      <c r="AZ127" s="79" t="str">
        <f>VLOOKUP(B127,Classification!A:D,2,0)</f>
        <v>A</v>
      </c>
      <c r="BA127" s="96" t="str">
        <f>VLOOKUP(B127,Classification!A:D,4,0)</f>
        <v>Dopamine</v>
      </c>
      <c r="BB127" s="27" t="b">
        <f t="shared" si="755"/>
        <v>1</v>
      </c>
      <c r="BC127" s="23">
        <f t="shared" si="1007"/>
        <v>242</v>
      </c>
      <c r="BD127" s="2" t="s">
        <v>1383</v>
      </c>
      <c r="BE127" s="3" t="s">
        <v>1381</v>
      </c>
      <c r="BF127" s="121">
        <v>2.89</v>
      </c>
      <c r="BG127" s="50" t="s">
        <v>1384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1008"/>
        <v>32</v>
      </c>
      <c r="BW127" s="73">
        <f t="shared" si="1009"/>
        <v>58</v>
      </c>
      <c r="BX127" s="74">
        <f t="shared" si="1010"/>
        <v>62</v>
      </c>
      <c r="BY127" s="73">
        <f t="shared" si="1011"/>
        <v>95</v>
      </c>
      <c r="BZ127" s="74">
        <f t="shared" si="1012"/>
        <v>99</v>
      </c>
      <c r="CA127" s="73">
        <f t="shared" si="1013"/>
        <v>135</v>
      </c>
      <c r="CB127" s="74">
        <f t="shared" si="1014"/>
        <v>146</v>
      </c>
      <c r="CC127" s="73">
        <f t="shared" si="1015"/>
        <v>181</v>
      </c>
      <c r="CD127" s="74">
        <f t="shared" si="1016"/>
        <v>185</v>
      </c>
      <c r="CE127" s="73">
        <f t="shared" si="1017"/>
        <v>323</v>
      </c>
      <c r="CF127" s="74">
        <f t="shared" si="1018"/>
        <v>361</v>
      </c>
      <c r="CG127" s="73">
        <f t="shared" si="1019"/>
        <v>387</v>
      </c>
      <c r="CH127" s="72">
        <f t="shared" si="1020"/>
        <v>57</v>
      </c>
      <c r="CI127" s="73">
        <f t="shared" si="1021"/>
        <v>61</v>
      </c>
      <c r="CJ127" s="74">
        <f t="shared" si="1022"/>
        <v>92</v>
      </c>
      <c r="CK127" s="74">
        <f t="shared" si="1023"/>
        <v>98</v>
      </c>
      <c r="CL127" s="74">
        <f t="shared" si="1024"/>
        <v>134</v>
      </c>
      <c r="CM127" s="74">
        <f t="shared" si="1025"/>
        <v>143</v>
      </c>
      <c r="CN127" s="74">
        <f t="shared" si="1026"/>
        <v>171</v>
      </c>
      <c r="CO127" s="74">
        <f t="shared" si="1027"/>
        <v>183</v>
      </c>
      <c r="CP127" s="74">
        <f t="shared" si="1028"/>
        <v>216</v>
      </c>
      <c r="CQ127" s="74">
        <f t="shared" si="1029"/>
        <v>354</v>
      </c>
      <c r="CR127" s="74">
        <f t="shared" si="1030"/>
        <v>386</v>
      </c>
      <c r="CS127" s="74">
        <f t="shared" si="1031"/>
        <v>399</v>
      </c>
      <c r="CT127" s="23">
        <f t="shared" si="103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:A129" si="1089">CONCATENATE(B128,"_",C128)</f>
        <v>drd4_human__wt</v>
      </c>
      <c r="B128" s="9" t="s">
        <v>193</v>
      </c>
      <c r="C128" s="9" t="s">
        <v>100</v>
      </c>
      <c r="D128" s="9" t="str">
        <f>IFERROR(MID(VLOOKUP($B128,Seqs!$A:$B,2,0),E128,1),"")</f>
        <v>A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R</v>
      </c>
      <c r="I128" s="111">
        <v>63</v>
      </c>
      <c r="J128" s="9" t="str">
        <f>IFERROR(MID(VLOOKUP($B128,Seqs!$A:$B,2,0),K128,1),"")</f>
        <v>Q</v>
      </c>
      <c r="K128" s="111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Q</v>
      </c>
      <c r="O128" s="9">
        <v>97</v>
      </c>
      <c r="P128" s="9" t="str">
        <f>IFERROR(MID(VLOOKUP($B128,Seqs!$A:$B,2,0),Q128,1),"")</f>
        <v>A</v>
      </c>
      <c r="Q128" s="9">
        <v>100</v>
      </c>
      <c r="R128" s="9" t="str">
        <f>IFERROR(MID(VLOOKUP($B128,Seqs!$A:$B,2,0),S128,1),"")</f>
        <v>L</v>
      </c>
      <c r="S128" s="9">
        <v>103</v>
      </c>
      <c r="T128" s="9" t="str">
        <f>IFERROR(MID(VLOOKUP($B128,Seqs!$A:$B,2,0),U128,1),"")</f>
        <v>S</v>
      </c>
      <c r="U128" s="9">
        <v>104</v>
      </c>
      <c r="V128" s="9" t="str">
        <f>IFERROR(MID(VLOOKUP($B128,Seqs!$A:$B,2,0),W128,1),"")</f>
        <v>V</v>
      </c>
      <c r="W128" s="9">
        <v>139</v>
      </c>
      <c r="X128" s="9" t="str">
        <f>IFERROR(MID(VLOOKUP($B128,Seqs!$A:$B,2,0),Y128,1),"")</f>
        <v>P</v>
      </c>
      <c r="Y128" s="9">
        <v>140</v>
      </c>
      <c r="Z128" s="9" t="str">
        <f>IFERROR(MID(VLOOKUP($B128,Seqs!$A:$B,2,0),AA128,1),"")</f>
        <v>G</v>
      </c>
      <c r="AA128" s="9">
        <v>147</v>
      </c>
      <c r="AB128" s="9" t="str">
        <f>IFERROR(MID(VLOOKUP($B128,Seqs!$A:$B,2,0),AC128,1),"")</f>
        <v>G</v>
      </c>
      <c r="AC128" s="9">
        <v>148</v>
      </c>
      <c r="AD128" s="9" t="str">
        <f>IFERROR(MID(VLOOKUP($B128,Seqs!$A:$B,2,0),AE128,1),"")</f>
        <v>G</v>
      </c>
      <c r="AE128" s="9">
        <v>173</v>
      </c>
      <c r="AF128" s="9" t="str">
        <f>IFERROR(MID(VLOOKUP($B128,Seqs!$A:$B,2,0),AG128,1),"")</f>
        <v>C</v>
      </c>
      <c r="AG128" s="9">
        <v>185</v>
      </c>
      <c r="AH128" s="9" t="str">
        <f>IFERROR(MID(VLOOKUP($B128,Seqs!$A:$B,2,0),AI128,1),"")</f>
        <v>L</v>
      </c>
      <c r="AI128" s="9">
        <v>187</v>
      </c>
      <c r="AJ128" s="9" t="str">
        <f>IFERROR(MID(VLOOKUP($B128,Seqs!$A:$B,2,0),AK128,1),"")</f>
        <v>D</v>
      </c>
      <c r="AK128" s="9">
        <v>189</v>
      </c>
      <c r="AL128" s="9" t="str">
        <f>IFERROR(MID(VLOOKUP($B128,Seqs!$A:$B,2,0),AM128,1),"")</f>
        <v>K</v>
      </c>
      <c r="AM128" s="9">
        <v>229</v>
      </c>
      <c r="AN128" s="9" t="str">
        <f>IFERROR(MID(VLOOKUP($B128,Seqs!$A:$B,2,0),AO128,1),"")</f>
        <v>A</v>
      </c>
      <c r="AO128" s="9">
        <v>383</v>
      </c>
      <c r="AP128" s="9" t="str">
        <f>IFERROR(MID(VLOOKUP($B128,Seqs!$A:$B,2,0),AQ128,1),"")</f>
        <v>C</v>
      </c>
      <c r="AQ128" s="9">
        <v>420</v>
      </c>
      <c r="AR128" s="9" t="str">
        <f>IFERROR(MID(VLOOKUP($B128,Seqs!$A:$B,2,0),AS128,1),"")</f>
        <v>P</v>
      </c>
      <c r="AS128" s="9">
        <v>426</v>
      </c>
      <c r="AT128" s="9" t="str">
        <f>IFERROR(MID(VLOOKUP($B128,Seqs!$A:$B,2,0),AU128,1),"")</f>
        <v>F</v>
      </c>
      <c r="AU128" s="9">
        <v>451</v>
      </c>
      <c r="AV128" s="9" t="str">
        <f>IFERROR(MID(VLOOKUP($B128,Seqs!$A:$B,2,0),AW128,1),"")</f>
        <v>N</v>
      </c>
      <c r="AW128" s="9">
        <v>452</v>
      </c>
      <c r="AX128" s="9" t="str">
        <f>IFERROR(MID(VLOOKUP($B128,Seqs!$A:$B,2,0),AY128,1),"")</f>
        <v>R</v>
      </c>
      <c r="AY128" s="9">
        <v>464</v>
      </c>
      <c r="AZ128" s="112" t="str">
        <f>VLOOKUP(B128,Classification!A:D,2,0)</f>
        <v>A</v>
      </c>
      <c r="BA128" s="100" t="str">
        <f>VLOOKUP(B128,Classification!A:D,4,0)</f>
        <v>Dopamine</v>
      </c>
      <c r="BB128" s="37" t="b">
        <f t="shared" ref="BB128:BB129" si="1090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1">
        <f t="shared" ref="BC128:BC129" si="1091">_xlfn.AGGREGATE(9,6,CH128:CS128)-_xlfn.AGGREGATE(9,6,BV128:CG128)+12</f>
        <v>262</v>
      </c>
      <c r="BD128" s="41" t="s">
        <v>23</v>
      </c>
      <c r="BE128" s="9" t="s">
        <v>1381</v>
      </c>
      <c r="BF128" s="122" t="s">
        <v>23</v>
      </c>
      <c r="BG128" s="52" t="s">
        <v>1384</v>
      </c>
      <c r="BH128" s="52" t="s">
        <v>1384</v>
      </c>
      <c r="BJ128" s="113" t="s">
        <v>1293</v>
      </c>
      <c r="BK128" s="114" t="s">
        <v>1293</v>
      </c>
      <c r="BL128" s="114" t="s">
        <v>1293</v>
      </c>
      <c r="BM128" s="114" t="s">
        <v>1293</v>
      </c>
      <c r="BN128" s="114" t="s">
        <v>1293</v>
      </c>
      <c r="BO128" s="114" t="s">
        <v>1293</v>
      </c>
      <c r="BP128" s="114" t="s">
        <v>1293</v>
      </c>
      <c r="BQ128" s="114" t="s">
        <v>1293</v>
      </c>
      <c r="BR128" s="114" t="s">
        <v>1293</v>
      </c>
      <c r="BS128" s="114" t="s">
        <v>1293</v>
      </c>
      <c r="BT128" s="114" t="s">
        <v>1293</v>
      </c>
      <c r="BU128" s="114" t="s">
        <v>1293</v>
      </c>
      <c r="BV128" s="113">
        <f t="shared" ref="BV128:BV129" si="1092">E128</f>
        <v>31</v>
      </c>
      <c r="BW128" s="115">
        <f t="shared" ref="BW128:BW129" si="1093">I128</f>
        <v>63</v>
      </c>
      <c r="BX128" s="116">
        <f t="shared" ref="BX128:BX129" si="1094">M128</f>
        <v>67</v>
      </c>
      <c r="BY128" s="115">
        <f t="shared" ref="BY128:BY129" si="1095">Q128</f>
        <v>100</v>
      </c>
      <c r="BZ128" s="116">
        <f t="shared" ref="BZ128:BZ129" si="1096">U128</f>
        <v>104</v>
      </c>
      <c r="CA128" s="115">
        <f t="shared" ref="CA128:CA129" si="1097">Y128</f>
        <v>140</v>
      </c>
      <c r="CB128" s="116">
        <f t="shared" ref="CB128:CB129" si="1098">AC128</f>
        <v>148</v>
      </c>
      <c r="CC128" s="115">
        <f t="shared" ref="CC128:CC129" si="1099">AG128</f>
        <v>185</v>
      </c>
      <c r="CD128" s="116">
        <f t="shared" ref="CD128:CD129" si="1100">AK128</f>
        <v>189</v>
      </c>
      <c r="CE128" s="115">
        <f t="shared" ref="CE128:CE129" si="1101">AO128</f>
        <v>383</v>
      </c>
      <c r="CF128" s="116">
        <f t="shared" ref="CF128:CF129" si="1102">AS128</f>
        <v>426</v>
      </c>
      <c r="CG128" s="115">
        <f t="shared" ref="CG128:CG129" si="1103">AW128</f>
        <v>452</v>
      </c>
      <c r="CH128" s="113">
        <f t="shared" ref="CH128:CH129" si="1104">G128</f>
        <v>62</v>
      </c>
      <c r="CI128" s="115">
        <f t="shared" ref="CI128:CI129" si="1105">K128</f>
        <v>66</v>
      </c>
      <c r="CJ128" s="116">
        <f t="shared" ref="CJ128:CJ129" si="1106">O128</f>
        <v>97</v>
      </c>
      <c r="CK128" s="116">
        <f t="shared" ref="CK128:CK129" si="1107">S128</f>
        <v>103</v>
      </c>
      <c r="CL128" s="116">
        <f t="shared" ref="CL128:CL129" si="1108">W128</f>
        <v>139</v>
      </c>
      <c r="CM128" s="116">
        <f t="shared" ref="CM128:CM129" si="1109">AA128</f>
        <v>147</v>
      </c>
      <c r="CN128" s="116">
        <f t="shared" ref="CN128:CN129" si="1110">AE128</f>
        <v>173</v>
      </c>
      <c r="CO128" s="116">
        <f t="shared" ref="CO128:CO129" si="1111">AI128</f>
        <v>187</v>
      </c>
      <c r="CP128" s="116">
        <f t="shared" ref="CP128:CP129" si="1112">AM128</f>
        <v>229</v>
      </c>
      <c r="CQ128" s="116">
        <f t="shared" ref="CQ128:CQ129" si="1113">AQ128</f>
        <v>420</v>
      </c>
      <c r="CR128" s="116">
        <f t="shared" ref="CR128:CR129" si="1114">AU128</f>
        <v>451</v>
      </c>
      <c r="CS128" s="116">
        <f t="shared" ref="CS128:CS129" si="1115">AY128</f>
        <v>464</v>
      </c>
      <c r="CT128" s="111">
        <f t="shared" ref="CT128:CT129" si="1116">M128-K128</f>
        <v>1</v>
      </c>
    </row>
    <row r="129" spans="1:1029" s="12" customFormat="1" x14ac:dyDescent="0.2">
      <c r="A129" s="9" t="str">
        <f t="shared" si="1089"/>
        <v>drd4_human_5WIU</v>
      </c>
      <c r="B129" s="9" t="s">
        <v>193</v>
      </c>
      <c r="C129" s="9" t="s">
        <v>1456</v>
      </c>
      <c r="D129" s="9" t="str">
        <f>IFERROR(MID(VLOOKUP($B129,Seqs!$A:$B,2,0),E129,1),"")</f>
        <v>G</v>
      </c>
      <c r="E129" s="9">
        <v>34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R</v>
      </c>
      <c r="I129" s="111">
        <v>63</v>
      </c>
      <c r="J129" s="9" t="str">
        <f>IFERROR(MID(VLOOKUP($B129,Seqs!$A:$B,2,0),K129,1),"")</f>
        <v>Q</v>
      </c>
      <c r="K129" s="111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Q</v>
      </c>
      <c r="O129" s="9">
        <v>97</v>
      </c>
      <c r="P129" s="9" t="str">
        <f>IFERROR(MID(VLOOKUP($B129,Seqs!$A:$B,2,0),Q129,1),"")</f>
        <v>A</v>
      </c>
      <c r="Q129" s="9">
        <v>100</v>
      </c>
      <c r="R129" s="9" t="str">
        <f>IFERROR(MID(VLOOKUP($B129,Seqs!$A:$B,2,0),S129,1),"")</f>
        <v>L</v>
      </c>
      <c r="S129" s="9">
        <v>103</v>
      </c>
      <c r="T129" s="9" t="str">
        <f>IFERROR(MID(VLOOKUP($B129,Seqs!$A:$B,2,0),U129,1),"")</f>
        <v>S</v>
      </c>
      <c r="U129" s="9">
        <v>104</v>
      </c>
      <c r="V129" s="9" t="str">
        <f>IFERROR(MID(VLOOKUP($B129,Seqs!$A:$B,2,0),W129,1),"")</f>
        <v>V</v>
      </c>
      <c r="W129" s="9">
        <v>139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R</v>
      </c>
      <c r="AC129" s="9">
        <v>150</v>
      </c>
      <c r="AD129" s="9" t="str">
        <f>IFERROR(MID(VLOOKUP($B129,Seqs!$A:$B,2,0),AE129,1),"")</f>
        <v>G</v>
      </c>
      <c r="AE129" s="9">
        <v>173</v>
      </c>
      <c r="AF129" s="9" t="str">
        <f>IFERROR(MID(VLOOKUP($B129,Seqs!$A:$B,2,0),AG129,1),"")</f>
        <v>C</v>
      </c>
      <c r="AG129" s="9">
        <v>185</v>
      </c>
      <c r="AH129" s="9" t="str">
        <f>IFERROR(MID(VLOOKUP($B129,Seqs!$A:$B,2,0),AI129,1),"")</f>
        <v>L</v>
      </c>
      <c r="AI129" s="9">
        <v>187</v>
      </c>
      <c r="AJ129" s="9" t="str">
        <f>IFERROR(MID(VLOOKUP($B129,Seqs!$A:$B,2,0),AK129,1),"")</f>
        <v>D</v>
      </c>
      <c r="AK129" s="9">
        <v>189</v>
      </c>
      <c r="AL129" s="9" t="str">
        <f>IFERROR(MID(VLOOKUP($B129,Seqs!$A:$B,2,0),AM129,1),"")</f>
        <v>W</v>
      </c>
      <c r="AM129" s="9">
        <v>222</v>
      </c>
      <c r="AN129" s="9" t="str">
        <f>IFERROR(MID(VLOOKUP($B129,Seqs!$A:$B,2,0),AO129,1),"")</f>
        <v>V</v>
      </c>
      <c r="AO129" s="9">
        <v>395</v>
      </c>
      <c r="AP129" s="9" t="str">
        <f>IFERROR(MID(VLOOKUP($B129,Seqs!$A:$B,2,0),AQ129,1),"")</f>
        <v>C</v>
      </c>
      <c r="AQ129" s="9">
        <v>420</v>
      </c>
      <c r="AR129" s="9" t="str">
        <f>IFERROR(MID(VLOOKUP($B129,Seqs!$A:$B,2,0),AS129,1),"")</f>
        <v>P</v>
      </c>
      <c r="AS129" s="9">
        <v>426</v>
      </c>
      <c r="AT129" s="9" t="str">
        <f>IFERROR(MID(VLOOKUP($B129,Seqs!$A:$B,2,0),AU129,1),"")</f>
        <v>F</v>
      </c>
      <c r="AU129" s="9">
        <v>451</v>
      </c>
      <c r="AV129" s="9" t="str">
        <f>IFERROR(MID(VLOOKUP($B129,Seqs!$A:$B,2,0),AW129,1),"")</f>
        <v>N</v>
      </c>
      <c r="AW129" s="9">
        <v>452</v>
      </c>
      <c r="AX129" s="9" t="str">
        <f>IFERROR(MID(VLOOKUP($B129,Seqs!$A:$B,2,0),AY129,1),"")</f>
        <v>R</v>
      </c>
      <c r="AY129" s="9">
        <v>460</v>
      </c>
      <c r="AZ129" s="112" t="str">
        <f>VLOOKUP(B129,Classification!A:D,2,0)</f>
        <v>A</v>
      </c>
      <c r="BA129" s="100" t="str">
        <f>VLOOKUP(B129,Classification!A:D,4,0)</f>
        <v>Dopamine</v>
      </c>
      <c r="BB129" s="37" t="b">
        <f t="shared" si="1090"/>
        <v>1</v>
      </c>
      <c r="BC129" s="111">
        <f t="shared" si="1091"/>
        <v>227</v>
      </c>
      <c r="BD129" s="41" t="s">
        <v>23</v>
      </c>
      <c r="BE129" s="9" t="s">
        <v>1381</v>
      </c>
      <c r="BF129" s="122">
        <v>1.96</v>
      </c>
      <c r="BG129" s="52" t="s">
        <v>1</v>
      </c>
      <c r="BH129" s="52" t="s">
        <v>1384</v>
      </c>
      <c r="BJ129" s="113" t="s">
        <v>1293</v>
      </c>
      <c r="BK129" s="114" t="s">
        <v>1293</v>
      </c>
      <c r="BL129" s="114" t="s">
        <v>1293</v>
      </c>
      <c r="BM129" s="114" t="s">
        <v>1293</v>
      </c>
      <c r="BN129" s="114" t="s">
        <v>1293</v>
      </c>
      <c r="BO129" s="114" t="s">
        <v>1293</v>
      </c>
      <c r="BP129" s="114" t="s">
        <v>1293</v>
      </c>
      <c r="BQ129" s="114" t="s">
        <v>1293</v>
      </c>
      <c r="BR129" s="114" t="s">
        <v>1293</v>
      </c>
      <c r="BS129" s="114" t="s">
        <v>1293</v>
      </c>
      <c r="BT129" s="114" t="s">
        <v>1293</v>
      </c>
      <c r="BU129" s="114" t="s">
        <v>1293</v>
      </c>
      <c r="BV129" s="113">
        <f t="shared" si="1092"/>
        <v>34</v>
      </c>
      <c r="BW129" s="115">
        <f t="shared" si="1093"/>
        <v>63</v>
      </c>
      <c r="BX129" s="116">
        <f t="shared" si="1094"/>
        <v>67</v>
      </c>
      <c r="BY129" s="115">
        <f t="shared" si="1095"/>
        <v>100</v>
      </c>
      <c r="BZ129" s="116">
        <f t="shared" si="1096"/>
        <v>104</v>
      </c>
      <c r="CA129" s="115" t="str">
        <f t="shared" si="1097"/>
        <v>-</v>
      </c>
      <c r="CB129" s="116">
        <f t="shared" si="1098"/>
        <v>150</v>
      </c>
      <c r="CC129" s="115">
        <f t="shared" si="1099"/>
        <v>185</v>
      </c>
      <c r="CD129" s="116">
        <f t="shared" si="1100"/>
        <v>189</v>
      </c>
      <c r="CE129" s="115">
        <f t="shared" si="1101"/>
        <v>395</v>
      </c>
      <c r="CF129" s="116">
        <f t="shared" si="1102"/>
        <v>426</v>
      </c>
      <c r="CG129" s="115">
        <f t="shared" si="1103"/>
        <v>452</v>
      </c>
      <c r="CH129" s="113">
        <f t="shared" si="1104"/>
        <v>62</v>
      </c>
      <c r="CI129" s="115">
        <f t="shared" si="1105"/>
        <v>66</v>
      </c>
      <c r="CJ129" s="116">
        <f t="shared" si="1106"/>
        <v>97</v>
      </c>
      <c r="CK129" s="116">
        <f t="shared" si="1107"/>
        <v>103</v>
      </c>
      <c r="CL129" s="116">
        <f t="shared" si="1108"/>
        <v>139</v>
      </c>
      <c r="CM129" s="116" t="str">
        <f t="shared" si="1109"/>
        <v>-</v>
      </c>
      <c r="CN129" s="116">
        <f t="shared" si="1110"/>
        <v>173</v>
      </c>
      <c r="CO129" s="116">
        <f t="shared" si="1111"/>
        <v>187</v>
      </c>
      <c r="CP129" s="116">
        <f t="shared" si="1112"/>
        <v>222</v>
      </c>
      <c r="CQ129" s="116">
        <f t="shared" si="1113"/>
        <v>420</v>
      </c>
      <c r="CR129" s="116">
        <f t="shared" si="1114"/>
        <v>451</v>
      </c>
      <c r="CS129" s="116">
        <f t="shared" si="1115"/>
        <v>460</v>
      </c>
      <c r="CT129" s="111">
        <f t="shared" si="1116"/>
        <v>1</v>
      </c>
    </row>
    <row r="130" spans="1:1029" s="12" customFormat="1" x14ac:dyDescent="0.2">
      <c r="A130" s="9" t="str">
        <f t="shared" ref="A130" si="1117">CONCATENATE(B130,"_",C130)</f>
        <v>drd4_human_5WIV</v>
      </c>
      <c r="B130" s="9" t="s">
        <v>193</v>
      </c>
      <c r="C130" s="9" t="s">
        <v>1458</v>
      </c>
      <c r="D130" s="9" t="str">
        <f>IFERROR(MID(VLOOKUP($B130,Seqs!$A:$B,2,0),E130,1),"")</f>
        <v>G</v>
      </c>
      <c r="E130" s="9">
        <v>32</v>
      </c>
      <c r="F130" s="9" t="str">
        <f>IFERROR(MID(VLOOKUP($B130,Seqs!$A:$B,2,0),G130,1),"")</f>
        <v>E</v>
      </c>
      <c r="G130" s="9">
        <v>62</v>
      </c>
      <c r="H130" s="9" t="str">
        <f>IFERROR(MID(VLOOKUP($B130,Seqs!$A:$B,2,0),I130,1),"")</f>
        <v>R</v>
      </c>
      <c r="I130" s="111">
        <v>63</v>
      </c>
      <c r="J130" s="9" t="str">
        <f>IFERROR(MID(VLOOKUP($B130,Seqs!$A:$B,2,0),K130,1),"")</f>
        <v>Q</v>
      </c>
      <c r="K130" s="111">
        <v>66</v>
      </c>
      <c r="L130" s="9" t="str">
        <f>IFERROR(MID(VLOOKUP($B130,Seqs!$A:$B,2,0),M130,1),"")</f>
        <v>T</v>
      </c>
      <c r="M130" s="9">
        <v>67</v>
      </c>
      <c r="N130" s="9" t="str">
        <f>IFERROR(MID(VLOOKUP($B130,Seqs!$A:$B,2,0),O130,1),"")</f>
        <v>Q</v>
      </c>
      <c r="O130" s="9">
        <v>97</v>
      </c>
      <c r="P130" s="9" t="str">
        <f>IFERROR(MID(VLOOKUP($B130,Seqs!$A:$B,2,0),Q130,1),"")</f>
        <v>A</v>
      </c>
      <c r="Q130" s="9">
        <v>100</v>
      </c>
      <c r="R130" s="9" t="str">
        <f>IFERROR(MID(VLOOKUP($B130,Seqs!$A:$B,2,0),S130,1),"")</f>
        <v>L</v>
      </c>
      <c r="S130" s="9">
        <v>103</v>
      </c>
      <c r="T130" s="9" t="str">
        <f>IFERROR(MID(VLOOKUP($B130,Seqs!$A:$B,2,0),U130,1),"")</f>
        <v>S</v>
      </c>
      <c r="U130" s="9">
        <v>104</v>
      </c>
      <c r="V130" s="9" t="str">
        <f>IFERROR(MID(VLOOKUP($B130,Seqs!$A:$B,2,0),W130,1),"")</f>
        <v>V</v>
      </c>
      <c r="W130" s="9">
        <v>139</v>
      </c>
      <c r="X130" s="9" t="str">
        <f>IFERROR(MID(VLOOKUP($B130,Seqs!$A:$B,2,0),Y130,1),"")</f>
        <v/>
      </c>
      <c r="Y130" s="9" t="s">
        <v>23</v>
      </c>
      <c r="Z130" s="9" t="str">
        <f>IFERROR(MID(VLOOKUP($B130,Seqs!$A:$B,2,0),AA130,1),"")</f>
        <v/>
      </c>
      <c r="AA130" s="9" t="s">
        <v>23</v>
      </c>
      <c r="AB130" s="9" t="str">
        <f>IFERROR(MID(VLOOKUP($B130,Seqs!$A:$B,2,0),AC130,1),"")</f>
        <v>R</v>
      </c>
      <c r="AC130" s="9">
        <v>150</v>
      </c>
      <c r="AD130" s="9" t="str">
        <f>IFERROR(MID(VLOOKUP($B130,Seqs!$A:$B,2,0),AE130,1),"")</f>
        <v>G</v>
      </c>
      <c r="AE130" s="9">
        <v>173</v>
      </c>
      <c r="AF130" s="9" t="str">
        <f>IFERROR(MID(VLOOKUP($B130,Seqs!$A:$B,2,0),AG130,1),"")</f>
        <v>C</v>
      </c>
      <c r="AG130" s="9">
        <v>185</v>
      </c>
      <c r="AH130" s="9" t="str">
        <f>IFERROR(MID(VLOOKUP($B130,Seqs!$A:$B,2,0),AI130,1),"")</f>
        <v>L</v>
      </c>
      <c r="AI130" s="9">
        <v>187</v>
      </c>
      <c r="AJ130" s="9" t="str">
        <f>IFERROR(MID(VLOOKUP($B130,Seqs!$A:$B,2,0),AK130,1),"")</f>
        <v>D</v>
      </c>
      <c r="AK130" s="9">
        <v>189</v>
      </c>
      <c r="AL130" s="9" t="str">
        <f>IFERROR(MID(VLOOKUP($B130,Seqs!$A:$B,2,0),AM130,1),"")</f>
        <v>W</v>
      </c>
      <c r="AM130" s="9">
        <v>222</v>
      </c>
      <c r="AN130" s="9" t="str">
        <f>IFERROR(MID(VLOOKUP($B130,Seqs!$A:$B,2,0),AO130,1),"")</f>
        <v>V</v>
      </c>
      <c r="AO130" s="9">
        <v>395</v>
      </c>
      <c r="AP130" s="9" t="str">
        <f>IFERROR(MID(VLOOKUP($B130,Seqs!$A:$B,2,0),AQ130,1),"")</f>
        <v>C</v>
      </c>
      <c r="AQ130" s="9">
        <v>420</v>
      </c>
      <c r="AR130" s="9" t="str">
        <f>IFERROR(MID(VLOOKUP($B130,Seqs!$A:$B,2,0),AS130,1),"")</f>
        <v>P</v>
      </c>
      <c r="AS130" s="9">
        <v>426</v>
      </c>
      <c r="AT130" s="9" t="str">
        <f>IFERROR(MID(VLOOKUP($B130,Seqs!$A:$B,2,0),AU130,1),"")</f>
        <v>F</v>
      </c>
      <c r="AU130" s="9">
        <v>451</v>
      </c>
      <c r="AV130" s="9" t="str">
        <f>IFERROR(MID(VLOOKUP($B130,Seqs!$A:$B,2,0),AW130,1),"")</f>
        <v>N</v>
      </c>
      <c r="AW130" s="9">
        <v>452</v>
      </c>
      <c r="AX130" s="9" t="str">
        <f>IFERROR(MID(VLOOKUP($B130,Seqs!$A:$B,2,0),AY130,1),"")</f>
        <v>A</v>
      </c>
      <c r="AY130" s="9">
        <v>462</v>
      </c>
      <c r="AZ130" s="112" t="str">
        <f>VLOOKUP(B130,Classification!A:D,2,0)</f>
        <v>A</v>
      </c>
      <c r="BA130" s="100" t="str">
        <f>VLOOKUP(B130,Classification!A:D,4,0)</f>
        <v>Dopamine</v>
      </c>
      <c r="BB130" s="37" t="b">
        <f t="shared" ref="BB130" si="1118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11">
        <f t="shared" ref="BC130" si="1119">_xlfn.AGGREGATE(9,6,CH130:CS130)-_xlfn.AGGREGATE(9,6,BV130:CG130)+12</f>
        <v>231</v>
      </c>
      <c r="BD130" s="41" t="s">
        <v>1383</v>
      </c>
      <c r="BE130" s="9" t="s">
        <v>1381</v>
      </c>
      <c r="BF130" s="122">
        <v>2.14</v>
      </c>
      <c r="BG130" s="52" t="s">
        <v>1</v>
      </c>
      <c r="BH130" s="52" t="s">
        <v>1384</v>
      </c>
      <c r="BJ130" s="113" t="s">
        <v>1293</v>
      </c>
      <c r="BK130" s="114" t="s">
        <v>1293</v>
      </c>
      <c r="BL130" s="114" t="s">
        <v>1293</v>
      </c>
      <c r="BM130" s="114" t="s">
        <v>1293</v>
      </c>
      <c r="BN130" s="114" t="s">
        <v>1293</v>
      </c>
      <c r="BO130" s="114" t="s">
        <v>1293</v>
      </c>
      <c r="BP130" s="114" t="s">
        <v>1293</v>
      </c>
      <c r="BQ130" s="114" t="s">
        <v>1293</v>
      </c>
      <c r="BR130" s="114" t="s">
        <v>1293</v>
      </c>
      <c r="BS130" s="114" t="s">
        <v>1293</v>
      </c>
      <c r="BT130" s="114" t="s">
        <v>1293</v>
      </c>
      <c r="BU130" s="114" t="s">
        <v>1293</v>
      </c>
      <c r="BV130" s="113">
        <f t="shared" ref="BV130" si="1120">E130</f>
        <v>32</v>
      </c>
      <c r="BW130" s="115">
        <f t="shared" ref="BW130" si="1121">I130</f>
        <v>63</v>
      </c>
      <c r="BX130" s="116">
        <f t="shared" ref="BX130" si="1122">M130</f>
        <v>67</v>
      </c>
      <c r="BY130" s="115">
        <f t="shared" ref="BY130" si="1123">Q130</f>
        <v>100</v>
      </c>
      <c r="BZ130" s="116">
        <f t="shared" ref="BZ130" si="1124">U130</f>
        <v>104</v>
      </c>
      <c r="CA130" s="115" t="str">
        <f t="shared" ref="CA130" si="1125">Y130</f>
        <v>-</v>
      </c>
      <c r="CB130" s="116">
        <f t="shared" ref="CB130" si="1126">AC130</f>
        <v>150</v>
      </c>
      <c r="CC130" s="115">
        <f t="shared" ref="CC130" si="1127">AG130</f>
        <v>185</v>
      </c>
      <c r="CD130" s="116">
        <f t="shared" ref="CD130" si="1128">AK130</f>
        <v>189</v>
      </c>
      <c r="CE130" s="115">
        <f t="shared" ref="CE130" si="1129">AO130</f>
        <v>395</v>
      </c>
      <c r="CF130" s="116">
        <f t="shared" ref="CF130" si="1130">AS130</f>
        <v>426</v>
      </c>
      <c r="CG130" s="115">
        <f t="shared" ref="CG130" si="1131">AW130</f>
        <v>452</v>
      </c>
      <c r="CH130" s="113">
        <f t="shared" ref="CH130" si="1132">G130</f>
        <v>62</v>
      </c>
      <c r="CI130" s="115">
        <f t="shared" ref="CI130" si="1133">K130</f>
        <v>66</v>
      </c>
      <c r="CJ130" s="116">
        <f t="shared" ref="CJ130" si="1134">O130</f>
        <v>97</v>
      </c>
      <c r="CK130" s="116">
        <f t="shared" ref="CK130" si="1135">S130</f>
        <v>103</v>
      </c>
      <c r="CL130" s="116">
        <f t="shared" ref="CL130" si="1136">W130</f>
        <v>139</v>
      </c>
      <c r="CM130" s="116" t="str">
        <f t="shared" ref="CM130" si="1137">AA130</f>
        <v>-</v>
      </c>
      <c r="CN130" s="116">
        <f t="shared" ref="CN130" si="1138">AE130</f>
        <v>173</v>
      </c>
      <c r="CO130" s="116">
        <f t="shared" ref="CO130" si="1139">AI130</f>
        <v>187</v>
      </c>
      <c r="CP130" s="116">
        <f t="shared" ref="CP130" si="1140">AM130</f>
        <v>222</v>
      </c>
      <c r="CQ130" s="116">
        <f t="shared" ref="CQ130" si="1141">AQ130</f>
        <v>420</v>
      </c>
      <c r="CR130" s="116">
        <f t="shared" ref="CR130" si="1142">AU130</f>
        <v>451</v>
      </c>
      <c r="CS130" s="116">
        <f t="shared" ref="CS130" si="1143">AY130</f>
        <v>462</v>
      </c>
      <c r="CT130" s="111">
        <f t="shared" ref="CT130" si="1144">M130-K130</f>
        <v>1</v>
      </c>
    </row>
    <row r="131" spans="1:1029" x14ac:dyDescent="0.2">
      <c r="A131" s="3" t="str">
        <f t="shared" si="754"/>
        <v>ednrb_human__wt</v>
      </c>
      <c r="B131" s="2" t="s">
        <v>196</v>
      </c>
      <c r="C131" s="2" t="s">
        <v>100</v>
      </c>
      <c r="D131" s="3" t="str">
        <f>IFERROR(MID(VLOOKUP($B131,Seqs!$A:$B,2,0),E131,1),"")</f>
        <v>Q</v>
      </c>
      <c r="E131" s="2">
        <v>91</v>
      </c>
      <c r="F131" s="3" t="str">
        <f>IFERROR(MID(VLOOKUP($B131,Seqs!$A:$B,2,0),G131,1),"")</f>
        <v>N</v>
      </c>
      <c r="G131" s="2">
        <v>129</v>
      </c>
      <c r="H131" s="3" t="str">
        <f>IFERROR(MID(VLOOKUP($B131,Seqs!$A:$B,2,0),I131,1),"")</f>
        <v>K</v>
      </c>
      <c r="I131" s="57">
        <v>130</v>
      </c>
      <c r="J131" s="3" t="str">
        <f>IFERROR(MID(VLOOKUP($B131,Seqs!$A:$B,2,0),K131,1),"")</f>
        <v>N</v>
      </c>
      <c r="K131" s="57">
        <v>134</v>
      </c>
      <c r="L131" s="3" t="str">
        <f>IFERROR(MID(VLOOKUP($B131,Seqs!$A:$B,2,0),M131,1),"")</f>
        <v>G</v>
      </c>
      <c r="M131" s="2">
        <v>135</v>
      </c>
      <c r="N131" s="3" t="str">
        <f>IFERROR(MID(VLOOKUP($B131,Seqs!$A:$B,2,0),O131,1),"")</f>
        <v>A</v>
      </c>
      <c r="O131" s="2">
        <v>164</v>
      </c>
      <c r="P131" s="3" t="str">
        <f>IFERROR(MID(VLOOKUP($B131,Seqs!$A:$B,2,0),Q131,1),"")</f>
        <v>D</v>
      </c>
      <c r="Q131" s="2">
        <v>166</v>
      </c>
      <c r="R131" s="3" t="str">
        <f>IFERROR(MID(VLOOKUP($B131,Seqs!$A:$B,2,0),S131,1),"")</f>
        <v>F</v>
      </c>
      <c r="S131" s="2">
        <v>169</v>
      </c>
      <c r="T131" s="3" t="str">
        <f>IFERROR(MID(VLOOKUP($B131,Seqs!$A:$B,2,0),U131,1),"")</f>
        <v>G</v>
      </c>
      <c r="U131" s="4">
        <v>170</v>
      </c>
      <c r="V131" s="3" t="str">
        <f>IFERROR(MID(VLOOKUP($B131,Seqs!$A:$B,2,0),W131,1),"")</f>
        <v>S</v>
      </c>
      <c r="W131" s="2">
        <v>205</v>
      </c>
      <c r="X131" s="3" t="str">
        <f>IFERROR(MID(VLOOKUP($B131,Seqs!$A:$B,2,0),Y131,1),"")</f>
        <v>W</v>
      </c>
      <c r="Y131" s="2">
        <v>206</v>
      </c>
      <c r="Z131" s="3" t="str">
        <f>IFERROR(MID(VLOOKUP($B131,Seqs!$A:$B,2,0),AA131,1),"")</f>
        <v>G</v>
      </c>
      <c r="AA131" s="2">
        <v>213</v>
      </c>
      <c r="AB131" s="3" t="str">
        <f>IFERROR(MID(VLOOKUP($B131,Seqs!$A:$B,2,0),AC131,1),"")</f>
        <v>V</v>
      </c>
      <c r="AC131" s="41">
        <v>214</v>
      </c>
      <c r="AD131" s="3" t="str">
        <f>IFERROR(MID(VLOOKUP($B131,Seqs!$A:$B,2,0),AE131,1),"")</f>
        <v>F</v>
      </c>
      <c r="AE131" s="2">
        <v>240</v>
      </c>
      <c r="AF131" s="3" t="str">
        <f>IFERROR(MID(VLOOKUP($B131,Seqs!$A:$B,2,0),AG131,1),"")</f>
        <v>C</v>
      </c>
      <c r="AG131" s="2">
        <v>255</v>
      </c>
      <c r="AH131" s="3" t="str">
        <f>IFERROR(MID(VLOOKUP($B131,Seqs!$A:$B,2,0),AI131,1),"")</f>
        <v>L</v>
      </c>
      <c r="AI131" s="2">
        <v>257</v>
      </c>
      <c r="AJ131" s="3" t="str">
        <f>IFERROR(MID(VLOOKUP($B131,Seqs!$A:$B,2,0),AK131,1),"")</f>
        <v>T</v>
      </c>
      <c r="AK131" s="2">
        <v>263</v>
      </c>
      <c r="AL131" s="3" t="str">
        <f>IFERROR(MID(VLOOKUP($B131,Seqs!$A:$B,2,0),AM131,1),"")</f>
        <v>M</v>
      </c>
      <c r="AM131" s="2">
        <v>307</v>
      </c>
      <c r="AN131" s="3" t="str">
        <f>IFERROR(MID(VLOOKUP($B131,Seqs!$A:$B,2,0),AO131,1),"")</f>
        <v>N</v>
      </c>
      <c r="AO131" s="2">
        <v>312</v>
      </c>
      <c r="AP131" s="3" t="str">
        <f>IFERROR(MID(VLOOKUP($B131,Seqs!$A:$B,2,0),AQ131,1),"")</f>
        <v>Y</v>
      </c>
      <c r="AQ131" s="2">
        <v>350</v>
      </c>
      <c r="AR131" s="3" t="str">
        <f>IFERROR(MID(VLOOKUP($B131,Seqs!$A:$B,2,0),AS131,1),"")</f>
        <v>R</v>
      </c>
      <c r="AS131" s="2">
        <v>357</v>
      </c>
      <c r="AT131" s="3" t="str">
        <f>IFERROR(MID(VLOOKUP($B131,Seqs!$A:$B,2,0),AU131,1),"")</f>
        <v>V</v>
      </c>
      <c r="AU131" s="2">
        <v>389</v>
      </c>
      <c r="AV131" s="3" t="str">
        <f>IFERROR(MID(VLOOKUP($B131,Seqs!$A:$B,2,0),AW131,1),"")</f>
        <v>S</v>
      </c>
      <c r="AW131" s="2">
        <v>390</v>
      </c>
      <c r="AX131" s="3" t="str">
        <f>IFERROR(MID(VLOOKUP($B131,Seqs!$A:$B,2,0),AY131,1),"")</f>
        <v>C</v>
      </c>
      <c r="AY131" s="2">
        <v>403</v>
      </c>
      <c r="AZ131" s="79" t="str">
        <f>VLOOKUP(B131,Classification!A:D,2,0)</f>
        <v>A</v>
      </c>
      <c r="BA131" s="96" t="str">
        <f>VLOOKUP(B131,Classification!A:D,4,0)</f>
        <v>Endothelin</v>
      </c>
      <c r="BB131" s="27" t="b">
        <f t="shared" si="755"/>
        <v>1</v>
      </c>
      <c r="BC131" s="2"/>
      <c r="BD131" s="35" t="s">
        <v>1379</v>
      </c>
      <c r="BE131" s="3" t="s">
        <v>23</v>
      </c>
      <c r="BF131" s="121" t="s">
        <v>23</v>
      </c>
      <c r="BG131" s="50" t="s">
        <v>1379</v>
      </c>
      <c r="BH131" s="50" t="s">
        <v>1384</v>
      </c>
      <c r="BI131" s="2"/>
      <c r="BJ131" s="72"/>
      <c r="BU131" s="58"/>
      <c r="BV131" s="72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72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2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754"/>
        <v>ednrb_human_5GLH</v>
      </c>
      <c r="B132" s="2" t="s">
        <v>196</v>
      </c>
      <c r="C132" s="2" t="s">
        <v>1334</v>
      </c>
      <c r="D132" s="3" t="str">
        <f>IFERROR(MID(VLOOKUP($B132,Seqs!$A:$B,2,0),E132,1),"")</f>
        <v>K</v>
      </c>
      <c r="E132" s="2">
        <v>97</v>
      </c>
      <c r="F132" s="3" t="str">
        <f>IFERROR(MID(VLOOKUP($B132,Seqs!$A:$B,2,0),G132,1),"")</f>
        <v>N</v>
      </c>
      <c r="G132" s="2">
        <v>129</v>
      </c>
      <c r="H132" s="3" t="str">
        <f>IFERROR(MID(VLOOKUP($B132,Seqs!$A:$B,2,0),I132,1),"")</f>
        <v/>
      </c>
      <c r="I132" s="57" t="s">
        <v>23</v>
      </c>
      <c r="J132" s="3" t="str">
        <f>IFERROR(MID(VLOOKUP($B132,Seqs!$A:$B,2,0),K132,1),"")</f>
        <v/>
      </c>
      <c r="K132" s="57" t="s">
        <v>23</v>
      </c>
      <c r="L132" s="3" t="str">
        <f>IFERROR(MID(VLOOKUP($B132,Seqs!$A:$B,2,0),M132,1),"")</f>
        <v>P</v>
      </c>
      <c r="M132" s="2">
        <v>136</v>
      </c>
      <c r="N132" s="3" t="str">
        <f>IFERROR(MID(VLOOKUP($B132,Seqs!$A:$B,2,0),O132,1),"")</f>
        <v>A</v>
      </c>
      <c r="O132" s="2">
        <v>164</v>
      </c>
      <c r="P132" s="3" t="str">
        <f>IFERROR(MID(VLOOKUP($B132,Seqs!$A:$B,2,0),Q132,1),"")</f>
        <v>D</v>
      </c>
      <c r="Q132" s="2">
        <v>166</v>
      </c>
      <c r="R132" s="3" t="str">
        <f>IFERROR(MID(VLOOKUP($B132,Seqs!$A:$B,2,0),S132,1),"")</f>
        <v>F</v>
      </c>
      <c r="S132" s="2">
        <v>169</v>
      </c>
      <c r="T132" s="3" t="str">
        <f>IFERROR(MID(VLOOKUP($B132,Seqs!$A:$B,2,0),U132,1),"")</f>
        <v>G</v>
      </c>
      <c r="U132" s="4">
        <v>170</v>
      </c>
      <c r="V132" s="3" t="str">
        <f>IFERROR(MID(VLOOKUP($B132,Seqs!$A:$B,2,0),W132,1),"")</f>
        <v>S</v>
      </c>
      <c r="W132" s="2">
        <v>205</v>
      </c>
      <c r="X132" s="3" t="str">
        <f>IFERROR(MID(VLOOKUP($B132,Seqs!$A:$B,2,0),Y132,1),"")</f>
        <v/>
      </c>
      <c r="Y132" s="2" t="s">
        <v>23</v>
      </c>
      <c r="Z132" s="3" t="str">
        <f>IFERROR(MID(VLOOKUP($B132,Seqs!$A:$B,2,0),AA132,1),"")</f>
        <v/>
      </c>
      <c r="AA132" s="2" t="s">
        <v>23</v>
      </c>
      <c r="AB132" s="3" t="str">
        <f>IFERROR(MID(VLOOKUP($B132,Seqs!$A:$B,2,0),AC132,1),"")</f>
        <v>T</v>
      </c>
      <c r="AC132" s="41">
        <v>218</v>
      </c>
      <c r="AD132" s="3" t="str">
        <f>IFERROR(MID(VLOOKUP($B132,Seqs!$A:$B,2,0),AE132,1),"")</f>
        <v>F</v>
      </c>
      <c r="AE132" s="2">
        <v>240</v>
      </c>
      <c r="AF132" s="3" t="str">
        <f>IFERROR(MID(VLOOKUP($B132,Seqs!$A:$B,2,0),AG132,1),"")</f>
        <v>C</v>
      </c>
      <c r="AG132" s="2">
        <v>255</v>
      </c>
      <c r="AH132" s="3" t="str">
        <f>IFERROR(MID(VLOOKUP($B132,Seqs!$A:$B,2,0),AI132,1),"")</f>
        <v>L</v>
      </c>
      <c r="AI132" s="2">
        <v>257</v>
      </c>
      <c r="AJ132" s="3" t="str">
        <f>IFERROR(MID(VLOOKUP($B132,Seqs!$A:$B,2,0),AK132,1),"")</f>
        <v>T</v>
      </c>
      <c r="AK132" s="2">
        <v>263</v>
      </c>
      <c r="AL132" s="3" t="str">
        <f>IFERROR(MID(VLOOKUP($B132,Seqs!$A:$B,2,0),AM132,1),"")</f>
        <v>K</v>
      </c>
      <c r="AM132" s="2">
        <v>303</v>
      </c>
      <c r="AN132" s="3" t="str">
        <f>IFERROR(MID(VLOOKUP($B132,Seqs!$A:$B,2,0),AO132,1),"")</f>
        <v>N</v>
      </c>
      <c r="AO132" s="2">
        <v>312</v>
      </c>
      <c r="AP132" s="3" t="str">
        <f>IFERROR(MID(VLOOKUP($B132,Seqs!$A:$B,2,0),AQ132,1),"")</f>
        <v>Y</v>
      </c>
      <c r="AQ132" s="2">
        <v>350</v>
      </c>
      <c r="AR132" s="3" t="str">
        <f>IFERROR(MID(VLOOKUP($B132,Seqs!$A:$B,2,0),AS132,1),"")</f>
        <v>R</v>
      </c>
      <c r="AS132" s="2">
        <v>357</v>
      </c>
      <c r="AT132" s="3" t="str">
        <f>IFERROR(MID(VLOOKUP($B132,Seqs!$A:$B,2,0),AU132,1),"")</f>
        <v>V</v>
      </c>
      <c r="AU132" s="2">
        <v>389</v>
      </c>
      <c r="AV132" s="3" t="str">
        <f>IFERROR(MID(VLOOKUP($B132,Seqs!$A:$B,2,0),AW132,1),"")</f>
        <v>S</v>
      </c>
      <c r="AW132" s="2">
        <v>390</v>
      </c>
      <c r="AX132" s="3" t="str">
        <f>IFERROR(MID(VLOOKUP($B132,Seqs!$A:$B,2,0),AY132,1),"")</f>
        <v>L</v>
      </c>
      <c r="AY132" s="2">
        <v>401</v>
      </c>
      <c r="AZ132" s="79" t="str">
        <f>VLOOKUP(B132,Classification!A:D,2,0)</f>
        <v>A</v>
      </c>
      <c r="BA132" s="96" t="str">
        <f>VLOOKUP(B132,Classification!A:D,4,0)</f>
        <v>Endothelin</v>
      </c>
      <c r="BB132" s="27" t="b">
        <f t="shared" si="755"/>
        <v>1</v>
      </c>
      <c r="BC132" s="23">
        <f t="shared" ref="BC132:BC169" si="1145">_xlfn.AGGREGATE(9,6,CH132:CS132)-_xlfn.AGGREGATE(9,6,BV132:CG132)+12</f>
        <v>255</v>
      </c>
      <c r="BD132" s="2" t="s">
        <v>23</v>
      </c>
      <c r="BE132" s="3" t="s">
        <v>1381</v>
      </c>
      <c r="BF132" s="121">
        <v>2.8</v>
      </c>
      <c r="BG132" s="50" t="s">
        <v>1384</v>
      </c>
      <c r="BH132" s="50" t="s">
        <v>1384</v>
      </c>
      <c r="BI132" s="2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ref="BV132:BV169" si="1146">E132</f>
        <v>97</v>
      </c>
      <c r="BW132" s="73" t="str">
        <f t="shared" ref="BW132:BW169" si="1147">I132</f>
        <v>-</v>
      </c>
      <c r="BX132" s="74">
        <f t="shared" ref="BX132:BX169" si="1148">M132</f>
        <v>136</v>
      </c>
      <c r="BY132" s="73">
        <f t="shared" ref="BY132:BY169" si="1149">Q132</f>
        <v>166</v>
      </c>
      <c r="BZ132" s="74">
        <f t="shared" ref="BZ132:BZ169" si="1150">U132</f>
        <v>170</v>
      </c>
      <c r="CA132" s="73" t="str">
        <f t="shared" ref="CA132:CA169" si="1151">Y132</f>
        <v>-</v>
      </c>
      <c r="CB132" s="74">
        <f t="shared" ref="CB132:CB169" si="1152">AC132</f>
        <v>218</v>
      </c>
      <c r="CC132" s="73">
        <f t="shared" ref="CC132:CC169" si="1153">AG132</f>
        <v>255</v>
      </c>
      <c r="CD132" s="74">
        <f t="shared" ref="CD132:CD169" si="1154">AK132</f>
        <v>263</v>
      </c>
      <c r="CE132" s="73">
        <f t="shared" ref="CE132:CE169" si="1155">AO132</f>
        <v>312</v>
      </c>
      <c r="CF132" s="74">
        <f t="shared" ref="CF132:CF169" si="1156">AS132</f>
        <v>357</v>
      </c>
      <c r="CG132" s="73">
        <f t="shared" ref="CG132:CG169" si="1157">AW132</f>
        <v>390</v>
      </c>
      <c r="CH132" s="72">
        <f t="shared" ref="CH132:CH169" si="1158">G132</f>
        <v>129</v>
      </c>
      <c r="CI132" s="73" t="str">
        <f t="shared" ref="CI132:CI169" si="1159">K132</f>
        <v>-</v>
      </c>
      <c r="CJ132" s="74">
        <f t="shared" ref="CJ132:CJ169" si="1160">O132</f>
        <v>164</v>
      </c>
      <c r="CK132" s="74">
        <f t="shared" ref="CK132:CK169" si="1161">S132</f>
        <v>169</v>
      </c>
      <c r="CL132" s="74">
        <f t="shared" ref="CL132:CL169" si="1162">W132</f>
        <v>205</v>
      </c>
      <c r="CM132" s="74" t="str">
        <f t="shared" ref="CM132:CM169" si="1163">AA132</f>
        <v>-</v>
      </c>
      <c r="CN132" s="74">
        <f t="shared" ref="CN132:CN169" si="1164">AE132</f>
        <v>240</v>
      </c>
      <c r="CO132" s="74">
        <f t="shared" ref="CO132:CO169" si="1165">AI132</f>
        <v>257</v>
      </c>
      <c r="CP132" s="74">
        <f t="shared" ref="CP132:CP169" si="1166">AM132</f>
        <v>303</v>
      </c>
      <c r="CQ132" s="74">
        <f t="shared" ref="CQ132:CQ169" si="1167">AQ132</f>
        <v>350</v>
      </c>
      <c r="CR132" s="74">
        <f t="shared" ref="CR132:CR169" si="1168">AU132</f>
        <v>389</v>
      </c>
      <c r="CS132" s="74">
        <f t="shared" ref="CS132:CS169" si="1169">AY132</f>
        <v>401</v>
      </c>
      <c r="CT132" s="23" t="e">
        <f t="shared" ref="CT132:CT169" si="1170">M132-K132</f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754"/>
        <v>ednrb_human_5GLI</v>
      </c>
      <c r="B133" s="2" t="s">
        <v>196</v>
      </c>
      <c r="C133" s="2" t="s">
        <v>1333</v>
      </c>
      <c r="D133" s="3" t="str">
        <f>IFERROR(MID(VLOOKUP($B133,Seqs!$A:$B,2,0),E133,1),"")</f>
        <v>Q</v>
      </c>
      <c r="E133" s="2">
        <v>91</v>
      </c>
      <c r="F133" s="3" t="str">
        <f>IFERROR(MID(VLOOKUP($B133,Seqs!$A:$B,2,0),G133,1),"")</f>
        <v>N</v>
      </c>
      <c r="G133" s="2">
        <v>129</v>
      </c>
      <c r="H133" s="3" t="str">
        <f>IFERROR(MID(VLOOKUP($B133,Seqs!$A:$B,2,0),I133,1),"")</f>
        <v>K</v>
      </c>
      <c r="I133" s="57">
        <v>130</v>
      </c>
      <c r="J133" s="3" t="str">
        <f>IFERROR(MID(VLOOKUP($B133,Seqs!$A:$B,2,0),K133,1),"")</f>
        <v>N</v>
      </c>
      <c r="K133" s="57">
        <v>134</v>
      </c>
      <c r="L133" s="3" t="str">
        <f>IFERROR(MID(VLOOKUP($B133,Seqs!$A:$B,2,0),M133,1),"")</f>
        <v>G</v>
      </c>
      <c r="M133" s="2">
        <v>135</v>
      </c>
      <c r="N133" s="3" t="str">
        <f>IFERROR(MID(VLOOKUP($B133,Seqs!$A:$B,2,0),O133,1),"")</f>
        <v>A</v>
      </c>
      <c r="O133" s="2">
        <v>164</v>
      </c>
      <c r="P133" s="3" t="str">
        <f>IFERROR(MID(VLOOKUP($B133,Seqs!$A:$B,2,0),Q133,1),"")</f>
        <v>D</v>
      </c>
      <c r="Q133" s="2">
        <v>166</v>
      </c>
      <c r="R133" s="3" t="str">
        <f>IFERROR(MID(VLOOKUP($B133,Seqs!$A:$B,2,0),S133,1),"")</f>
        <v>F</v>
      </c>
      <c r="S133" s="2">
        <v>169</v>
      </c>
      <c r="T133" s="3" t="str">
        <f>IFERROR(MID(VLOOKUP($B133,Seqs!$A:$B,2,0),U133,1),"")</f>
        <v>G</v>
      </c>
      <c r="U133" s="4">
        <v>170</v>
      </c>
      <c r="V133" s="3" t="str">
        <f>IFERROR(MID(VLOOKUP($B133,Seqs!$A:$B,2,0),W133,1),"")</f>
        <v>S</v>
      </c>
      <c r="W133" s="2">
        <v>205</v>
      </c>
      <c r="X133" s="3" t="str">
        <f>IFERROR(MID(VLOOKUP($B133,Seqs!$A:$B,2,0),Y133,1),"")</f>
        <v/>
      </c>
      <c r="Y133" s="2" t="s">
        <v>23</v>
      </c>
      <c r="Z133" s="3" t="str">
        <f>IFERROR(MID(VLOOKUP($B133,Seqs!$A:$B,2,0),AA133,1),"")</f>
        <v/>
      </c>
      <c r="AA133" s="2" t="s">
        <v>23</v>
      </c>
      <c r="AB133" s="3" t="str">
        <f>IFERROR(MID(VLOOKUP($B133,Seqs!$A:$B,2,0),AC133,1),"")</f>
        <v>K</v>
      </c>
      <c r="AC133" s="41">
        <v>216</v>
      </c>
      <c r="AD133" s="3" t="str">
        <f>IFERROR(MID(VLOOKUP($B133,Seqs!$A:$B,2,0),AE133,1),"")</f>
        <v>F</v>
      </c>
      <c r="AE133" s="2">
        <v>240</v>
      </c>
      <c r="AF133" s="3" t="str">
        <f>IFERROR(MID(VLOOKUP($B133,Seqs!$A:$B,2,0),AG133,1),"")</f>
        <v>C</v>
      </c>
      <c r="AG133" s="2">
        <v>255</v>
      </c>
      <c r="AH133" s="3" t="str">
        <f>IFERROR(MID(VLOOKUP($B133,Seqs!$A:$B,2,0),AI133,1),"")</f>
        <v>L</v>
      </c>
      <c r="AI133" s="2">
        <v>257</v>
      </c>
      <c r="AJ133" s="3" t="str">
        <f>IFERROR(MID(VLOOKUP($B133,Seqs!$A:$B,2,0),AK133,1),"")</f>
        <v>T</v>
      </c>
      <c r="AK133" s="2">
        <v>263</v>
      </c>
      <c r="AL133" s="3" t="str">
        <f>IFERROR(MID(VLOOKUP($B133,Seqs!$A:$B,2,0),AM133,1),"")</f>
        <v>K</v>
      </c>
      <c r="AM133" s="2">
        <v>303</v>
      </c>
      <c r="AN133" s="3" t="str">
        <f>IFERROR(MID(VLOOKUP($B133,Seqs!$A:$B,2,0),AO133,1),"")</f>
        <v>N</v>
      </c>
      <c r="AO133" s="2">
        <v>312</v>
      </c>
      <c r="AP133" s="3" t="str">
        <f>IFERROR(MID(VLOOKUP($B133,Seqs!$A:$B,2,0),AQ133,1),"")</f>
        <v>Y</v>
      </c>
      <c r="AQ133" s="2">
        <v>350</v>
      </c>
      <c r="AR133" s="3" t="str">
        <f>IFERROR(MID(VLOOKUP($B133,Seqs!$A:$B,2,0),AS133,1),"")</f>
        <v>R</v>
      </c>
      <c r="AS133" s="2">
        <v>357</v>
      </c>
      <c r="AT133" s="3" t="str">
        <f>IFERROR(MID(VLOOKUP($B133,Seqs!$A:$B,2,0),AU133,1),"")</f>
        <v>V</v>
      </c>
      <c r="AU133" s="2">
        <v>389</v>
      </c>
      <c r="AV133" s="3" t="str">
        <f>IFERROR(MID(VLOOKUP($B133,Seqs!$A:$B,2,0),AW133,1),"")</f>
        <v>S</v>
      </c>
      <c r="AW133" s="2">
        <v>390</v>
      </c>
      <c r="AX133" s="3" t="str">
        <f>IFERROR(MID(VLOOKUP($B133,Seqs!$A:$B,2,0),AY133,1),"")</f>
        <v>C</v>
      </c>
      <c r="AY133" s="2">
        <v>403</v>
      </c>
      <c r="AZ133" s="79" t="str">
        <f>VLOOKUP(B133,Classification!A:D,2,0)</f>
        <v>A</v>
      </c>
      <c r="BA133" s="96" t="str">
        <f>VLOOKUP(B133,Classification!A:D,4,0)</f>
        <v>Endothelin</v>
      </c>
      <c r="BB133" s="27" t="b">
        <f t="shared" si="755"/>
        <v>1</v>
      </c>
      <c r="BC133" s="23">
        <f t="shared" si="1145"/>
        <v>270</v>
      </c>
      <c r="BD133" s="2" t="s">
        <v>23</v>
      </c>
      <c r="BE133" s="3" t="s">
        <v>1381</v>
      </c>
      <c r="BF133" s="121">
        <v>2.5</v>
      </c>
      <c r="BG133" s="50" t="s">
        <v>1384</v>
      </c>
      <c r="BH133" s="50" t="s">
        <v>1384</v>
      </c>
      <c r="BI133" s="2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1146"/>
        <v>91</v>
      </c>
      <c r="BW133" s="73">
        <f t="shared" si="1147"/>
        <v>130</v>
      </c>
      <c r="BX133" s="74">
        <f t="shared" si="1148"/>
        <v>135</v>
      </c>
      <c r="BY133" s="73">
        <f t="shared" si="1149"/>
        <v>166</v>
      </c>
      <c r="BZ133" s="74">
        <f t="shared" si="1150"/>
        <v>170</v>
      </c>
      <c r="CA133" s="73" t="str">
        <f t="shared" si="1151"/>
        <v>-</v>
      </c>
      <c r="CB133" s="74">
        <f t="shared" si="1152"/>
        <v>216</v>
      </c>
      <c r="CC133" s="73">
        <f t="shared" si="1153"/>
        <v>255</v>
      </c>
      <c r="CD133" s="74">
        <f t="shared" si="1154"/>
        <v>263</v>
      </c>
      <c r="CE133" s="73">
        <f t="shared" si="1155"/>
        <v>312</v>
      </c>
      <c r="CF133" s="74">
        <f t="shared" si="1156"/>
        <v>357</v>
      </c>
      <c r="CG133" s="73">
        <f t="shared" si="1157"/>
        <v>390</v>
      </c>
      <c r="CH133" s="72">
        <f t="shared" si="1158"/>
        <v>129</v>
      </c>
      <c r="CI133" s="73">
        <f t="shared" si="1159"/>
        <v>134</v>
      </c>
      <c r="CJ133" s="74">
        <f t="shared" si="1160"/>
        <v>164</v>
      </c>
      <c r="CK133" s="74">
        <f t="shared" si="1161"/>
        <v>169</v>
      </c>
      <c r="CL133" s="74">
        <f t="shared" si="1162"/>
        <v>205</v>
      </c>
      <c r="CM133" s="74" t="str">
        <f t="shared" si="1163"/>
        <v>-</v>
      </c>
      <c r="CN133" s="74">
        <f t="shared" si="1164"/>
        <v>240</v>
      </c>
      <c r="CO133" s="74">
        <f t="shared" si="1165"/>
        <v>257</v>
      </c>
      <c r="CP133" s="74">
        <f t="shared" si="1166"/>
        <v>303</v>
      </c>
      <c r="CQ133" s="74">
        <f t="shared" si="1167"/>
        <v>350</v>
      </c>
      <c r="CR133" s="74">
        <f t="shared" si="1168"/>
        <v>389</v>
      </c>
      <c r="CS133" s="74">
        <f t="shared" si="1169"/>
        <v>403</v>
      </c>
      <c r="CT133" s="23">
        <f t="shared" si="117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ref="A134" si="1171">CONCATENATE(B134,"_",C134)</f>
        <v>ednrb_human_5X93</v>
      </c>
      <c r="B134" s="2" t="s">
        <v>196</v>
      </c>
      <c r="C134" s="2" t="s">
        <v>1449</v>
      </c>
      <c r="D134" s="3" t="str">
        <f>IFERROR(MID(VLOOKUP($B134,Seqs!$A:$B,2,0),E134,1),"")</f>
        <v>Q</v>
      </c>
      <c r="E134" s="2">
        <v>91</v>
      </c>
      <c r="F134" s="3" t="str">
        <f>IFERROR(MID(VLOOKUP($B134,Seqs!$A:$B,2,0),G134,1),"")</f>
        <v>N</v>
      </c>
      <c r="G134" s="2">
        <v>129</v>
      </c>
      <c r="H134" s="3" t="str">
        <f>IFERROR(MID(VLOOKUP($B134,Seqs!$A:$B,2,0),I134,1),"")</f>
        <v>K</v>
      </c>
      <c r="I134" s="57">
        <v>130</v>
      </c>
      <c r="J134" s="3" t="str">
        <f>IFERROR(MID(VLOOKUP($B134,Seqs!$A:$B,2,0),K134,1),"")</f>
        <v>N</v>
      </c>
      <c r="K134" s="57">
        <v>134</v>
      </c>
      <c r="L134" s="3" t="str">
        <f>IFERROR(MID(VLOOKUP($B134,Seqs!$A:$B,2,0),M134,1),"")</f>
        <v>G</v>
      </c>
      <c r="M134" s="2">
        <v>135</v>
      </c>
      <c r="N134" s="3" t="str">
        <f>IFERROR(MID(VLOOKUP($B134,Seqs!$A:$B,2,0),O134,1),"")</f>
        <v>A</v>
      </c>
      <c r="O134" s="2">
        <v>164</v>
      </c>
      <c r="P134" s="3" t="str">
        <f>IFERROR(MID(VLOOKUP($B134,Seqs!$A:$B,2,0),Q134,1),"")</f>
        <v>D</v>
      </c>
      <c r="Q134" s="2">
        <v>166</v>
      </c>
      <c r="R134" s="3" t="str">
        <f>IFERROR(MID(VLOOKUP($B134,Seqs!$A:$B,2,0),S134,1),"")</f>
        <v>F</v>
      </c>
      <c r="S134" s="2">
        <v>169</v>
      </c>
      <c r="T134" s="3" t="str">
        <f>IFERROR(MID(VLOOKUP($B134,Seqs!$A:$B,2,0),U134,1),"")</f>
        <v>G</v>
      </c>
      <c r="U134" s="4">
        <v>170</v>
      </c>
      <c r="V134" s="3" t="str">
        <f>IFERROR(MID(VLOOKUP($B134,Seqs!$A:$B,2,0),W134,1),"")</f>
        <v>S</v>
      </c>
      <c r="W134" s="2">
        <v>205</v>
      </c>
      <c r="X134" s="3" t="str">
        <f>IFERROR(MID(VLOOKUP($B134,Seqs!$A:$B,2,0),Y134,1),"")</f>
        <v/>
      </c>
      <c r="Y134" s="2" t="s">
        <v>23</v>
      </c>
      <c r="Z134" s="3" t="str">
        <f>IFERROR(MID(VLOOKUP($B134,Seqs!$A:$B,2,0),AA134,1),"")</f>
        <v/>
      </c>
      <c r="AA134" s="2" t="s">
        <v>23</v>
      </c>
      <c r="AB134" s="3" t="str">
        <f>IFERROR(MID(VLOOKUP($B134,Seqs!$A:$B,2,0),AC134,1),"")</f>
        <v>K</v>
      </c>
      <c r="AC134" s="2">
        <v>216</v>
      </c>
      <c r="AD134" s="3" t="str">
        <f>IFERROR(MID(VLOOKUP($B134,Seqs!$A:$B,2,0),AE134,1),"")</f>
        <v>F</v>
      </c>
      <c r="AE134" s="2">
        <v>240</v>
      </c>
      <c r="AF134" s="3" t="str">
        <f>IFERROR(MID(VLOOKUP($B134,Seqs!$A:$B,2,0),AG134,1),"")</f>
        <v>C</v>
      </c>
      <c r="AG134" s="2">
        <v>255</v>
      </c>
      <c r="AH134" s="3" t="str">
        <f>IFERROR(MID(VLOOKUP($B134,Seqs!$A:$B,2,0),AI134,1),"")</f>
        <v>L</v>
      </c>
      <c r="AI134" s="2">
        <v>257</v>
      </c>
      <c r="AJ134" s="3" t="str">
        <f>IFERROR(MID(VLOOKUP($B134,Seqs!$A:$B,2,0),AK134,1),"")</f>
        <v>T</v>
      </c>
      <c r="AK134" s="2">
        <v>263</v>
      </c>
      <c r="AL134" s="3" t="str">
        <f>IFERROR(MID(VLOOKUP($B134,Seqs!$A:$B,2,0),AM134,1),"")</f>
        <v>K</v>
      </c>
      <c r="AM134" s="2">
        <v>303</v>
      </c>
      <c r="AN134" s="3" t="str">
        <f>IFERROR(MID(VLOOKUP($B134,Seqs!$A:$B,2,0),AO134,1),"")</f>
        <v>N</v>
      </c>
      <c r="AO134" s="2">
        <v>312</v>
      </c>
      <c r="AP134" s="3" t="str">
        <f>IFERROR(MID(VLOOKUP($B134,Seqs!$A:$B,2,0),AQ134,1),"")</f>
        <v>Y</v>
      </c>
      <c r="AQ134" s="2">
        <v>350</v>
      </c>
      <c r="AR134" s="3" t="str">
        <f>IFERROR(MID(VLOOKUP($B134,Seqs!$A:$B,2,0),AS134,1),"")</f>
        <v>R</v>
      </c>
      <c r="AS134" s="2">
        <v>357</v>
      </c>
      <c r="AT134" s="3" t="str">
        <f>IFERROR(MID(VLOOKUP($B134,Seqs!$A:$B,2,0),AU134,1),"")</f>
        <v>V</v>
      </c>
      <c r="AU134" s="2">
        <v>389</v>
      </c>
      <c r="AV134" s="3" t="str">
        <f>IFERROR(MID(VLOOKUP($B134,Seqs!$A:$B,2,0),AW134,1),"")</f>
        <v>S</v>
      </c>
      <c r="AW134" s="2">
        <v>390</v>
      </c>
      <c r="AX134" s="3" t="str">
        <f>IFERROR(MID(VLOOKUP($B134,Seqs!$A:$B,2,0),AY134,1),"")</f>
        <v>C</v>
      </c>
      <c r="AY134" s="2">
        <v>403</v>
      </c>
      <c r="AZ134" s="79" t="str">
        <f>VLOOKUP(B134,Classification!A:D,2,0)</f>
        <v>A</v>
      </c>
      <c r="BA134" s="96" t="str">
        <f>VLOOKUP(B134,Classification!A:D,4,0)</f>
        <v>Endothelin</v>
      </c>
      <c r="BB134" s="27" t="b">
        <f t="shared" ref="BB134" si="1172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" si="1173">_xlfn.AGGREGATE(9,6,CH134:CS134)-_xlfn.AGGREGATE(9,6,BV134:CG134)+12</f>
        <v>270</v>
      </c>
      <c r="BD134" s="2" t="s">
        <v>1383</v>
      </c>
      <c r="BE134" s="3" t="s">
        <v>1381</v>
      </c>
      <c r="BF134" s="121">
        <v>2.2000000000000002</v>
      </c>
      <c r="BG134" s="50" t="s">
        <v>1</v>
      </c>
      <c r="BH134" s="50" t="s">
        <v>1</v>
      </c>
      <c r="BI134" s="2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ref="BV134" si="1174">E134</f>
        <v>91</v>
      </c>
      <c r="BW134" s="73">
        <f t="shared" ref="BW134" si="1175">I134</f>
        <v>130</v>
      </c>
      <c r="BX134" s="74">
        <f t="shared" ref="BX134" si="1176">M134</f>
        <v>135</v>
      </c>
      <c r="BY134" s="73">
        <f t="shared" ref="BY134" si="1177">Q134</f>
        <v>166</v>
      </c>
      <c r="BZ134" s="74">
        <f t="shared" ref="BZ134" si="1178">U134</f>
        <v>170</v>
      </c>
      <c r="CA134" s="73" t="str">
        <f t="shared" ref="CA134" si="1179">Y134</f>
        <v>-</v>
      </c>
      <c r="CB134" s="74">
        <f t="shared" ref="CB134" si="1180">AC134</f>
        <v>216</v>
      </c>
      <c r="CC134" s="73">
        <f t="shared" ref="CC134" si="1181">AG134</f>
        <v>255</v>
      </c>
      <c r="CD134" s="74">
        <f t="shared" ref="CD134" si="1182">AK134</f>
        <v>263</v>
      </c>
      <c r="CE134" s="73">
        <f t="shared" ref="CE134" si="1183">AO134</f>
        <v>312</v>
      </c>
      <c r="CF134" s="74">
        <f t="shared" ref="CF134" si="1184">AS134</f>
        <v>357</v>
      </c>
      <c r="CG134" s="73">
        <f t="shared" ref="CG134" si="1185">AW134</f>
        <v>390</v>
      </c>
      <c r="CH134" s="72">
        <f t="shared" ref="CH134" si="1186">G134</f>
        <v>129</v>
      </c>
      <c r="CI134" s="73">
        <f t="shared" ref="CI134" si="1187">K134</f>
        <v>134</v>
      </c>
      <c r="CJ134" s="74">
        <f t="shared" ref="CJ134" si="1188">O134</f>
        <v>164</v>
      </c>
      <c r="CK134" s="74">
        <f t="shared" ref="CK134" si="1189">S134</f>
        <v>169</v>
      </c>
      <c r="CL134" s="74">
        <f t="shared" ref="CL134" si="1190">W134</f>
        <v>205</v>
      </c>
      <c r="CM134" s="74" t="str">
        <f t="shared" ref="CM134" si="1191">AA134</f>
        <v>-</v>
      </c>
      <c r="CN134" s="74">
        <f t="shared" ref="CN134" si="1192">AE134</f>
        <v>240</v>
      </c>
      <c r="CO134" s="74">
        <f t="shared" ref="CO134" si="1193">AI134</f>
        <v>257</v>
      </c>
      <c r="CP134" s="74">
        <f t="shared" ref="CP134" si="1194">AM134</f>
        <v>303</v>
      </c>
      <c r="CQ134" s="74">
        <f t="shared" ref="CQ134" si="1195">AQ134</f>
        <v>350</v>
      </c>
      <c r="CR134" s="74">
        <f t="shared" ref="CR134" si="1196">AU134</f>
        <v>389</v>
      </c>
      <c r="CS134" s="74">
        <f t="shared" ref="CS134" si="1197">AY134</f>
        <v>403</v>
      </c>
      <c r="CT134" s="23">
        <f t="shared" ref="CT134" si="1198"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ref="A135" si="1199">CONCATENATE(B135,"_",C135)</f>
        <v>ednrb_human_5XPR</v>
      </c>
      <c r="B135" s="2" t="s">
        <v>196</v>
      </c>
      <c r="C135" s="2" t="s">
        <v>1450</v>
      </c>
      <c r="D135" s="3" t="str">
        <f>IFERROR(MID(VLOOKUP($B135,Seqs!$A:$B,2,0),E135,1),"")</f>
        <v>G</v>
      </c>
      <c r="E135" s="2">
        <v>92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7">
        <v>130</v>
      </c>
      <c r="J135" s="3" t="str">
        <f>IFERROR(MID(VLOOKUP($B135,Seqs!$A:$B,2,0),K135,1),"")</f>
        <v>N</v>
      </c>
      <c r="K135" s="57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A</v>
      </c>
      <c r="U135" s="4">
        <v>171</v>
      </c>
      <c r="V135" s="3" t="str">
        <f>IFERROR(MID(VLOOKUP($B135,Seqs!$A:$B,2,0),W135,1),"")</f>
        <v>A</v>
      </c>
      <c r="W135" s="2">
        <v>202</v>
      </c>
      <c r="X135" s="3" t="str">
        <f>IFERROR(MID(VLOOKUP($B135,Seqs!$A:$B,2,0),Y135,1),"")</f>
        <v/>
      </c>
      <c r="Y135" s="2" t="s">
        <v>23</v>
      </c>
      <c r="Z135" s="3" t="str">
        <f>IFERROR(MID(VLOOKUP($B135,Seqs!$A:$B,2,0),AA135,1),"")</f>
        <v/>
      </c>
      <c r="AA135" s="2" t="s">
        <v>23</v>
      </c>
      <c r="AB135" s="3" t="str">
        <f>IFERROR(MID(VLOOKUP($B135,Seqs!$A:$B,2,0),AC135,1),"")</f>
        <v>K</v>
      </c>
      <c r="AC135" s="2">
        <v>216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K</v>
      </c>
      <c r="AM135" s="2">
        <v>303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L</v>
      </c>
      <c r="AQ135" s="2">
        <v>349</v>
      </c>
      <c r="AR135" s="3" t="str">
        <f>IFERROR(MID(VLOOKUP($B135,Seqs!$A:$B,2,0),AS135,1),"")</f>
        <v>N</v>
      </c>
      <c r="AS135" s="2">
        <v>356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402</v>
      </c>
      <c r="AZ135" s="79" t="str">
        <f>VLOOKUP(B135,Classification!A:D,2,0)</f>
        <v>A</v>
      </c>
      <c r="BA135" s="96" t="str">
        <f>VLOOKUP(B135,Classification!A:D,4,0)</f>
        <v>Endothelin</v>
      </c>
      <c r="BB135" s="27" t="b">
        <f t="shared" ref="BB135" si="1200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23">
        <f t="shared" ref="BC135" si="1201">_xlfn.AGGREGATE(9,6,CH135:CS135)-_xlfn.AGGREGATE(9,6,BV135:CG135)+12</f>
        <v>264</v>
      </c>
      <c r="BD135" s="2" t="s">
        <v>23</v>
      </c>
      <c r="BE135" s="3" t="s">
        <v>1381</v>
      </c>
      <c r="BF135" s="121">
        <v>3.6</v>
      </c>
      <c r="BG135" s="50" t="s">
        <v>1</v>
      </c>
      <c r="BH135" s="50" t="s">
        <v>1</v>
      </c>
      <c r="BI135" s="2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ref="BV135" si="1202">E135</f>
        <v>92</v>
      </c>
      <c r="BW135" s="73">
        <f t="shared" ref="BW135" si="1203">I135</f>
        <v>130</v>
      </c>
      <c r="BX135" s="74">
        <f t="shared" ref="BX135" si="1204">M135</f>
        <v>135</v>
      </c>
      <c r="BY135" s="73">
        <f t="shared" ref="BY135" si="1205">Q135</f>
        <v>166</v>
      </c>
      <c r="BZ135" s="74">
        <f t="shared" ref="BZ135" si="1206">U135</f>
        <v>171</v>
      </c>
      <c r="CA135" s="73" t="str">
        <f t="shared" ref="CA135" si="1207">Y135</f>
        <v>-</v>
      </c>
      <c r="CB135" s="74">
        <f t="shared" ref="CB135" si="1208">AC135</f>
        <v>216</v>
      </c>
      <c r="CC135" s="73">
        <f t="shared" ref="CC135" si="1209">AG135</f>
        <v>255</v>
      </c>
      <c r="CD135" s="74">
        <f t="shared" ref="CD135" si="1210">AK135</f>
        <v>263</v>
      </c>
      <c r="CE135" s="73">
        <f t="shared" ref="CE135" si="1211">AO135</f>
        <v>312</v>
      </c>
      <c r="CF135" s="74">
        <f t="shared" ref="CF135" si="1212">AS135</f>
        <v>356</v>
      </c>
      <c r="CG135" s="73">
        <f t="shared" ref="CG135" si="1213">AW135</f>
        <v>390</v>
      </c>
      <c r="CH135" s="72">
        <f t="shared" ref="CH135" si="1214">G135</f>
        <v>129</v>
      </c>
      <c r="CI135" s="73">
        <f t="shared" ref="CI135" si="1215">K135</f>
        <v>134</v>
      </c>
      <c r="CJ135" s="74">
        <f t="shared" ref="CJ135" si="1216">O135</f>
        <v>164</v>
      </c>
      <c r="CK135" s="74">
        <f t="shared" ref="CK135" si="1217">S135</f>
        <v>169</v>
      </c>
      <c r="CL135" s="74">
        <f t="shared" ref="CL135" si="1218">W135</f>
        <v>202</v>
      </c>
      <c r="CM135" s="74" t="str">
        <f t="shared" ref="CM135" si="1219">AA135</f>
        <v>-</v>
      </c>
      <c r="CN135" s="74">
        <f t="shared" ref="CN135" si="1220">AE135</f>
        <v>240</v>
      </c>
      <c r="CO135" s="74">
        <f t="shared" ref="CO135" si="1221">AI135</f>
        <v>257</v>
      </c>
      <c r="CP135" s="74">
        <f t="shared" ref="CP135" si="1222">AM135</f>
        <v>303</v>
      </c>
      <c r="CQ135" s="74">
        <f t="shared" ref="CQ135" si="1223">AQ135</f>
        <v>349</v>
      </c>
      <c r="CR135" s="74">
        <f t="shared" ref="CR135" si="1224">AU135</f>
        <v>389</v>
      </c>
      <c r="CS135" s="74">
        <f t="shared" ref="CS135" si="1225">AY135</f>
        <v>402</v>
      </c>
      <c r="CT135" s="23">
        <f t="shared" ref="CT135" si="1226">M135-K135</f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754"/>
        <v>ffar1_human__wt</v>
      </c>
      <c r="B136" s="3" t="s">
        <v>1173</v>
      </c>
      <c r="C136" s="3" t="s">
        <v>100</v>
      </c>
      <c r="D136" s="3" t="str">
        <f>IFERROR(MID(VLOOKUP($B136,Seqs!$A:$B,2,0),E136,1),"")</f>
        <v>P</v>
      </c>
      <c r="E136" s="3">
        <v>4</v>
      </c>
      <c r="F136" s="3" t="str">
        <f>IFERROR(MID(VLOOKUP($B136,Seqs!$A:$B,2,0),G136,1),"")</f>
        <v>R</v>
      </c>
      <c r="G136" s="3">
        <v>37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39</v>
      </c>
      <c r="N136" s="3" t="str">
        <f>IFERROR(MID(VLOOKUP($B136,Seqs!$A:$B,2,0),O136,1),"")</f>
        <v>S</v>
      </c>
      <c r="O136" s="3">
        <v>69</v>
      </c>
      <c r="P136" s="3" t="str">
        <f>IFERROR(MID(VLOOKUP($B136,Seqs!$A:$B,2,0),Q136,1),"")</f>
        <v>A</v>
      </c>
      <c r="Q136" s="3">
        <v>71</v>
      </c>
      <c r="R136" s="3" t="str">
        <f>IFERROR(MID(VLOOKUP($B136,Seqs!$A:$B,2,0),S136,1),"")</f>
        <v>L</v>
      </c>
      <c r="S136" s="3">
        <v>74</v>
      </c>
      <c r="T136" s="3" t="str">
        <f>IFERROR(MID(VLOOKUP($B136,Seqs!$A:$B,2,0),U136,1),"")</f>
        <v>P</v>
      </c>
      <c r="U136" s="3">
        <v>75</v>
      </c>
      <c r="V136" s="3" t="str">
        <f>IFERROR(MID(VLOOKUP($B136,Seqs!$A:$B,2,0),W136,1),"")</f>
        <v>F</v>
      </c>
      <c r="W136" s="3">
        <v>110</v>
      </c>
      <c r="X136" s="3" t="str">
        <f>IFERROR(MID(VLOOKUP($B136,Seqs!$A:$B,2,0),Y136,1),"")</f>
        <v>P</v>
      </c>
      <c r="Y136" s="3">
        <v>111</v>
      </c>
      <c r="Z136" s="3" t="str">
        <f>IFERROR(MID(VLOOKUP($B136,Seqs!$A:$B,2,0),AA136,1),"")</f>
        <v>R</v>
      </c>
      <c r="AA136" s="3">
        <v>118</v>
      </c>
      <c r="AB136" s="3" t="str">
        <f>IFERROR(MID(VLOOKUP($B136,Seqs!$A:$B,2,0),AC136,1),"")</f>
        <v>R</v>
      </c>
      <c r="AC136" s="9">
        <v>119</v>
      </c>
      <c r="AD136" s="3" t="str">
        <f>IFERROR(MID(VLOOKUP($B136,Seqs!$A:$B,2,0),AE136,1),"")</f>
        <v>A</v>
      </c>
      <c r="AE136" s="3">
        <v>146</v>
      </c>
      <c r="AF136" s="3" t="str">
        <f>IFERROR(MID(VLOOKUP($B136,Seqs!$A:$B,2,0),AG136,1),"")</f>
        <v>C</v>
      </c>
      <c r="AG136" s="3">
        <v>170</v>
      </c>
      <c r="AH136" s="3" t="str">
        <f>IFERROR(MID(VLOOKUP($B136,Seqs!$A:$B,2,0),AI136,1),"")</f>
        <v>E</v>
      </c>
      <c r="AI136" s="3">
        <v>172</v>
      </c>
      <c r="AJ136" s="3" t="str">
        <f>IFERROR(MID(VLOOKUP($B136,Seqs!$A:$B,2,0),AK136,1),"")</f>
        <v>D</v>
      </c>
      <c r="AK136" s="3">
        <v>175</v>
      </c>
      <c r="AL136" s="3" t="str">
        <f>IFERROR(MID(VLOOKUP($B136,Seqs!$A:$B,2,0),AM136,1),"")</f>
        <v>R</v>
      </c>
      <c r="AM136" s="3">
        <v>211</v>
      </c>
      <c r="AN136" s="3" t="str">
        <f>IFERROR(MID(VLOOKUP($B136,Seqs!$A:$B,2,0),AO136,1),"")</f>
        <v>R</v>
      </c>
      <c r="AO136" s="3">
        <v>217</v>
      </c>
      <c r="AP136" s="3" t="str">
        <f>IFERROR(MID(VLOOKUP($B136,Seqs!$A:$B,2,0),AQ136,1),"")</f>
        <v>Y</v>
      </c>
      <c r="AQ136" s="3">
        <v>250</v>
      </c>
      <c r="AR136" s="3" t="str">
        <f>IFERROR(MID(VLOOKUP($B136,Seqs!$A:$B,2,0),AS136,1),"")</f>
        <v>G</v>
      </c>
      <c r="AS136" s="3">
        <v>255</v>
      </c>
      <c r="AT136" s="3" t="str">
        <f>IFERROR(MID(VLOOKUP($B136,Seqs!$A:$B,2,0),AU136,1),"")</f>
        <v>L</v>
      </c>
      <c r="AU136" s="3">
        <v>279</v>
      </c>
      <c r="AV136" s="3" t="str">
        <f>IFERROR(MID(VLOOKUP($B136,Seqs!$A:$B,2,0),AW136,1),"")</f>
        <v>G</v>
      </c>
      <c r="AW136" s="3">
        <v>280</v>
      </c>
      <c r="AX136" s="3" t="str">
        <f>IFERROR(MID(VLOOKUP($B136,Seqs!$A:$B,2,0),AY136,1),"")</f>
        <v>Q</v>
      </c>
      <c r="AY136" s="3">
        <v>294</v>
      </c>
      <c r="AZ136" s="79" t="str">
        <f>VLOOKUP(B136,Classification!A:D,2,0)</f>
        <v>A</v>
      </c>
      <c r="BA136" s="96" t="str">
        <f>VLOOKUP(B136,Classification!A:D,4,0)</f>
        <v>Freefattyacid</v>
      </c>
      <c r="BB136" s="27" t="b">
        <f t="shared" si="755"/>
        <v>1</v>
      </c>
      <c r="BC136" s="23">
        <f t="shared" si="1145"/>
        <v>256</v>
      </c>
      <c r="BD136" s="35" t="s">
        <v>1379</v>
      </c>
      <c r="BE136" s="3" t="s">
        <v>23</v>
      </c>
      <c r="BF136" s="121" t="s">
        <v>23</v>
      </c>
      <c r="BG136" s="50" t="s">
        <v>1379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1146"/>
        <v>4</v>
      </c>
      <c r="BW136" s="73" t="str">
        <f t="shared" si="1147"/>
        <v>-</v>
      </c>
      <c r="BX136" s="74">
        <f t="shared" si="1148"/>
        <v>39</v>
      </c>
      <c r="BY136" s="73">
        <f t="shared" si="1149"/>
        <v>71</v>
      </c>
      <c r="BZ136" s="74">
        <f t="shared" si="1150"/>
        <v>75</v>
      </c>
      <c r="CA136" s="73">
        <f t="shared" si="1151"/>
        <v>111</v>
      </c>
      <c r="CB136" s="74">
        <f t="shared" si="1152"/>
        <v>119</v>
      </c>
      <c r="CC136" s="73">
        <f t="shared" si="1153"/>
        <v>170</v>
      </c>
      <c r="CD136" s="74">
        <f t="shared" si="1154"/>
        <v>175</v>
      </c>
      <c r="CE136" s="73">
        <f t="shared" si="1155"/>
        <v>217</v>
      </c>
      <c r="CF136" s="74">
        <f t="shared" si="1156"/>
        <v>255</v>
      </c>
      <c r="CG136" s="73">
        <f t="shared" si="1157"/>
        <v>280</v>
      </c>
      <c r="CH136" s="72">
        <f t="shared" si="1158"/>
        <v>37</v>
      </c>
      <c r="CI136" s="73" t="str">
        <f t="shared" si="1159"/>
        <v>-</v>
      </c>
      <c r="CJ136" s="74">
        <f t="shared" si="1160"/>
        <v>69</v>
      </c>
      <c r="CK136" s="74">
        <f t="shared" si="1161"/>
        <v>74</v>
      </c>
      <c r="CL136" s="74">
        <f t="shared" si="1162"/>
        <v>110</v>
      </c>
      <c r="CM136" s="74">
        <f t="shared" si="1163"/>
        <v>118</v>
      </c>
      <c r="CN136" s="74">
        <f t="shared" si="1164"/>
        <v>146</v>
      </c>
      <c r="CO136" s="74">
        <f t="shared" si="1165"/>
        <v>172</v>
      </c>
      <c r="CP136" s="74">
        <f t="shared" si="1166"/>
        <v>211</v>
      </c>
      <c r="CQ136" s="74">
        <f t="shared" si="1167"/>
        <v>250</v>
      </c>
      <c r="CR136" s="74">
        <f t="shared" si="1168"/>
        <v>279</v>
      </c>
      <c r="CS136" s="74">
        <f t="shared" si="1169"/>
        <v>294</v>
      </c>
      <c r="CT136" s="23" t="e">
        <f t="shared" si="1170"/>
        <v>#VALUE!</v>
      </c>
    </row>
    <row r="137" spans="1:1029" x14ac:dyDescent="0.2">
      <c r="A137" s="3" t="str">
        <f t="shared" si="754"/>
        <v>ffar1_human_4PHU</v>
      </c>
      <c r="B137" s="3" t="s">
        <v>1173</v>
      </c>
      <c r="C137" s="3" t="s">
        <v>52</v>
      </c>
      <c r="D137" s="3" t="str">
        <f>IFERROR(MID(VLOOKUP($B137,Seqs!$A:$B,2,0),E137,1),"")</f>
        <v>P</v>
      </c>
      <c r="E137" s="3">
        <v>4</v>
      </c>
      <c r="F137" s="3" t="str">
        <f>IFERROR(MID(VLOOKUP($B137,Seqs!$A:$B,2,0),G137,1),"")</f>
        <v>R</v>
      </c>
      <c r="G137" s="3">
        <v>37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39</v>
      </c>
      <c r="N137" s="3" t="str">
        <f>IFERROR(MID(VLOOKUP($B137,Seqs!$A:$B,2,0),O137,1),"")</f>
        <v>S</v>
      </c>
      <c r="O137" s="3">
        <v>69</v>
      </c>
      <c r="P137" s="3" t="str">
        <f>IFERROR(MID(VLOOKUP($B137,Seqs!$A:$B,2,0),Q137,1),"")</f>
        <v>A</v>
      </c>
      <c r="Q137" s="3">
        <v>71</v>
      </c>
      <c r="R137" s="3" t="str">
        <f>IFERROR(MID(VLOOKUP($B137,Seqs!$A:$B,2,0),S137,1),"")</f>
        <v>L</v>
      </c>
      <c r="S137" s="3">
        <v>74</v>
      </c>
      <c r="T137" s="3" t="str">
        <f>IFERROR(MID(VLOOKUP($B137,Seqs!$A:$B,2,0),U137,1),"")</f>
        <v>P</v>
      </c>
      <c r="U137" s="3">
        <v>75</v>
      </c>
      <c r="V137" s="3" t="str">
        <f>IFERROR(MID(VLOOKUP($B137,Seqs!$A:$B,2,0),W137,1),"")</f>
        <v>F</v>
      </c>
      <c r="W137" s="3">
        <v>110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C</v>
      </c>
      <c r="AC137" s="9">
        <v>121</v>
      </c>
      <c r="AD137" s="3" t="str">
        <f>IFERROR(MID(VLOOKUP($B137,Seqs!$A:$B,2,0),AE137,1),"")</f>
        <v>A</v>
      </c>
      <c r="AE137" s="3">
        <v>146</v>
      </c>
      <c r="AF137" s="3" t="str">
        <f>IFERROR(MID(VLOOKUP($B137,Seqs!$A:$B,2,0),AG137,1),"")</f>
        <v>C</v>
      </c>
      <c r="AG137" s="3">
        <v>170</v>
      </c>
      <c r="AH137" s="3" t="str">
        <f>IFERROR(MID(VLOOKUP($B137,Seqs!$A:$B,2,0),AI137,1),"")</f>
        <v>E</v>
      </c>
      <c r="AI137" s="3">
        <v>172</v>
      </c>
      <c r="AJ137" s="3" t="str">
        <f>IFERROR(MID(VLOOKUP($B137,Seqs!$A:$B,2,0),AK137,1),"")</f>
        <v>D</v>
      </c>
      <c r="AK137" s="3">
        <v>175</v>
      </c>
      <c r="AL137" s="3" t="str">
        <f>IFERROR(MID(VLOOKUP($B137,Seqs!$A:$B,2,0),AM137,1),"")</f>
        <v>A</v>
      </c>
      <c r="AM137" s="3">
        <v>210</v>
      </c>
      <c r="AN137" s="3" t="str">
        <f>IFERROR(MID(VLOOKUP($B137,Seqs!$A:$B,2,0),AO137,1),"")</f>
        <v>L</v>
      </c>
      <c r="AO137" s="3">
        <v>214</v>
      </c>
      <c r="AP137" s="3" t="str">
        <f>IFERROR(MID(VLOOKUP($B137,Seqs!$A:$B,2,0),AQ137,1),"")</f>
        <v>Y</v>
      </c>
      <c r="AQ137" s="3">
        <v>250</v>
      </c>
      <c r="AR137" s="3" t="str">
        <f>IFERROR(MID(VLOOKUP($B137,Seqs!$A:$B,2,0),AS137,1),"")</f>
        <v>G</v>
      </c>
      <c r="AS137" s="3">
        <v>255</v>
      </c>
      <c r="AT137" s="3" t="str">
        <f>IFERROR(MID(VLOOKUP($B137,Seqs!$A:$B,2,0),AU137,1),"")</f>
        <v>T</v>
      </c>
      <c r="AU137" s="3">
        <v>276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9" t="str">
        <f>VLOOKUP(B137,Classification!A:D,2,0)</f>
        <v>A</v>
      </c>
      <c r="BA137" s="96" t="str">
        <f>VLOOKUP(B137,Classification!A:D,4,0)</f>
        <v>Freefattyacid</v>
      </c>
      <c r="BB137" s="27" t="b">
        <f t="shared" si="755"/>
        <v>1</v>
      </c>
      <c r="BC137" s="23">
        <f t="shared" si="1145"/>
        <v>232</v>
      </c>
      <c r="BD137" s="16" t="s">
        <v>23</v>
      </c>
      <c r="BE137" s="3" t="s">
        <v>1439</v>
      </c>
      <c r="BF137" s="121">
        <v>2.33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1146"/>
        <v>4</v>
      </c>
      <c r="BW137" s="73" t="str">
        <f t="shared" si="1147"/>
        <v>-</v>
      </c>
      <c r="BX137" s="74">
        <f t="shared" si="1148"/>
        <v>39</v>
      </c>
      <c r="BY137" s="73">
        <f t="shared" si="1149"/>
        <v>71</v>
      </c>
      <c r="BZ137" s="74">
        <f t="shared" si="1150"/>
        <v>75</v>
      </c>
      <c r="CA137" s="73" t="str">
        <f t="shared" si="1151"/>
        <v>-</v>
      </c>
      <c r="CB137" s="74">
        <f t="shared" si="1152"/>
        <v>121</v>
      </c>
      <c r="CC137" s="73">
        <f t="shared" si="1153"/>
        <v>170</v>
      </c>
      <c r="CD137" s="74">
        <f t="shared" si="1154"/>
        <v>175</v>
      </c>
      <c r="CE137" s="73">
        <f t="shared" si="1155"/>
        <v>214</v>
      </c>
      <c r="CF137" s="74">
        <f t="shared" si="1156"/>
        <v>255</v>
      </c>
      <c r="CG137" s="73" t="str">
        <f t="shared" si="1157"/>
        <v>-</v>
      </c>
      <c r="CH137" s="72">
        <f t="shared" si="1158"/>
        <v>37</v>
      </c>
      <c r="CI137" s="73" t="str">
        <f t="shared" si="1159"/>
        <v>-</v>
      </c>
      <c r="CJ137" s="74">
        <f t="shared" si="1160"/>
        <v>69</v>
      </c>
      <c r="CK137" s="74">
        <f t="shared" si="1161"/>
        <v>74</v>
      </c>
      <c r="CL137" s="74">
        <f t="shared" si="1162"/>
        <v>110</v>
      </c>
      <c r="CM137" s="74" t="str">
        <f t="shared" si="1163"/>
        <v>-</v>
      </c>
      <c r="CN137" s="74">
        <f t="shared" si="1164"/>
        <v>146</v>
      </c>
      <c r="CO137" s="74">
        <f t="shared" si="1165"/>
        <v>172</v>
      </c>
      <c r="CP137" s="74">
        <f t="shared" si="1166"/>
        <v>210</v>
      </c>
      <c r="CQ137" s="74">
        <f t="shared" si="1167"/>
        <v>250</v>
      </c>
      <c r="CR137" s="74">
        <f t="shared" si="1168"/>
        <v>276</v>
      </c>
      <c r="CS137" s="74" t="str">
        <f t="shared" si="1169"/>
        <v>-</v>
      </c>
      <c r="CT137" s="23" t="e">
        <f t="shared" si="1170"/>
        <v>#VALUE!</v>
      </c>
    </row>
    <row r="138" spans="1:1029" x14ac:dyDescent="0.2">
      <c r="A138" s="3" t="str">
        <f t="shared" ref="A138" si="1227">CONCATENATE(B138,"_",C138)</f>
        <v>ffar1_human_5TZR</v>
      </c>
      <c r="B138" s="3" t="s">
        <v>1173</v>
      </c>
      <c r="C138" s="3" t="s">
        <v>1426</v>
      </c>
      <c r="D138" s="3" t="str">
        <f>IFERROR(MID(VLOOKUP($B138,Seqs!$A:$B,2,0),E138,1),"")</f>
        <v>P</v>
      </c>
      <c r="E138" s="3">
        <v>4</v>
      </c>
      <c r="F138" s="3" t="str">
        <f>IFERROR(MID(VLOOKUP($B138,Seqs!$A:$B,2,0),G138,1),"")</f>
        <v>R</v>
      </c>
      <c r="G138" s="3">
        <v>37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39</v>
      </c>
      <c r="N138" s="3" t="str">
        <f>IFERROR(MID(VLOOKUP($B138,Seqs!$A:$B,2,0),O138,1),"")</f>
        <v>S</v>
      </c>
      <c r="O138" s="3">
        <v>69</v>
      </c>
      <c r="P138" s="3" t="str">
        <f>IFERROR(MID(VLOOKUP($B138,Seqs!$A:$B,2,0),Q138,1),"")</f>
        <v>A</v>
      </c>
      <c r="Q138" s="3">
        <v>71</v>
      </c>
      <c r="R138" s="3" t="str">
        <f>IFERROR(MID(VLOOKUP($B138,Seqs!$A:$B,2,0),S138,1),"")</f>
        <v>L</v>
      </c>
      <c r="S138" s="3">
        <v>74</v>
      </c>
      <c r="T138" s="3" t="str">
        <f>IFERROR(MID(VLOOKUP($B138,Seqs!$A:$B,2,0),U138,1),"")</f>
        <v>P</v>
      </c>
      <c r="U138" s="3">
        <v>75</v>
      </c>
      <c r="V138" s="3" t="str">
        <f>IFERROR(MID(VLOOKUP($B138,Seqs!$A:$B,2,0),W138,1),"")</f>
        <v>F</v>
      </c>
      <c r="W138" s="3">
        <v>110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C</v>
      </c>
      <c r="AC138" s="3">
        <v>121</v>
      </c>
      <c r="AD138" s="3" t="str">
        <f>IFERROR(MID(VLOOKUP($B138,Seqs!$A:$B,2,0),AE138,1),"")</f>
        <v>A</v>
      </c>
      <c r="AE138" s="3">
        <v>146</v>
      </c>
      <c r="AF138" s="3" t="str">
        <f>IFERROR(MID(VLOOKUP($B138,Seqs!$A:$B,2,0),AG138,1),"")</f>
        <v>C</v>
      </c>
      <c r="AG138" s="3">
        <v>170</v>
      </c>
      <c r="AH138" s="3" t="str">
        <f>IFERROR(MID(VLOOKUP($B138,Seqs!$A:$B,2,0),AI138,1),"")</f>
        <v>E</v>
      </c>
      <c r="AI138" s="3">
        <v>172</v>
      </c>
      <c r="AJ138" s="3" t="str">
        <f>IFERROR(MID(VLOOKUP($B138,Seqs!$A:$B,2,0),AK138,1),"")</f>
        <v>D</v>
      </c>
      <c r="AK138" s="3">
        <v>175</v>
      </c>
      <c r="AL138" s="3" t="str">
        <f>IFERROR(MID(VLOOKUP($B138,Seqs!$A:$B,2,0),AM138,1),"")</f>
        <v>R</v>
      </c>
      <c r="AM138" s="3">
        <v>211</v>
      </c>
      <c r="AN138" s="3" t="str">
        <f>IFERROR(MID(VLOOKUP($B138,Seqs!$A:$B,2,0),AO138,1),"")</f>
        <v>L</v>
      </c>
      <c r="AO138" s="3">
        <v>214</v>
      </c>
      <c r="AP138" s="3" t="str">
        <f>IFERROR(MID(VLOOKUP($B138,Seqs!$A:$B,2,0),AQ138,1),"")</f>
        <v>Y</v>
      </c>
      <c r="AQ138" s="3">
        <v>250</v>
      </c>
      <c r="AR138" s="3" t="str">
        <f>IFERROR(MID(VLOOKUP($B138,Seqs!$A:$B,2,0),AS138,1),"")</f>
        <v>G</v>
      </c>
      <c r="AS138" s="3">
        <v>255</v>
      </c>
      <c r="AT138" s="3" t="str">
        <f>IFERROR(MID(VLOOKUP($B138,Seqs!$A:$B,2,0),AU138,1),"")</f>
        <v>T</v>
      </c>
      <c r="AU138" s="3">
        <v>276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9" t="str">
        <f>VLOOKUP(B138,Classification!A:D,2,0)</f>
        <v>A</v>
      </c>
      <c r="BA138" s="96" t="str">
        <f>VLOOKUP(B138,Classification!A:D,4,0)</f>
        <v>Freefattyacid</v>
      </c>
      <c r="BB138" s="27" t="b">
        <f t="shared" ref="BB138" si="1228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29">_xlfn.AGGREGATE(9,6,CH138:CS138)-_xlfn.AGGREGATE(9,6,BV138:CG138)+12</f>
        <v>233</v>
      </c>
      <c r="BD138" s="16" t="s">
        <v>23</v>
      </c>
      <c r="BE138" s="3" t="s">
        <v>1439</v>
      </c>
      <c r="BF138" s="121">
        <v>2.2000000000000002</v>
      </c>
      <c r="BG138" s="50" t="s">
        <v>1</v>
      </c>
      <c r="BH138" s="50" t="s">
        <v>1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ref="BV138" si="1230">E138</f>
        <v>4</v>
      </c>
      <c r="BW138" s="73" t="str">
        <f t="shared" ref="BW138" si="1231">I138</f>
        <v>-</v>
      </c>
      <c r="BX138" s="74">
        <f t="shared" ref="BX138" si="1232">M138</f>
        <v>39</v>
      </c>
      <c r="BY138" s="73">
        <f t="shared" ref="BY138" si="1233">Q138</f>
        <v>71</v>
      </c>
      <c r="BZ138" s="74">
        <f t="shared" ref="BZ138" si="1234">U138</f>
        <v>75</v>
      </c>
      <c r="CA138" s="73" t="str">
        <f t="shared" ref="CA138" si="1235">Y138</f>
        <v>-</v>
      </c>
      <c r="CB138" s="74">
        <f t="shared" ref="CB138" si="1236">AC138</f>
        <v>121</v>
      </c>
      <c r="CC138" s="73">
        <f t="shared" ref="CC138" si="1237">AG138</f>
        <v>170</v>
      </c>
      <c r="CD138" s="74">
        <f t="shared" ref="CD138" si="1238">AK138</f>
        <v>175</v>
      </c>
      <c r="CE138" s="73">
        <f t="shared" ref="CE138" si="1239">AO138</f>
        <v>214</v>
      </c>
      <c r="CF138" s="74">
        <f t="shared" ref="CF138" si="1240">AS138</f>
        <v>255</v>
      </c>
      <c r="CG138" s="73" t="str">
        <f t="shared" ref="CG138" si="1241">AW138</f>
        <v>-</v>
      </c>
      <c r="CH138" s="72">
        <f t="shared" ref="CH138" si="1242">G138</f>
        <v>37</v>
      </c>
      <c r="CI138" s="73" t="str">
        <f t="shared" ref="CI138" si="1243">K138</f>
        <v>-</v>
      </c>
      <c r="CJ138" s="74">
        <f t="shared" ref="CJ138" si="1244">O138</f>
        <v>69</v>
      </c>
      <c r="CK138" s="74">
        <f t="shared" ref="CK138" si="1245">S138</f>
        <v>74</v>
      </c>
      <c r="CL138" s="74">
        <f t="shared" ref="CL138" si="1246">W138</f>
        <v>110</v>
      </c>
      <c r="CM138" s="74" t="str">
        <f t="shared" ref="CM138" si="1247">AA138</f>
        <v>-</v>
      </c>
      <c r="CN138" s="74">
        <f t="shared" ref="CN138" si="1248">AE138</f>
        <v>146</v>
      </c>
      <c r="CO138" s="74">
        <f t="shared" ref="CO138" si="1249">AI138</f>
        <v>172</v>
      </c>
      <c r="CP138" s="74">
        <f t="shared" ref="CP138" si="1250">AM138</f>
        <v>211</v>
      </c>
      <c r="CQ138" s="74">
        <f t="shared" ref="CQ138" si="1251">AQ138</f>
        <v>250</v>
      </c>
      <c r="CR138" s="74">
        <f t="shared" ref="CR138" si="1252">AU138</f>
        <v>276</v>
      </c>
      <c r="CS138" s="74" t="str">
        <f t="shared" ref="CS138" si="1253">AY138</f>
        <v>-</v>
      </c>
      <c r="CT138" s="23" t="e">
        <f t="shared" ref="CT138" si="1254">M138-K138</f>
        <v>#VALUE!</v>
      </c>
    </row>
    <row r="139" spans="1:1029" x14ac:dyDescent="0.2">
      <c r="A139" s="3" t="str">
        <f t="shared" ref="A139" si="1255">CONCATENATE(B139,"_",C139)</f>
        <v>ffar1_human_5TZY</v>
      </c>
      <c r="B139" s="3" t="s">
        <v>1173</v>
      </c>
      <c r="C139" s="3" t="s">
        <v>1427</v>
      </c>
      <c r="D139" s="3" t="str">
        <f>IFERROR(MID(VLOOKUP($B139,Seqs!$A:$B,2,0),E139,1),"")</f>
        <v>P</v>
      </c>
      <c r="E139" s="3">
        <v>4</v>
      </c>
      <c r="F139" s="3" t="str">
        <f>IFERROR(MID(VLOOKUP($B139,Seqs!$A:$B,2,0),G139,1),"")</f>
        <v>R</v>
      </c>
      <c r="G139" s="3">
        <v>37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T</v>
      </c>
      <c r="M139" s="3">
        <v>39</v>
      </c>
      <c r="N139" s="3" t="str">
        <f>IFERROR(MID(VLOOKUP($B139,Seqs!$A:$B,2,0),O139,1),"")</f>
        <v>A</v>
      </c>
      <c r="O139" s="3">
        <v>68</v>
      </c>
      <c r="P139" s="3" t="str">
        <f>IFERROR(MID(VLOOKUP($B139,Seqs!$A:$B,2,0),Q139,1),"")</f>
        <v>A</v>
      </c>
      <c r="Q139" s="3">
        <v>71</v>
      </c>
      <c r="R139" s="3" t="str">
        <f>IFERROR(MID(VLOOKUP($B139,Seqs!$A:$B,2,0),S139,1),"")</f>
        <v>L</v>
      </c>
      <c r="S139" s="3">
        <v>74</v>
      </c>
      <c r="T139" s="3" t="str">
        <f>IFERROR(MID(VLOOKUP($B139,Seqs!$A:$B,2,0),U139,1),"")</f>
        <v>P</v>
      </c>
      <c r="U139" s="3">
        <v>75</v>
      </c>
      <c r="V139" s="3" t="str">
        <f>IFERROR(MID(VLOOKUP($B139,Seqs!$A:$B,2,0),W139,1),"")</f>
        <v>F</v>
      </c>
      <c r="W139" s="3">
        <v>110</v>
      </c>
      <c r="X139" s="3" t="str">
        <f>IFERROR(MID(VLOOKUP($B139,Seqs!$A:$B,2,0),Y139,1),"")</f>
        <v>P</v>
      </c>
      <c r="Y139" s="3">
        <v>111</v>
      </c>
      <c r="Z139" s="3" t="str">
        <f>IFERROR(MID(VLOOKUP($B139,Seqs!$A:$B,2,0),AA139,1),"")</f>
        <v>R</v>
      </c>
      <c r="AA139" s="3">
        <v>118</v>
      </c>
      <c r="AB139" s="3" t="str">
        <f>IFERROR(MID(VLOOKUP($B139,Seqs!$A:$B,2,0),AC139,1),"")</f>
        <v>R</v>
      </c>
      <c r="AC139" s="3">
        <v>119</v>
      </c>
      <c r="AD139" s="3" t="str">
        <f>IFERROR(MID(VLOOKUP($B139,Seqs!$A:$B,2,0),AE139,1),"")</f>
        <v>A</v>
      </c>
      <c r="AE139" s="3">
        <v>146</v>
      </c>
      <c r="AF139" s="3" t="str">
        <f>IFERROR(MID(VLOOKUP($B139,Seqs!$A:$B,2,0),AG139,1),"")</f>
        <v>C</v>
      </c>
      <c r="AG139" s="3">
        <v>170</v>
      </c>
      <c r="AH139" s="3" t="str">
        <f>IFERROR(MID(VLOOKUP($B139,Seqs!$A:$B,2,0),AI139,1),"")</f>
        <v>E</v>
      </c>
      <c r="AI139" s="3">
        <v>172</v>
      </c>
      <c r="AJ139" s="3" t="str">
        <f>IFERROR(MID(VLOOKUP($B139,Seqs!$A:$B,2,0),AK139,1),"")</f>
        <v>D</v>
      </c>
      <c r="AK139" s="3">
        <v>175</v>
      </c>
      <c r="AL139" s="3" t="str">
        <f>IFERROR(MID(VLOOKUP($B139,Seqs!$A:$B,2,0),AM139,1),"")</f>
        <v>R</v>
      </c>
      <c r="AM139" s="3">
        <v>211</v>
      </c>
      <c r="AN139" s="3" t="str">
        <f>IFERROR(MID(VLOOKUP($B139,Seqs!$A:$B,2,0),AO139,1),"")</f>
        <v>T</v>
      </c>
      <c r="AO139" s="3">
        <v>215</v>
      </c>
      <c r="AP139" s="3" t="str">
        <f>IFERROR(MID(VLOOKUP($B139,Seqs!$A:$B,2,0),AQ139,1),"")</f>
        <v>Y</v>
      </c>
      <c r="AQ139" s="3">
        <v>250</v>
      </c>
      <c r="AR139" s="3" t="str">
        <f>IFERROR(MID(VLOOKUP($B139,Seqs!$A:$B,2,0),AS139,1),"")</f>
        <v>G</v>
      </c>
      <c r="AS139" s="3">
        <v>254</v>
      </c>
      <c r="AT139" s="3" t="str">
        <f>IFERROR(MID(VLOOKUP($B139,Seqs!$A:$B,2,0),AU139,1),"")</f>
        <v>G</v>
      </c>
      <c r="AU139" s="3">
        <v>277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9" t="str">
        <f>VLOOKUP(B139,Classification!A:D,2,0)</f>
        <v>A</v>
      </c>
      <c r="BA139" s="96" t="str">
        <f>VLOOKUP(B139,Classification!A:D,4,0)</f>
        <v>Freefattyacid</v>
      </c>
      <c r="BB139" s="27" t="b">
        <f t="shared" ref="BB139" si="1256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57">_xlfn.AGGREGATE(9,6,CH139:CS139)-_xlfn.AGGREGATE(9,6,BV139:CG139)+12</f>
        <v>242</v>
      </c>
      <c r="BD139" s="16" t="s">
        <v>1440</v>
      </c>
      <c r="BE139" s="3" t="s">
        <v>1439</v>
      </c>
      <c r="BF139" s="121">
        <v>3.22</v>
      </c>
      <c r="BG139" s="50" t="s">
        <v>1</v>
      </c>
      <c r="BH139" s="50" t="s">
        <v>1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ref="BV139" si="1258">E139</f>
        <v>4</v>
      </c>
      <c r="BW139" s="73" t="str">
        <f t="shared" ref="BW139" si="1259">I139</f>
        <v>-</v>
      </c>
      <c r="BX139" s="74">
        <f t="shared" ref="BX139" si="1260">M139</f>
        <v>39</v>
      </c>
      <c r="BY139" s="73">
        <f t="shared" ref="BY139" si="1261">Q139</f>
        <v>71</v>
      </c>
      <c r="BZ139" s="74">
        <f t="shared" ref="BZ139" si="1262">U139</f>
        <v>75</v>
      </c>
      <c r="CA139" s="73">
        <f t="shared" ref="CA139" si="1263">Y139</f>
        <v>111</v>
      </c>
      <c r="CB139" s="74">
        <f t="shared" ref="CB139" si="1264">AC139</f>
        <v>119</v>
      </c>
      <c r="CC139" s="73">
        <f t="shared" ref="CC139" si="1265">AG139</f>
        <v>170</v>
      </c>
      <c r="CD139" s="74">
        <f t="shared" ref="CD139" si="1266">AK139</f>
        <v>175</v>
      </c>
      <c r="CE139" s="73">
        <f t="shared" ref="CE139" si="1267">AO139</f>
        <v>215</v>
      </c>
      <c r="CF139" s="74">
        <f t="shared" ref="CF139" si="1268">AS139</f>
        <v>254</v>
      </c>
      <c r="CG139" s="73" t="str">
        <f t="shared" ref="CG139" si="1269">AW139</f>
        <v>-</v>
      </c>
      <c r="CH139" s="72">
        <f t="shared" ref="CH139" si="1270">G139</f>
        <v>37</v>
      </c>
      <c r="CI139" s="73" t="str">
        <f t="shared" ref="CI139" si="1271">K139</f>
        <v>-</v>
      </c>
      <c r="CJ139" s="74">
        <f t="shared" ref="CJ139" si="1272">O139</f>
        <v>68</v>
      </c>
      <c r="CK139" s="74">
        <f t="shared" ref="CK139" si="1273">S139</f>
        <v>74</v>
      </c>
      <c r="CL139" s="74">
        <f t="shared" ref="CL139" si="1274">W139</f>
        <v>110</v>
      </c>
      <c r="CM139" s="74">
        <f t="shared" ref="CM139" si="1275">AA139</f>
        <v>118</v>
      </c>
      <c r="CN139" s="74">
        <f t="shared" ref="CN139" si="1276">AE139</f>
        <v>146</v>
      </c>
      <c r="CO139" s="74">
        <f t="shared" ref="CO139" si="1277">AI139</f>
        <v>172</v>
      </c>
      <c r="CP139" s="74">
        <f t="shared" ref="CP139" si="1278">AM139</f>
        <v>211</v>
      </c>
      <c r="CQ139" s="74">
        <f t="shared" ref="CQ139" si="1279">AQ139</f>
        <v>250</v>
      </c>
      <c r="CR139" s="74">
        <f t="shared" ref="CR139" si="1280">AU139</f>
        <v>277</v>
      </c>
      <c r="CS139" s="74" t="str">
        <f t="shared" ref="CS139" si="1281">AY139</f>
        <v>-</v>
      </c>
      <c r="CT139" s="23" t="e">
        <f t="shared" ref="CT139" si="1282">M139-K139</f>
        <v>#VALUE!</v>
      </c>
    </row>
    <row r="140" spans="1:1029" x14ac:dyDescent="0.2">
      <c r="A140" s="3" t="str">
        <f t="shared" si="754"/>
        <v>hrh1_human__wt</v>
      </c>
      <c r="B140" s="3" t="s">
        <v>278</v>
      </c>
      <c r="C140" s="3" t="s">
        <v>100</v>
      </c>
      <c r="D140" s="3" t="str">
        <f>IFERROR(MID(VLOOKUP($B140,Seqs!$A:$B,2,0),E140,1),"")</f>
        <v>P</v>
      </c>
      <c r="E140" s="3">
        <v>29</v>
      </c>
      <c r="F140" s="3" t="str">
        <f>IFERROR(MID(VLOOKUP($B140,Seqs!$A:$B,2,0),G140,1),"")</f>
        <v>E</v>
      </c>
      <c r="G140" s="3">
        <v>55</v>
      </c>
      <c r="H140" s="3" t="str">
        <f>IFERROR(MID(VLOOKUP($B140,Seqs!$A:$B,2,0),I140,1),"")</f>
        <v>R</v>
      </c>
      <c r="I140" s="23">
        <v>56</v>
      </c>
      <c r="J140" s="3" t="str">
        <f>IFERROR(MID(VLOOKUP($B140,Seqs!$A:$B,2,0),K140,1),"")</f>
        <v>H</v>
      </c>
      <c r="K140" s="23">
        <v>59</v>
      </c>
      <c r="L140" s="3" t="str">
        <f>IFERROR(MID(VLOOKUP($B140,Seqs!$A:$B,2,0),M140,1),"")</f>
        <v>T</v>
      </c>
      <c r="M140" s="3">
        <v>60</v>
      </c>
      <c r="N140" s="3" t="str">
        <f>IFERROR(MID(VLOOKUP($B140,Seqs!$A:$B,2,0),O140,1),"")</f>
        <v>M</v>
      </c>
      <c r="O140" s="3">
        <v>90</v>
      </c>
      <c r="P140" s="3" t="str">
        <f>IFERROR(MID(VLOOKUP($B140,Seqs!$A:$B,2,0),Q140,1),"")</f>
        <v>K</v>
      </c>
      <c r="Q140" s="3">
        <v>92</v>
      </c>
      <c r="R140" s="3" t="str">
        <f>IFERROR(MID(VLOOKUP($B140,Seqs!$A:$B,2,0),S140,1),"")</f>
        <v>L</v>
      </c>
      <c r="S140" s="3">
        <v>95</v>
      </c>
      <c r="T140" s="3" t="str">
        <f>IFERROR(MID(VLOOKUP($B140,Seqs!$A:$B,2,0),U140,1),"")</f>
        <v>G</v>
      </c>
      <c r="U140" s="3">
        <v>96</v>
      </c>
      <c r="V140" s="3" t="str">
        <f>IFERROR(MID(VLOOKUP($B140,Seqs!$A:$B,2,0),W140,1),"")</f>
        <v>Q</v>
      </c>
      <c r="W140" s="3">
        <v>131</v>
      </c>
      <c r="X140" s="3" t="str">
        <f>IFERROR(MID(VLOOKUP($B140,Seqs!$A:$B,2,0),Y140,1),"")</f>
        <v>P</v>
      </c>
      <c r="Y140" s="3">
        <v>132</v>
      </c>
      <c r="Z140" s="3" t="str">
        <f>IFERROR(MID(VLOOKUP($B140,Seqs!$A:$B,2,0),AA140,1),"")</f>
        <v>R</v>
      </c>
      <c r="AA140" s="3">
        <v>139</v>
      </c>
      <c r="AB140" s="3" t="str">
        <f>IFERROR(MID(VLOOKUP($B140,Seqs!$A:$B,2,0),AC140,1),"")</f>
        <v>T</v>
      </c>
      <c r="AC140" s="9">
        <v>140</v>
      </c>
      <c r="AD140" s="3" t="str">
        <f>IFERROR(MID(VLOOKUP($B140,Seqs!$A:$B,2,0),AE140,1),"")</f>
        <v>G</v>
      </c>
      <c r="AE140" s="3">
        <v>164</v>
      </c>
      <c r="AF140" s="3" t="str">
        <f>IFERROR(MID(VLOOKUP($B140,Seqs!$A:$B,2,0),AG140,1),"")</f>
        <v>C</v>
      </c>
      <c r="AG140" s="3">
        <v>180</v>
      </c>
      <c r="AH140" s="3" t="str">
        <f>IFERROR(MID(VLOOKUP($B140,Seqs!$A:$B,2,0),AI140,1),"")</f>
        <v>T</v>
      </c>
      <c r="AI140" s="3">
        <v>182</v>
      </c>
      <c r="AJ140" s="3" t="str">
        <f>IFERROR(MID(VLOOKUP($B140,Seqs!$A:$B,2,0),AK140,1),"")</f>
        <v>V</v>
      </c>
      <c r="AK140" s="3">
        <v>187</v>
      </c>
      <c r="AL140" s="3" t="str">
        <f>IFERROR(MID(VLOOKUP($B140,Seqs!$A:$B,2,0),AM140,1),"")</f>
        <v>N</v>
      </c>
      <c r="AM140" s="3">
        <v>228</v>
      </c>
      <c r="AN140" s="3" t="str">
        <f>IFERROR(MID(VLOOKUP($B140,Seqs!$A:$B,2,0),AO140,1),"")</f>
        <v>G</v>
      </c>
      <c r="AO140" s="3">
        <v>404</v>
      </c>
      <c r="AP140" s="3" t="str">
        <f>IFERROR(MID(VLOOKUP($B140,Seqs!$A:$B,2,0),AQ140,1),"")</f>
        <v>C</v>
      </c>
      <c r="AQ140" s="3">
        <v>441</v>
      </c>
      <c r="AR140" s="3" t="str">
        <f>IFERROR(MID(VLOOKUP($B140,Seqs!$A:$B,2,0),AS140,1),"")</f>
        <v>N</v>
      </c>
      <c r="AS140" s="3">
        <v>446</v>
      </c>
      <c r="AT140" s="3" t="str">
        <f>IFERROR(MID(VLOOKUP($B140,Seqs!$A:$B,2,0),AU140,1),"")</f>
        <v>C</v>
      </c>
      <c r="AU140" s="3">
        <v>471</v>
      </c>
      <c r="AV140" s="3" t="str">
        <f>IFERROR(MID(VLOOKUP($B140,Seqs!$A:$B,2,0),AW140,1),"")</f>
        <v>N</v>
      </c>
      <c r="AW140" s="3">
        <v>472</v>
      </c>
      <c r="AX140" s="3" t="str">
        <f>IFERROR(MID(VLOOKUP($B140,Seqs!$A:$B,2,0),AY140,1),"")</f>
        <v>H</v>
      </c>
      <c r="AY140" s="3">
        <v>484</v>
      </c>
      <c r="AZ140" s="79" t="str">
        <f>VLOOKUP(B140,Classification!A:D,2,0)</f>
        <v>A</v>
      </c>
      <c r="BA140" s="96" t="str">
        <f>VLOOKUP(B140,Classification!A:D,4,0)</f>
        <v>Histamine</v>
      </c>
      <c r="BB140" s="27" t="b">
        <f t="shared" si="755"/>
        <v>1</v>
      </c>
      <c r="BC140" s="23">
        <f t="shared" si="1145"/>
        <v>257</v>
      </c>
      <c r="BD140" s="35" t="s">
        <v>1379</v>
      </c>
      <c r="BE140" s="3" t="s">
        <v>23</v>
      </c>
      <c r="BF140" s="121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1146"/>
        <v>29</v>
      </c>
      <c r="BW140" s="73">
        <f t="shared" si="1147"/>
        <v>56</v>
      </c>
      <c r="BX140" s="74">
        <f t="shared" si="1148"/>
        <v>60</v>
      </c>
      <c r="BY140" s="73">
        <f t="shared" si="1149"/>
        <v>92</v>
      </c>
      <c r="BZ140" s="74">
        <f t="shared" si="1150"/>
        <v>96</v>
      </c>
      <c r="CA140" s="73">
        <f t="shared" si="1151"/>
        <v>132</v>
      </c>
      <c r="CB140" s="74">
        <f t="shared" si="1152"/>
        <v>140</v>
      </c>
      <c r="CC140" s="73">
        <f t="shared" si="1153"/>
        <v>180</v>
      </c>
      <c r="CD140" s="74">
        <f t="shared" si="1154"/>
        <v>187</v>
      </c>
      <c r="CE140" s="73">
        <f t="shared" si="1155"/>
        <v>404</v>
      </c>
      <c r="CF140" s="74">
        <f t="shared" si="1156"/>
        <v>446</v>
      </c>
      <c r="CG140" s="73">
        <f t="shared" si="1157"/>
        <v>472</v>
      </c>
      <c r="CH140" s="72">
        <f t="shared" si="1158"/>
        <v>55</v>
      </c>
      <c r="CI140" s="73">
        <f t="shared" si="1159"/>
        <v>59</v>
      </c>
      <c r="CJ140" s="74">
        <f t="shared" si="1160"/>
        <v>90</v>
      </c>
      <c r="CK140" s="74">
        <f t="shared" si="1161"/>
        <v>95</v>
      </c>
      <c r="CL140" s="74">
        <f t="shared" si="1162"/>
        <v>131</v>
      </c>
      <c r="CM140" s="74">
        <f t="shared" si="1163"/>
        <v>139</v>
      </c>
      <c r="CN140" s="74">
        <f t="shared" si="1164"/>
        <v>164</v>
      </c>
      <c r="CO140" s="74">
        <f t="shared" si="1165"/>
        <v>182</v>
      </c>
      <c r="CP140" s="74">
        <f t="shared" si="1166"/>
        <v>228</v>
      </c>
      <c r="CQ140" s="74">
        <f t="shared" si="1167"/>
        <v>441</v>
      </c>
      <c r="CR140" s="74">
        <f t="shared" si="1168"/>
        <v>471</v>
      </c>
      <c r="CS140" s="74">
        <f t="shared" si="1169"/>
        <v>484</v>
      </c>
      <c r="CT140" s="23">
        <f t="shared" si="1170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754"/>
        <v>hrh1_human_3RZE</v>
      </c>
      <c r="B141" s="3" t="s">
        <v>278</v>
      </c>
      <c r="C141" s="3" t="s">
        <v>73</v>
      </c>
      <c r="D141" s="3" t="str">
        <f>IFERROR(MID(VLOOKUP($B141,Seqs!$A:$B,2,0),E141,1),"")</f>
        <v>V</v>
      </c>
      <c r="E141" s="3">
        <v>33</v>
      </c>
      <c r="F141" s="3" t="str">
        <f>IFERROR(MID(VLOOKUP($B141,Seqs!$A:$B,2,0),G141,1),"")</f>
        <v>E</v>
      </c>
      <c r="G141" s="3">
        <v>55</v>
      </c>
      <c r="H141" s="3" t="str">
        <f>IFERROR(MID(VLOOKUP($B141,Seqs!$A:$B,2,0),I141,1),"")</f>
        <v>R</v>
      </c>
      <c r="I141" s="23">
        <v>56</v>
      </c>
      <c r="J141" s="3" t="str">
        <f>IFERROR(MID(VLOOKUP($B141,Seqs!$A:$B,2,0),K141,1),"")</f>
        <v>H</v>
      </c>
      <c r="K141" s="23">
        <v>59</v>
      </c>
      <c r="L141" s="3" t="str">
        <f>IFERROR(MID(VLOOKUP($B141,Seqs!$A:$B,2,0),M141,1),"")</f>
        <v>T</v>
      </c>
      <c r="M141" s="3">
        <v>60</v>
      </c>
      <c r="N141" s="3" t="str">
        <f>IFERROR(MID(VLOOKUP($B141,Seqs!$A:$B,2,0),O141,1),"")</f>
        <v>M</v>
      </c>
      <c r="O141" s="3">
        <v>90</v>
      </c>
      <c r="P141" s="3" t="str">
        <f>IFERROR(MID(VLOOKUP($B141,Seqs!$A:$B,2,0),Q141,1),"")</f>
        <v>K</v>
      </c>
      <c r="Q141" s="3">
        <v>92</v>
      </c>
      <c r="R141" s="3" t="str">
        <f>IFERROR(MID(VLOOKUP($B141,Seqs!$A:$B,2,0),S141,1),"")</f>
        <v>L</v>
      </c>
      <c r="S141" s="3">
        <v>95</v>
      </c>
      <c r="T141" s="3" t="str">
        <f>IFERROR(MID(VLOOKUP($B141,Seqs!$A:$B,2,0),U141,1),"")</f>
        <v>G</v>
      </c>
      <c r="U141" s="3">
        <v>96</v>
      </c>
      <c r="V141" s="3" t="str">
        <f>IFERROR(MID(VLOOKUP($B141,Seqs!$A:$B,2,0),W141,1),"")</f>
        <v>Q</v>
      </c>
      <c r="W141" s="3">
        <v>131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T</v>
      </c>
      <c r="AC141" s="9">
        <v>140</v>
      </c>
      <c r="AD141" s="3" t="str">
        <f>IFERROR(MID(VLOOKUP($B141,Seqs!$A:$B,2,0),AE141,1),"")</f>
        <v>G</v>
      </c>
      <c r="AE141" s="3">
        <v>164</v>
      </c>
      <c r="AF141" s="3" t="str">
        <f>IFERROR(MID(VLOOKUP($B141,Seqs!$A:$B,2,0),AG141,1),"")</f>
        <v>C</v>
      </c>
      <c r="AG141" s="3">
        <v>180</v>
      </c>
      <c r="AH141" s="3" t="str">
        <f>IFERROR(MID(VLOOKUP($B141,Seqs!$A:$B,2,0),AI141,1),"")</f>
        <v>T</v>
      </c>
      <c r="AI141" s="3">
        <v>182</v>
      </c>
      <c r="AJ141" s="3" t="str">
        <f>IFERROR(MID(VLOOKUP($B141,Seqs!$A:$B,2,0),AK141,1),"")</f>
        <v>V</v>
      </c>
      <c r="AK141" s="3">
        <v>187</v>
      </c>
      <c r="AL141" s="3" t="str">
        <f>IFERROR(MID(VLOOKUP($B141,Seqs!$A:$B,2,0),AM141,1),"")</f>
        <v>V</v>
      </c>
      <c r="AM141" s="3">
        <v>217</v>
      </c>
      <c r="AN141" s="3" t="str">
        <f>IFERROR(MID(VLOOKUP($B141,Seqs!$A:$B,2,0),AO141,1),"")</f>
        <v>N</v>
      </c>
      <c r="AO141" s="3">
        <v>408</v>
      </c>
      <c r="AP141" s="3" t="str">
        <f>IFERROR(MID(VLOOKUP($B141,Seqs!$A:$B,2,0),AQ141,1),"")</f>
        <v>C</v>
      </c>
      <c r="AQ141" s="3">
        <v>441</v>
      </c>
      <c r="AR141" s="3" t="str">
        <f>IFERROR(MID(VLOOKUP($B141,Seqs!$A:$B,2,0),AS141,1),"")</f>
        <v>N</v>
      </c>
      <c r="AS141" s="3">
        <v>446</v>
      </c>
      <c r="AT141" s="3" t="str">
        <f>IFERROR(MID(VLOOKUP($B141,Seqs!$A:$B,2,0),AU141,1),"")</f>
        <v>C</v>
      </c>
      <c r="AU141" s="3">
        <v>471</v>
      </c>
      <c r="AV141" s="3" t="str">
        <f>IFERROR(MID(VLOOKUP($B141,Seqs!$A:$B,2,0),AW141,1),"")</f>
        <v>N</v>
      </c>
      <c r="AW141" s="3">
        <v>472</v>
      </c>
      <c r="AX141" s="3" t="str">
        <f>IFERROR(MID(VLOOKUP($B141,Seqs!$A:$B,2,0),AY141,1),"")</f>
        <v>H</v>
      </c>
      <c r="AY141" s="3">
        <v>484</v>
      </c>
      <c r="AZ141" s="79" t="str">
        <f>VLOOKUP(B141,Classification!A:D,2,0)</f>
        <v>A</v>
      </c>
      <c r="BA141" s="96" t="str">
        <f>VLOOKUP(B141,Classification!A:D,4,0)</f>
        <v>Histamine</v>
      </c>
      <c r="BB141" s="27" t="b">
        <f t="shared" si="755"/>
        <v>1</v>
      </c>
      <c r="BC141" s="23">
        <f t="shared" si="1145"/>
        <v>231</v>
      </c>
      <c r="BD141" s="16" t="s">
        <v>1383</v>
      </c>
      <c r="BE141" s="3" t="s">
        <v>1381</v>
      </c>
      <c r="BF141" s="121">
        <v>3.1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1146"/>
        <v>33</v>
      </c>
      <c r="BW141" s="73">
        <f t="shared" si="1147"/>
        <v>56</v>
      </c>
      <c r="BX141" s="74">
        <f t="shared" si="1148"/>
        <v>60</v>
      </c>
      <c r="BY141" s="73">
        <f t="shared" si="1149"/>
        <v>92</v>
      </c>
      <c r="BZ141" s="74">
        <f t="shared" si="1150"/>
        <v>96</v>
      </c>
      <c r="CA141" s="73" t="str">
        <f t="shared" si="1151"/>
        <v>-</v>
      </c>
      <c r="CB141" s="74">
        <f t="shared" si="1152"/>
        <v>140</v>
      </c>
      <c r="CC141" s="73">
        <f t="shared" si="1153"/>
        <v>180</v>
      </c>
      <c r="CD141" s="74">
        <f t="shared" si="1154"/>
        <v>187</v>
      </c>
      <c r="CE141" s="73">
        <f t="shared" si="1155"/>
        <v>408</v>
      </c>
      <c r="CF141" s="74">
        <f t="shared" si="1156"/>
        <v>446</v>
      </c>
      <c r="CG141" s="73">
        <f t="shared" si="1157"/>
        <v>472</v>
      </c>
      <c r="CH141" s="72">
        <f t="shared" si="1158"/>
        <v>55</v>
      </c>
      <c r="CI141" s="73">
        <f t="shared" si="1159"/>
        <v>59</v>
      </c>
      <c r="CJ141" s="74">
        <f t="shared" si="1160"/>
        <v>90</v>
      </c>
      <c r="CK141" s="74">
        <f t="shared" si="1161"/>
        <v>95</v>
      </c>
      <c r="CL141" s="74">
        <f t="shared" si="1162"/>
        <v>131</v>
      </c>
      <c r="CM141" s="74" t="str">
        <f t="shared" si="1163"/>
        <v>-</v>
      </c>
      <c r="CN141" s="74">
        <f t="shared" si="1164"/>
        <v>164</v>
      </c>
      <c r="CO141" s="74">
        <f t="shared" si="1165"/>
        <v>182</v>
      </c>
      <c r="CP141" s="74">
        <f t="shared" si="1166"/>
        <v>217</v>
      </c>
      <c r="CQ141" s="74">
        <f t="shared" si="1167"/>
        <v>441</v>
      </c>
      <c r="CR141" s="74">
        <f t="shared" si="1168"/>
        <v>471</v>
      </c>
      <c r="CS141" s="74">
        <f t="shared" si="1169"/>
        <v>484</v>
      </c>
      <c r="CT141" s="23">
        <f t="shared" si="1170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ref="A142:A175" si="1283">CONCATENATE(B142,"_",C142)</f>
        <v>lpar1_human__wt</v>
      </c>
      <c r="B142" s="3" t="s">
        <v>103</v>
      </c>
      <c r="C142" s="3" t="s">
        <v>100</v>
      </c>
      <c r="D142" s="3" t="str">
        <f>IFERROR(MID(VLOOKUP($B142,Seqs!$A:$B,2,0),E142,1),"")</f>
        <v>T</v>
      </c>
      <c r="E142" s="3">
        <v>47</v>
      </c>
      <c r="F142" s="3" t="str">
        <f>IFERROR(MID(VLOOKUP($B142,Seqs!$A:$B,2,0),G142,1),"")</f>
        <v>N</v>
      </c>
      <c r="G142" s="3">
        <v>77</v>
      </c>
      <c r="H142" s="3" t="str">
        <f>IFERROR(MID(VLOOKUP($B142,Seqs!$A:$B,2,0),I142,1),"")</f>
        <v>R</v>
      </c>
      <c r="I142" s="23">
        <v>78</v>
      </c>
      <c r="J142" s="3" t="str">
        <f>IFERROR(MID(VLOOKUP($B142,Seqs!$A:$B,2,0),K142,1),"")</f>
        <v>H</v>
      </c>
      <c r="K142" s="23">
        <v>81</v>
      </c>
      <c r="L142" s="3" t="str">
        <f>IFERROR(MID(VLOOKUP($B142,Seqs!$A:$B,2,0),M142,1),"")</f>
        <v>F</v>
      </c>
      <c r="M142" s="3">
        <v>82</v>
      </c>
      <c r="N142" s="3" t="str">
        <f>IFERROR(MID(VLOOKUP($B142,Seqs!$A:$B,2,0),O142,1),"")</f>
        <v>N</v>
      </c>
      <c r="O142" s="3">
        <v>108</v>
      </c>
      <c r="P142" s="3" t="str">
        <f>IFERROR(MID(VLOOKUP($B142,Seqs!$A:$B,2,0),Q142,1),"")</f>
        <v>G</v>
      </c>
      <c r="Q142" s="3">
        <v>110</v>
      </c>
      <c r="R142" s="3" t="str">
        <f>IFERROR(MID(VLOOKUP($B142,Seqs!$A:$B,2,0),S142,1),"")</f>
        <v>L</v>
      </c>
      <c r="S142" s="3">
        <v>116</v>
      </c>
      <c r="T142" s="3" t="str">
        <f>IFERROR(MID(VLOOKUP($B142,Seqs!$A:$B,2,0),U142,1),"")</f>
        <v>T</v>
      </c>
      <c r="U142" s="3">
        <v>117</v>
      </c>
      <c r="V142" s="3" t="str">
        <f>IFERROR(MID(VLOOKUP($B142,Seqs!$A:$B,2,0),W142,1),"")</f>
        <v>R</v>
      </c>
      <c r="W142" s="3">
        <v>152</v>
      </c>
      <c r="X142" s="3" t="str">
        <f>IFERROR(MID(VLOOKUP($B142,Seqs!$A:$B,2,0),Y142,1),"")</f>
        <v>M</v>
      </c>
      <c r="Y142" s="107">
        <v>153</v>
      </c>
      <c r="Z142" s="3" t="str">
        <f>IFERROR(MID(VLOOKUP($B142,Seqs!$A:$B,2,0),AA142,1),"")</f>
        <v>M</v>
      </c>
      <c r="AA142" s="107">
        <v>159</v>
      </c>
      <c r="AB142" s="3" t="str">
        <f>IFERROR(MID(VLOOKUP($B142,Seqs!$A:$B,2,0),AC142,1),"")</f>
        <v>S</v>
      </c>
      <c r="AC142" s="107">
        <v>160</v>
      </c>
      <c r="AD142" s="3" t="str">
        <f>IFERROR(MID(VLOOKUP($B142,Seqs!$A:$B,2,0),AE142,1),"")</f>
        <v>G</v>
      </c>
      <c r="AE142" s="3">
        <v>185</v>
      </c>
      <c r="AF142" s="3" t="str">
        <f>IFERROR(MID(VLOOKUP($B142,Seqs!$A:$B,2,0),AG142,1),"")</f>
        <v/>
      </c>
      <c r="AG142" s="3" t="s">
        <v>23</v>
      </c>
      <c r="AH142" s="3" t="str">
        <f>IFERROR(MID(VLOOKUP($B142,Seqs!$A:$B,2,0),AI142,1),"")</f>
        <v/>
      </c>
      <c r="AI142" s="3" t="s">
        <v>23</v>
      </c>
      <c r="AJ142" s="3" t="str">
        <f>IFERROR(MID(VLOOKUP($B142,Seqs!$A:$B,2,0),AK142,1),"")</f>
        <v>S</v>
      </c>
      <c r="AK142" s="3">
        <v>203</v>
      </c>
      <c r="AL142" s="3" t="str">
        <f>IFERROR(MID(VLOOKUP($B142,Seqs!$A:$B,2,0),AM142,1),"")</f>
        <v>S</v>
      </c>
      <c r="AM142" s="3">
        <v>240</v>
      </c>
      <c r="AN142" s="3" t="str">
        <f>IFERROR(MID(VLOOKUP($B142,Seqs!$A:$B,2,0),AO142,1),"")</f>
        <v>G</v>
      </c>
      <c r="AO142" s="3">
        <v>245</v>
      </c>
      <c r="AP142" s="3" t="str">
        <f>IFERROR(MID(VLOOKUP($B142,Seqs!$A:$B,2,0),AQ142,1),"")</f>
        <v>C</v>
      </c>
      <c r="AQ142" s="3">
        <v>284</v>
      </c>
      <c r="AR142" s="3" t="str">
        <f>IFERROR(MID(VLOOKUP($B142,Seqs!$A:$B,2,0),AS142,1),"")</f>
        <v>D</v>
      </c>
      <c r="AS142" s="3">
        <v>288</v>
      </c>
      <c r="AT142" s="3" t="str">
        <f>IFERROR(MID(VLOOKUP($B142,Seqs!$A:$B,2,0),AU142,1),"")</f>
        <v>R</v>
      </c>
      <c r="AU142" s="3">
        <v>314</v>
      </c>
      <c r="AV142" s="3" t="str">
        <f>IFERROR(MID(VLOOKUP($B142,Seqs!$A:$B,2,0),AW142,1),"")</f>
        <v>D</v>
      </c>
      <c r="AW142" s="3">
        <v>315</v>
      </c>
      <c r="AX142" s="3" t="str">
        <f>IFERROR(MID(VLOOKUP($B142,Seqs!$A:$B,2,0),AY142,1),"")</f>
        <v>C</v>
      </c>
      <c r="AY142" s="3">
        <v>327</v>
      </c>
      <c r="AZ142" s="79" t="str">
        <f>VLOOKUP(B142,Classification!A:D,2,0)</f>
        <v>A</v>
      </c>
      <c r="BA142" s="96" t="str">
        <f>VLOOKUP(B142,Classification!A:D,4,0)</f>
        <v>Lysophospholipid(LPA)</v>
      </c>
      <c r="BB142" s="27" t="b">
        <f t="shared" ref="BB142:BB175" si="1284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si="1145"/>
        <v>257</v>
      </c>
      <c r="BD142" s="57" t="s">
        <v>1379</v>
      </c>
      <c r="BE142" s="3" t="s">
        <v>23</v>
      </c>
      <c r="BF142" s="121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1146"/>
        <v>47</v>
      </c>
      <c r="BW142" s="73">
        <f t="shared" si="1147"/>
        <v>78</v>
      </c>
      <c r="BX142" s="74">
        <f t="shared" si="1148"/>
        <v>82</v>
      </c>
      <c r="BY142" s="73">
        <f t="shared" si="1149"/>
        <v>110</v>
      </c>
      <c r="BZ142" s="74">
        <f t="shared" si="1150"/>
        <v>117</v>
      </c>
      <c r="CA142" s="73">
        <f t="shared" si="1151"/>
        <v>153</v>
      </c>
      <c r="CB142" s="74">
        <f t="shared" si="1152"/>
        <v>160</v>
      </c>
      <c r="CC142" s="73" t="str">
        <f t="shared" si="1153"/>
        <v>-</v>
      </c>
      <c r="CD142" s="74">
        <f t="shared" si="1154"/>
        <v>203</v>
      </c>
      <c r="CE142" s="73">
        <f t="shared" si="1155"/>
        <v>245</v>
      </c>
      <c r="CF142" s="74">
        <f t="shared" si="1156"/>
        <v>288</v>
      </c>
      <c r="CG142" s="73">
        <f t="shared" si="1157"/>
        <v>315</v>
      </c>
      <c r="CH142" s="72">
        <f t="shared" si="1158"/>
        <v>77</v>
      </c>
      <c r="CI142" s="73">
        <f t="shared" si="1159"/>
        <v>81</v>
      </c>
      <c r="CJ142" s="74">
        <f t="shared" si="1160"/>
        <v>108</v>
      </c>
      <c r="CK142" s="74">
        <f t="shared" si="1161"/>
        <v>116</v>
      </c>
      <c r="CL142" s="74">
        <f t="shared" si="1162"/>
        <v>152</v>
      </c>
      <c r="CM142" s="74">
        <f t="shared" si="1163"/>
        <v>159</v>
      </c>
      <c r="CN142" s="74">
        <f t="shared" si="1164"/>
        <v>185</v>
      </c>
      <c r="CO142" s="74" t="str">
        <f t="shared" si="1165"/>
        <v>-</v>
      </c>
      <c r="CP142" s="74">
        <f t="shared" si="1166"/>
        <v>240</v>
      </c>
      <c r="CQ142" s="74">
        <f t="shared" si="1167"/>
        <v>284</v>
      </c>
      <c r="CR142" s="74">
        <f t="shared" si="1168"/>
        <v>314</v>
      </c>
      <c r="CS142" s="74">
        <f t="shared" si="1169"/>
        <v>327</v>
      </c>
      <c r="CT142" s="23">
        <f t="shared" si="117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83"/>
        <v>lpar1_human_4Z34</v>
      </c>
      <c r="B143" s="3" t="s">
        <v>103</v>
      </c>
      <c r="C143" s="3" t="s">
        <v>1057</v>
      </c>
      <c r="D143" s="3" t="str">
        <f>IFERROR(MID(VLOOKUP($B143,Seqs!$A:$B,2,0),E143,1),"")</f>
        <v>T</v>
      </c>
      <c r="E143" s="3">
        <v>47</v>
      </c>
      <c r="F143" s="3" t="str">
        <f>IFERROR(MID(VLOOKUP($B143,Seqs!$A:$B,2,0),G143,1),"")</f>
        <v>N</v>
      </c>
      <c r="G143" s="3">
        <v>77</v>
      </c>
      <c r="H143" s="3" t="str">
        <f>IFERROR(MID(VLOOKUP($B143,Seqs!$A:$B,2,0),I143,1),"")</f>
        <v>R</v>
      </c>
      <c r="I143" s="23">
        <v>78</v>
      </c>
      <c r="J143" s="3" t="str">
        <f>IFERROR(MID(VLOOKUP($B143,Seqs!$A:$B,2,0),K143,1),"")</f>
        <v>H</v>
      </c>
      <c r="K143" s="23">
        <v>81</v>
      </c>
      <c r="L143" s="3" t="str">
        <f>IFERROR(MID(VLOOKUP($B143,Seqs!$A:$B,2,0),M143,1),"")</f>
        <v>F</v>
      </c>
      <c r="M143" s="3">
        <v>82</v>
      </c>
      <c r="N143" s="3" t="str">
        <f>IFERROR(MID(VLOOKUP($B143,Seqs!$A:$B,2,0),O143,1),"")</f>
        <v>N</v>
      </c>
      <c r="O143" s="3">
        <v>108</v>
      </c>
      <c r="P143" s="3" t="str">
        <f>IFERROR(MID(VLOOKUP($B143,Seqs!$A:$B,2,0),Q143,1),"")</f>
        <v>G</v>
      </c>
      <c r="Q143" s="3">
        <v>110</v>
      </c>
      <c r="R143" s="3" t="str">
        <f>IFERROR(MID(VLOOKUP($B143,Seqs!$A:$B,2,0),S143,1),"")</f>
        <v>L</v>
      </c>
      <c r="S143" s="3">
        <v>116</v>
      </c>
      <c r="T143" s="3" t="str">
        <f>IFERROR(MID(VLOOKUP($B143,Seqs!$A:$B,2,0),U143,1),"")</f>
        <v>T</v>
      </c>
      <c r="U143" s="3">
        <v>117</v>
      </c>
      <c r="V143" s="3" t="str">
        <f>IFERROR(MID(VLOOKUP($B143,Seqs!$A:$B,2,0),W143,1),"")</f>
        <v>R</v>
      </c>
      <c r="W143" s="3">
        <v>152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157</v>
      </c>
      <c r="AD143" s="3" t="str">
        <f>IFERROR(MID(VLOOKUP($B143,Seqs!$A:$B,2,0),AE143,1),"")</f>
        <v>G</v>
      </c>
      <c r="AE143" s="3">
        <v>185</v>
      </c>
      <c r="AF143" s="3" t="str">
        <f>IFERROR(MID(VLOOKUP($B143,Seqs!$A:$B,2,0),AG143,1),"")</f>
        <v/>
      </c>
      <c r="AG143" s="3" t="s">
        <v>23</v>
      </c>
      <c r="AH143" s="3" t="str">
        <f>IFERROR(MID(VLOOKUP($B143,Seqs!$A:$B,2,0),AI143,1),"")</f>
        <v/>
      </c>
      <c r="AI143" s="3" t="s">
        <v>23</v>
      </c>
      <c r="AJ143" s="3" t="str">
        <f>IFERROR(MID(VLOOKUP($B143,Seqs!$A:$B,2,0),AK143,1),"")</f>
        <v>S</v>
      </c>
      <c r="AK143" s="3">
        <v>203</v>
      </c>
      <c r="AL143" s="3" t="str">
        <f>IFERROR(MID(VLOOKUP($B143,Seqs!$A:$B,2,0),AM143,1),"")</f>
        <v>R</v>
      </c>
      <c r="AM143" s="3">
        <v>235</v>
      </c>
      <c r="AN143" s="3" t="str">
        <f>IFERROR(MID(VLOOKUP($B143,Seqs!$A:$B,2,0),AO143,1),"")</f>
        <v>G</v>
      </c>
      <c r="AO143" s="3">
        <v>245</v>
      </c>
      <c r="AP143" s="3" t="str">
        <f>IFERROR(MID(VLOOKUP($B143,Seqs!$A:$B,2,0),AQ143,1),"")</f>
        <v>C</v>
      </c>
      <c r="AQ143" s="3">
        <v>284</v>
      </c>
      <c r="AR143" s="3" t="str">
        <f>IFERROR(MID(VLOOKUP($B143,Seqs!$A:$B,2,0),AS143,1),"")</f>
        <v>E</v>
      </c>
      <c r="AS143" s="3">
        <v>293</v>
      </c>
      <c r="AT143" s="3" t="str">
        <f>IFERROR(MID(VLOOKUP($B143,Seqs!$A:$B,2,0),AU143,1),"")</f>
        <v>R</v>
      </c>
      <c r="AU143" s="3">
        <v>314</v>
      </c>
      <c r="AV143" s="3" t="str">
        <f>IFERROR(MID(VLOOKUP($B143,Seqs!$A:$B,2,0),AW143,1),"")</f>
        <v>D</v>
      </c>
      <c r="AW143" s="3">
        <v>315</v>
      </c>
      <c r="AX143" s="3" t="str">
        <f>IFERROR(MID(VLOOKUP($B143,Seqs!$A:$B,2,0),AY143,1),"")</f>
        <v>C</v>
      </c>
      <c r="AY143" s="3">
        <v>327</v>
      </c>
      <c r="AZ143" s="79" t="str">
        <f>VLOOKUP(B143,Classification!A:D,2,0)</f>
        <v>A</v>
      </c>
      <c r="BA143" s="96" t="str">
        <f>VLOOKUP(B143,Classification!A:D,4,0)</f>
        <v>Lysophospholipid(LPA)</v>
      </c>
      <c r="BB143" s="27" t="b">
        <f t="shared" si="1284"/>
        <v>1</v>
      </c>
      <c r="BC143" s="23">
        <f t="shared" si="1145"/>
        <v>244</v>
      </c>
      <c r="BD143" s="16" t="s">
        <v>23</v>
      </c>
      <c r="BE143" s="3" t="s">
        <v>1381</v>
      </c>
      <c r="BF143" s="121">
        <v>3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1146"/>
        <v>47</v>
      </c>
      <c r="BW143" s="73">
        <f t="shared" si="1147"/>
        <v>78</v>
      </c>
      <c r="BX143" s="74">
        <f t="shared" si="1148"/>
        <v>82</v>
      </c>
      <c r="BY143" s="73">
        <f t="shared" si="1149"/>
        <v>110</v>
      </c>
      <c r="BZ143" s="74">
        <f t="shared" si="1150"/>
        <v>117</v>
      </c>
      <c r="CA143" s="73" t="str">
        <f t="shared" si="1151"/>
        <v>-</v>
      </c>
      <c r="CB143" s="74">
        <f t="shared" si="1152"/>
        <v>157</v>
      </c>
      <c r="CC143" s="73" t="str">
        <f t="shared" si="1153"/>
        <v>-</v>
      </c>
      <c r="CD143" s="74">
        <f t="shared" si="1154"/>
        <v>203</v>
      </c>
      <c r="CE143" s="73">
        <f t="shared" si="1155"/>
        <v>245</v>
      </c>
      <c r="CF143" s="74">
        <f t="shared" si="1156"/>
        <v>293</v>
      </c>
      <c r="CG143" s="73">
        <f t="shared" si="1157"/>
        <v>315</v>
      </c>
      <c r="CH143" s="72">
        <f t="shared" si="1158"/>
        <v>77</v>
      </c>
      <c r="CI143" s="73">
        <f t="shared" si="1159"/>
        <v>81</v>
      </c>
      <c r="CJ143" s="74">
        <f t="shared" si="1160"/>
        <v>108</v>
      </c>
      <c r="CK143" s="74">
        <f t="shared" si="1161"/>
        <v>116</v>
      </c>
      <c r="CL143" s="74">
        <f t="shared" si="1162"/>
        <v>152</v>
      </c>
      <c r="CM143" s="74" t="str">
        <f t="shared" si="1163"/>
        <v>-</v>
      </c>
      <c r="CN143" s="74">
        <f t="shared" si="1164"/>
        <v>185</v>
      </c>
      <c r="CO143" s="74" t="str">
        <f t="shared" si="1165"/>
        <v>-</v>
      </c>
      <c r="CP143" s="74">
        <f t="shared" si="1166"/>
        <v>235</v>
      </c>
      <c r="CQ143" s="74">
        <f t="shared" si="1167"/>
        <v>284</v>
      </c>
      <c r="CR143" s="74">
        <f t="shared" si="1168"/>
        <v>314</v>
      </c>
      <c r="CS143" s="74">
        <f t="shared" si="1169"/>
        <v>327</v>
      </c>
      <c r="CT143" s="23">
        <f t="shared" si="1170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83"/>
        <v>lpar1_human_4Z35</v>
      </c>
      <c r="B144" s="3" t="s">
        <v>103</v>
      </c>
      <c r="C144" s="3" t="s">
        <v>89</v>
      </c>
      <c r="D144" s="3" t="str">
        <f>IFERROR(MID(VLOOKUP($B144,Seqs!$A:$B,2,0),E144,1),"")</f>
        <v>T</v>
      </c>
      <c r="E144" s="3">
        <v>47</v>
      </c>
      <c r="F144" s="3" t="str">
        <f>IFERROR(MID(VLOOKUP($B144,Seqs!$A:$B,2,0),G144,1),"")</f>
        <v>N</v>
      </c>
      <c r="G144" s="3">
        <v>77</v>
      </c>
      <c r="H144" s="3" t="str">
        <f>IFERROR(MID(VLOOKUP($B144,Seqs!$A:$B,2,0),I144,1),"")</f>
        <v>R</v>
      </c>
      <c r="I144" s="23">
        <v>78</v>
      </c>
      <c r="J144" s="3" t="str">
        <f>IFERROR(MID(VLOOKUP($B144,Seqs!$A:$B,2,0),K144,1),"")</f>
        <v>H</v>
      </c>
      <c r="K144" s="23">
        <v>81</v>
      </c>
      <c r="L144" s="3" t="str">
        <f>IFERROR(MID(VLOOKUP($B144,Seqs!$A:$B,2,0),M144,1),"")</f>
        <v>F</v>
      </c>
      <c r="M144" s="3">
        <v>82</v>
      </c>
      <c r="N144" s="3" t="str">
        <f>IFERROR(MID(VLOOKUP($B144,Seqs!$A:$B,2,0),O144,1),"")</f>
        <v>N</v>
      </c>
      <c r="O144" s="3">
        <v>108</v>
      </c>
      <c r="P144" s="3" t="str">
        <f>IFERROR(MID(VLOOKUP($B144,Seqs!$A:$B,2,0),Q144,1),"")</f>
        <v>G</v>
      </c>
      <c r="Q144" s="3">
        <v>110</v>
      </c>
      <c r="R144" s="3" t="str">
        <f>IFERROR(MID(VLOOKUP($B144,Seqs!$A:$B,2,0),S144,1),"")</f>
        <v>L</v>
      </c>
      <c r="S144" s="3">
        <v>116</v>
      </c>
      <c r="T144" s="3" t="str">
        <f>IFERROR(MID(VLOOKUP($B144,Seqs!$A:$B,2,0),U144,1),"")</f>
        <v>T</v>
      </c>
      <c r="U144" s="3">
        <v>117</v>
      </c>
      <c r="V144" s="3" t="str">
        <f>IFERROR(MID(VLOOKUP($B144,Seqs!$A:$B,2,0),W144,1),"")</f>
        <v>R</v>
      </c>
      <c r="W144" s="3">
        <v>152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157</v>
      </c>
      <c r="AD144" s="3" t="str">
        <f>IFERROR(MID(VLOOKUP($B144,Seqs!$A:$B,2,0),AE144,1),"")</f>
        <v>G</v>
      </c>
      <c r="AE144" s="3">
        <v>185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S</v>
      </c>
      <c r="AK144" s="3">
        <v>203</v>
      </c>
      <c r="AL144" s="3" t="str">
        <f>IFERROR(MID(VLOOKUP($B144,Seqs!$A:$B,2,0),AM144,1),"")</f>
        <v>R</v>
      </c>
      <c r="AM144" s="3">
        <v>235</v>
      </c>
      <c r="AN144" s="3" t="str">
        <f>IFERROR(MID(VLOOKUP($B144,Seqs!$A:$B,2,0),AO144,1),"")</f>
        <v>G</v>
      </c>
      <c r="AO144" s="3">
        <v>245</v>
      </c>
      <c r="AP144" s="3" t="str">
        <f>IFERROR(MID(VLOOKUP($B144,Seqs!$A:$B,2,0),AQ144,1),"")</f>
        <v>C</v>
      </c>
      <c r="AQ144" s="3">
        <v>284</v>
      </c>
      <c r="AR144" s="3" t="str">
        <f>IFERROR(MID(VLOOKUP($B144,Seqs!$A:$B,2,0),AS144,1),"")</f>
        <v>E</v>
      </c>
      <c r="AS144" s="3">
        <v>293</v>
      </c>
      <c r="AT144" s="3" t="str">
        <f>IFERROR(MID(VLOOKUP($B144,Seqs!$A:$B,2,0),AU144,1),"")</f>
        <v>R</v>
      </c>
      <c r="AU144" s="3">
        <v>314</v>
      </c>
      <c r="AV144" s="3" t="str">
        <f>IFERROR(MID(VLOOKUP($B144,Seqs!$A:$B,2,0),AW144,1),"")</f>
        <v>D</v>
      </c>
      <c r="AW144" s="3">
        <v>315</v>
      </c>
      <c r="AX144" s="3" t="str">
        <f>IFERROR(MID(VLOOKUP($B144,Seqs!$A:$B,2,0),AY144,1),"")</f>
        <v>C</v>
      </c>
      <c r="AY144" s="3">
        <v>327</v>
      </c>
      <c r="AZ144" s="79" t="str">
        <f>VLOOKUP(B144,Classification!A:D,2,0)</f>
        <v>A</v>
      </c>
      <c r="BA144" s="96" t="str">
        <f>VLOOKUP(B144,Classification!A:D,4,0)</f>
        <v>Lysophospholipid(LPA)</v>
      </c>
      <c r="BB144" s="27" t="b">
        <f t="shared" si="1284"/>
        <v>1</v>
      </c>
      <c r="BC144" s="23">
        <f t="shared" si="1145"/>
        <v>244</v>
      </c>
      <c r="BD144" s="5" t="s">
        <v>1383</v>
      </c>
      <c r="BE144" s="3" t="s">
        <v>1381</v>
      </c>
      <c r="BF144" s="121">
        <v>2.9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1146"/>
        <v>47</v>
      </c>
      <c r="BW144" s="73">
        <f t="shared" si="1147"/>
        <v>78</v>
      </c>
      <c r="BX144" s="74">
        <f t="shared" si="1148"/>
        <v>82</v>
      </c>
      <c r="BY144" s="73">
        <f t="shared" si="1149"/>
        <v>110</v>
      </c>
      <c r="BZ144" s="74">
        <f t="shared" si="1150"/>
        <v>117</v>
      </c>
      <c r="CA144" s="73" t="str">
        <f t="shared" si="1151"/>
        <v>-</v>
      </c>
      <c r="CB144" s="74">
        <f t="shared" si="1152"/>
        <v>157</v>
      </c>
      <c r="CC144" s="73" t="str">
        <f t="shared" si="1153"/>
        <v>-</v>
      </c>
      <c r="CD144" s="74">
        <f t="shared" si="1154"/>
        <v>203</v>
      </c>
      <c r="CE144" s="73">
        <f t="shared" si="1155"/>
        <v>245</v>
      </c>
      <c r="CF144" s="74">
        <f t="shared" si="1156"/>
        <v>293</v>
      </c>
      <c r="CG144" s="73">
        <f t="shared" si="1157"/>
        <v>315</v>
      </c>
      <c r="CH144" s="72">
        <f t="shared" si="1158"/>
        <v>77</v>
      </c>
      <c r="CI144" s="73">
        <f t="shared" si="1159"/>
        <v>81</v>
      </c>
      <c r="CJ144" s="74">
        <f t="shared" si="1160"/>
        <v>108</v>
      </c>
      <c r="CK144" s="74">
        <f t="shared" si="1161"/>
        <v>116</v>
      </c>
      <c r="CL144" s="74">
        <f t="shared" si="1162"/>
        <v>152</v>
      </c>
      <c r="CM144" s="74" t="str">
        <f t="shared" si="1163"/>
        <v>-</v>
      </c>
      <c r="CN144" s="74">
        <f t="shared" si="1164"/>
        <v>185</v>
      </c>
      <c r="CO144" s="74" t="str">
        <f t="shared" si="1165"/>
        <v>-</v>
      </c>
      <c r="CP144" s="74">
        <f t="shared" si="1166"/>
        <v>235</v>
      </c>
      <c r="CQ144" s="74">
        <f t="shared" si="1167"/>
        <v>284</v>
      </c>
      <c r="CR144" s="74">
        <f t="shared" si="1168"/>
        <v>314</v>
      </c>
      <c r="CS144" s="74">
        <f t="shared" si="1169"/>
        <v>327</v>
      </c>
      <c r="CT144" s="23">
        <f t="shared" si="117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1283"/>
        <v>lpar1_human_4Z36</v>
      </c>
      <c r="B145" s="3" t="s">
        <v>103</v>
      </c>
      <c r="C145" s="3" t="s">
        <v>1058</v>
      </c>
      <c r="D145" s="3" t="str">
        <f>IFERROR(MID(VLOOKUP($B145,Seqs!$A:$B,2,0),E145,1),"")</f>
        <v>T</v>
      </c>
      <c r="E145" s="3">
        <v>47</v>
      </c>
      <c r="F145" s="3" t="str">
        <f>IFERROR(MID(VLOOKUP($B145,Seqs!$A:$B,2,0),G145,1),"")</f>
        <v>N</v>
      </c>
      <c r="G145" s="3">
        <v>77</v>
      </c>
      <c r="H145" s="3" t="str">
        <f>IFERROR(MID(VLOOKUP($B145,Seqs!$A:$B,2,0),I145,1),"")</f>
        <v>R</v>
      </c>
      <c r="I145" s="23">
        <v>78</v>
      </c>
      <c r="J145" s="3" t="str">
        <f>IFERROR(MID(VLOOKUP($B145,Seqs!$A:$B,2,0),K145,1),"")</f>
        <v>H</v>
      </c>
      <c r="K145" s="23">
        <v>81</v>
      </c>
      <c r="L145" s="3" t="str">
        <f>IFERROR(MID(VLOOKUP($B145,Seqs!$A:$B,2,0),M145,1),"")</f>
        <v>F</v>
      </c>
      <c r="M145" s="3">
        <v>82</v>
      </c>
      <c r="N145" s="3" t="str">
        <f>IFERROR(MID(VLOOKUP($B145,Seqs!$A:$B,2,0),O145,1),"")</f>
        <v>N</v>
      </c>
      <c r="O145" s="3">
        <v>108</v>
      </c>
      <c r="P145" s="3" t="str">
        <f>IFERROR(MID(VLOOKUP($B145,Seqs!$A:$B,2,0),Q145,1),"")</f>
        <v>G</v>
      </c>
      <c r="Q145" s="3">
        <v>110</v>
      </c>
      <c r="R145" s="3" t="str">
        <f>IFERROR(MID(VLOOKUP($B145,Seqs!$A:$B,2,0),S145,1),"")</f>
        <v>L</v>
      </c>
      <c r="S145" s="3">
        <v>116</v>
      </c>
      <c r="T145" s="3" t="str">
        <f>IFERROR(MID(VLOOKUP($B145,Seqs!$A:$B,2,0),U145,1),"")</f>
        <v>T</v>
      </c>
      <c r="U145" s="3">
        <v>117</v>
      </c>
      <c r="V145" s="3" t="str">
        <f>IFERROR(MID(VLOOKUP($B145,Seqs!$A:$B,2,0),W145,1),"")</f>
        <v>R</v>
      </c>
      <c r="W145" s="3">
        <v>152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157</v>
      </c>
      <c r="AD145" s="3" t="str">
        <f>IFERROR(MID(VLOOKUP($B145,Seqs!$A:$B,2,0),AE145,1),"")</f>
        <v>G</v>
      </c>
      <c r="AE145" s="3">
        <v>185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S</v>
      </c>
      <c r="AK145" s="3">
        <v>203</v>
      </c>
      <c r="AL145" s="3" t="str">
        <f>IFERROR(MID(VLOOKUP($B145,Seqs!$A:$B,2,0),AM145,1),"")</f>
        <v>R</v>
      </c>
      <c r="AM145" s="3">
        <v>235</v>
      </c>
      <c r="AN145" s="3" t="str">
        <f>IFERROR(MID(VLOOKUP($B145,Seqs!$A:$B,2,0),AO145,1),"")</f>
        <v>G</v>
      </c>
      <c r="AO145" s="3">
        <v>245</v>
      </c>
      <c r="AP145" s="3" t="str">
        <f>IFERROR(MID(VLOOKUP($B145,Seqs!$A:$B,2,0),AQ145,1),"")</f>
        <v>C</v>
      </c>
      <c r="AQ145" s="3">
        <v>284</v>
      </c>
      <c r="AR145" s="3" t="str">
        <f>IFERROR(MID(VLOOKUP($B145,Seqs!$A:$B,2,0),AS145,1),"")</f>
        <v>E</v>
      </c>
      <c r="AS145" s="3">
        <v>293</v>
      </c>
      <c r="AT145" s="3" t="str">
        <f>IFERROR(MID(VLOOKUP($B145,Seqs!$A:$B,2,0),AU145,1),"")</f>
        <v>R</v>
      </c>
      <c r="AU145" s="3">
        <v>314</v>
      </c>
      <c r="AV145" s="3" t="str">
        <f>IFERROR(MID(VLOOKUP($B145,Seqs!$A:$B,2,0),AW145,1),"")</f>
        <v>D</v>
      </c>
      <c r="AW145" s="3">
        <v>315</v>
      </c>
      <c r="AX145" s="3" t="str">
        <f>IFERROR(MID(VLOOKUP($B145,Seqs!$A:$B,2,0),AY145,1),"")</f>
        <v>C</v>
      </c>
      <c r="AY145" s="3">
        <v>327</v>
      </c>
      <c r="AZ145" s="79" t="str">
        <f>VLOOKUP(B145,Classification!A:D,2,0)</f>
        <v>A</v>
      </c>
      <c r="BA145" s="96" t="str">
        <f>VLOOKUP(B145,Classification!A:D,4,0)</f>
        <v>Lysophospholipid(LPA)</v>
      </c>
      <c r="BB145" s="27" t="b">
        <f t="shared" si="1284"/>
        <v>1</v>
      </c>
      <c r="BC145" s="23">
        <f t="shared" si="1145"/>
        <v>244</v>
      </c>
      <c r="BD145" s="5" t="s">
        <v>23</v>
      </c>
      <c r="BE145" s="3" t="s">
        <v>1381</v>
      </c>
      <c r="BF145" s="121">
        <v>2.9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1146"/>
        <v>47</v>
      </c>
      <c r="BW145" s="73">
        <f t="shared" si="1147"/>
        <v>78</v>
      </c>
      <c r="BX145" s="74">
        <f t="shared" si="1148"/>
        <v>82</v>
      </c>
      <c r="BY145" s="73">
        <f t="shared" si="1149"/>
        <v>110</v>
      </c>
      <c r="BZ145" s="74">
        <f t="shared" si="1150"/>
        <v>117</v>
      </c>
      <c r="CA145" s="73" t="str">
        <f t="shared" si="1151"/>
        <v>-</v>
      </c>
      <c r="CB145" s="74">
        <f t="shared" si="1152"/>
        <v>157</v>
      </c>
      <c r="CC145" s="73" t="str">
        <f t="shared" si="1153"/>
        <v>-</v>
      </c>
      <c r="CD145" s="74">
        <f t="shared" si="1154"/>
        <v>203</v>
      </c>
      <c r="CE145" s="73">
        <f t="shared" si="1155"/>
        <v>245</v>
      </c>
      <c r="CF145" s="74">
        <f t="shared" si="1156"/>
        <v>293</v>
      </c>
      <c r="CG145" s="73">
        <f t="shared" si="1157"/>
        <v>315</v>
      </c>
      <c r="CH145" s="72">
        <f t="shared" si="1158"/>
        <v>77</v>
      </c>
      <c r="CI145" s="73">
        <f t="shared" si="1159"/>
        <v>81</v>
      </c>
      <c r="CJ145" s="74">
        <f t="shared" si="1160"/>
        <v>108</v>
      </c>
      <c r="CK145" s="74">
        <f t="shared" si="1161"/>
        <v>116</v>
      </c>
      <c r="CL145" s="74">
        <f t="shared" si="1162"/>
        <v>152</v>
      </c>
      <c r="CM145" s="74" t="str">
        <f t="shared" si="1163"/>
        <v>-</v>
      </c>
      <c r="CN145" s="74">
        <f t="shared" si="1164"/>
        <v>185</v>
      </c>
      <c r="CO145" s="74" t="str">
        <f t="shared" si="1165"/>
        <v>-</v>
      </c>
      <c r="CP145" s="74">
        <f t="shared" si="1166"/>
        <v>235</v>
      </c>
      <c r="CQ145" s="74">
        <f t="shared" si="1167"/>
        <v>284</v>
      </c>
      <c r="CR145" s="74">
        <f t="shared" si="1168"/>
        <v>314</v>
      </c>
      <c r="CS145" s="74">
        <f t="shared" si="1169"/>
        <v>327</v>
      </c>
      <c r="CT145" s="23">
        <f t="shared" si="1170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1283"/>
        <v>ntr1_rat__wt</v>
      </c>
      <c r="B146" s="3" t="s">
        <v>914</v>
      </c>
      <c r="C146" s="3" t="s">
        <v>100</v>
      </c>
      <c r="D146" s="3" t="str">
        <f>IFERROR(MID(VLOOKUP($B146,Seqs!$A:$B,2,0),E146,1),"")</f>
        <v>I</v>
      </c>
      <c r="E146" s="3">
        <v>61</v>
      </c>
      <c r="F146" s="3" t="str">
        <f>IFERROR(MID(VLOOKUP($B146,Seqs!$A:$B,2,0),G146,1),"")</f>
        <v>K</v>
      </c>
      <c r="G146" s="3">
        <v>92</v>
      </c>
      <c r="H146" s="3" t="str">
        <f>IFERROR(MID(VLOOKUP($B146,Seqs!$A:$B,2,0),I146,1),"")</f>
        <v>K</v>
      </c>
      <c r="I146" s="23">
        <v>93</v>
      </c>
      <c r="J146" s="3" t="str">
        <f>IFERROR(MID(VLOOKUP($B146,Seqs!$A:$B,2,0),K146,1),"")</f>
        <v>Q</v>
      </c>
      <c r="K146" s="23">
        <v>96</v>
      </c>
      <c r="L146" s="3" t="str">
        <f>IFERROR(MID(VLOOKUP($B146,Seqs!$A:$B,2,0),M146,1),"")</f>
        <v>S</v>
      </c>
      <c r="M146" s="3">
        <v>97</v>
      </c>
      <c r="N146" s="3" t="str">
        <f>IFERROR(MID(VLOOKUP($B146,Seqs!$A:$B,2,0),O146,1),"")</f>
        <v>V</v>
      </c>
      <c r="O146" s="3">
        <v>131</v>
      </c>
      <c r="P146" s="3" t="str">
        <f>IFERROR(MID(VLOOKUP($B146,Seqs!$A:$B,2,0),Q146,1),"")</f>
        <v>P</v>
      </c>
      <c r="Q146" s="3">
        <v>134</v>
      </c>
      <c r="R146" s="3" t="str">
        <f>IFERROR(MID(VLOOKUP($B146,Seqs!$A:$B,2,0),S146,1),"")</f>
        <v>F</v>
      </c>
      <c r="S146" s="3">
        <v>137</v>
      </c>
      <c r="T146" s="3" t="str">
        <f>IFERROR(MID(VLOOKUP($B146,Seqs!$A:$B,2,0),U146,1),"")</f>
        <v>G</v>
      </c>
      <c r="U146" s="3">
        <v>138</v>
      </c>
      <c r="V146" s="3" t="str">
        <f>IFERROR(MID(VLOOKUP($B146,Seqs!$A:$B,2,0),W146,1),"")</f>
        <v>H</v>
      </c>
      <c r="W146" s="3">
        <v>173</v>
      </c>
      <c r="X146" s="3" t="str">
        <f>IFERROR(MID(VLOOKUP($B146,Seqs!$A:$B,2,0),Y146,1),"")</f>
        <v>P</v>
      </c>
      <c r="Y146" s="3">
        <v>174</v>
      </c>
      <c r="Z146" s="3" t="str">
        <f>IFERROR(MID(VLOOKUP($B146,Seqs!$A:$B,2,0),AA146,1),"")</f>
        <v>M</v>
      </c>
      <c r="AA146" s="3">
        <v>181</v>
      </c>
      <c r="AB146" s="3" t="str">
        <f>IFERROR(MID(VLOOKUP($B146,Seqs!$A:$B,2,0),AC146,1),"")</f>
        <v>S</v>
      </c>
      <c r="AC146" s="9">
        <v>182</v>
      </c>
      <c r="AD146" s="3" t="str">
        <f>IFERROR(MID(VLOOKUP($B146,Seqs!$A:$B,2,0),AE146,1),"")</f>
        <v>M</v>
      </c>
      <c r="AE146" s="3">
        <v>208</v>
      </c>
      <c r="AF146" s="3" t="str">
        <f>IFERROR(MID(VLOOKUP($B146,Seqs!$A:$B,2,0),AG146,1),"")</f>
        <v>C</v>
      </c>
      <c r="AG146" s="3">
        <v>225</v>
      </c>
      <c r="AH146" s="3" t="str">
        <f>IFERROR(MID(VLOOKUP($B146,Seqs!$A:$B,2,0),AI146,1),"")</f>
        <v>P</v>
      </c>
      <c r="AI146" s="3">
        <v>227</v>
      </c>
      <c r="AJ146" s="3" t="str">
        <f>IFERROR(MID(VLOOKUP($B146,Seqs!$A:$B,2,0),AK146,1),"")</f>
        <v>T</v>
      </c>
      <c r="AK146" s="3">
        <v>231</v>
      </c>
      <c r="AL146" s="3" t="str">
        <f>IFERROR(MID(VLOOKUP($B146,Seqs!$A:$B,2,0),AM146,1),"")</f>
        <v>G</v>
      </c>
      <c r="AM146" s="3">
        <v>275</v>
      </c>
      <c r="AN146" s="3" t="str">
        <f>IFERROR(MID(VLOOKUP($B146,Seqs!$A:$B,2,0),AO146,1),"")</f>
        <v>P</v>
      </c>
      <c r="AO146" s="3">
        <v>297</v>
      </c>
      <c r="AP146" s="3" t="str">
        <f>IFERROR(MID(VLOOKUP($B146,Seqs!$A:$B,2,0),AQ146,1),"")</f>
        <v>I</v>
      </c>
      <c r="AQ146" s="3">
        <v>334</v>
      </c>
      <c r="AR146" s="3" t="str">
        <f>IFERROR(MID(VLOOKUP($B146,Seqs!$A:$B,2,0),AS146,1),"")</f>
        <v>T</v>
      </c>
      <c r="AS146" s="3">
        <v>340</v>
      </c>
      <c r="AT146" s="3" t="str">
        <f>IFERROR(MID(VLOOKUP($B146,Seqs!$A:$B,2,0),AU146,1),"")</f>
        <v>V</v>
      </c>
      <c r="AU146" s="3">
        <v>372</v>
      </c>
      <c r="AV146" s="3" t="str">
        <f>IFERROR(MID(VLOOKUP($B146,Seqs!$A:$B,2,0),AW146,1),"")</f>
        <v>S</v>
      </c>
      <c r="AW146" s="3">
        <v>373</v>
      </c>
      <c r="AX146" s="3" t="str">
        <f>IFERROR(MID(VLOOKUP($B146,Seqs!$A:$B,2,0),AY146,1),"")</f>
        <v>L</v>
      </c>
      <c r="AY146" s="3">
        <v>384</v>
      </c>
      <c r="AZ146" s="79" t="str">
        <f>VLOOKUP(B146,Classification!A:D,2,0)</f>
        <v>A</v>
      </c>
      <c r="BA146" s="96" t="str">
        <f>VLOOKUP(B146,Classification!A:D,4,0)</f>
        <v>Neurotensin</v>
      </c>
      <c r="BB146" s="27" t="b">
        <f t="shared" si="1284"/>
        <v>1</v>
      </c>
      <c r="BC146" s="23">
        <f t="shared" si="1145"/>
        <v>277</v>
      </c>
      <c r="BD146" s="57" t="s">
        <v>1379</v>
      </c>
      <c r="BE146" s="3" t="s">
        <v>23</v>
      </c>
      <c r="BF146" s="121" t="s">
        <v>23</v>
      </c>
      <c r="BG146" s="50" t="s">
        <v>1379</v>
      </c>
      <c r="BH146" s="50" t="s">
        <v>1384</v>
      </c>
      <c r="BI146" s="3" t="s">
        <v>1170</v>
      </c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1146"/>
        <v>61</v>
      </c>
      <c r="BW146" s="73">
        <f t="shared" si="1147"/>
        <v>93</v>
      </c>
      <c r="BX146" s="74">
        <f t="shared" si="1148"/>
        <v>97</v>
      </c>
      <c r="BY146" s="73">
        <f t="shared" si="1149"/>
        <v>134</v>
      </c>
      <c r="BZ146" s="74">
        <f t="shared" si="1150"/>
        <v>138</v>
      </c>
      <c r="CA146" s="73">
        <f t="shared" si="1151"/>
        <v>174</v>
      </c>
      <c r="CB146" s="74">
        <f t="shared" si="1152"/>
        <v>182</v>
      </c>
      <c r="CC146" s="73">
        <f t="shared" si="1153"/>
        <v>225</v>
      </c>
      <c r="CD146" s="74">
        <f t="shared" si="1154"/>
        <v>231</v>
      </c>
      <c r="CE146" s="73">
        <f t="shared" si="1155"/>
        <v>297</v>
      </c>
      <c r="CF146" s="74">
        <f t="shared" si="1156"/>
        <v>340</v>
      </c>
      <c r="CG146" s="73">
        <f t="shared" si="1157"/>
        <v>373</v>
      </c>
      <c r="CH146" s="72">
        <f t="shared" si="1158"/>
        <v>92</v>
      </c>
      <c r="CI146" s="73">
        <f t="shared" si="1159"/>
        <v>96</v>
      </c>
      <c r="CJ146" s="74">
        <f t="shared" si="1160"/>
        <v>131</v>
      </c>
      <c r="CK146" s="74">
        <f t="shared" si="1161"/>
        <v>137</v>
      </c>
      <c r="CL146" s="74">
        <f t="shared" si="1162"/>
        <v>173</v>
      </c>
      <c r="CM146" s="74">
        <f t="shared" si="1163"/>
        <v>181</v>
      </c>
      <c r="CN146" s="74">
        <f t="shared" si="1164"/>
        <v>208</v>
      </c>
      <c r="CO146" s="74">
        <f t="shared" si="1165"/>
        <v>227</v>
      </c>
      <c r="CP146" s="74">
        <f t="shared" si="1166"/>
        <v>275</v>
      </c>
      <c r="CQ146" s="74">
        <f t="shared" si="1167"/>
        <v>334</v>
      </c>
      <c r="CR146" s="74">
        <f t="shared" si="1168"/>
        <v>372</v>
      </c>
      <c r="CS146" s="74">
        <f t="shared" si="1169"/>
        <v>384</v>
      </c>
      <c r="CT146" s="23">
        <f t="shared" si="1170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283"/>
        <v>ntr1_rat_4BUO</v>
      </c>
      <c r="B147" s="3" t="s">
        <v>914</v>
      </c>
      <c r="C147" s="3" t="s">
        <v>1338</v>
      </c>
      <c r="D147" s="3" t="str">
        <f>IFERROR(MID(VLOOKUP($B147,Seqs!$A:$B,2,0),E147,1),"")</f>
        <v>I</v>
      </c>
      <c r="E147" s="3">
        <v>61</v>
      </c>
      <c r="F147" s="3" t="str">
        <f>IFERROR(MID(VLOOKUP($B147,Seqs!$A:$B,2,0),G147,1),"")</f>
        <v>R</v>
      </c>
      <c r="G147" s="3">
        <v>91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S</v>
      </c>
      <c r="M147" s="3">
        <v>97</v>
      </c>
      <c r="N147" s="3" t="str">
        <f>IFERROR(MID(VLOOKUP($B147,Seqs!$A:$B,2,0),O147,1),"")</f>
        <v>V</v>
      </c>
      <c r="O147" s="3">
        <v>131</v>
      </c>
      <c r="P147" s="3" t="str">
        <f>IFERROR(MID(VLOOKUP($B147,Seqs!$A:$B,2,0),Q147,1),"")</f>
        <v>P</v>
      </c>
      <c r="Q147" s="3">
        <v>134</v>
      </c>
      <c r="R147" s="3" t="str">
        <f>IFERROR(MID(VLOOKUP($B147,Seqs!$A:$B,2,0),S147,1),"")</f>
        <v>F</v>
      </c>
      <c r="S147" s="3">
        <v>137</v>
      </c>
      <c r="T147" s="3" t="str">
        <f>IFERROR(MID(VLOOKUP($B147,Seqs!$A:$B,2,0),U147,1),"")</f>
        <v>G</v>
      </c>
      <c r="U147" s="3">
        <v>138</v>
      </c>
      <c r="V147" s="3" t="str">
        <f>IFERROR(MID(VLOOKUP($B147,Seqs!$A:$B,2,0),W147,1),"")</f>
        <v>H</v>
      </c>
      <c r="W147" s="3">
        <v>173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S</v>
      </c>
      <c r="AC147" s="9">
        <v>182</v>
      </c>
      <c r="AD147" s="3" t="str">
        <f>IFERROR(MID(VLOOKUP($B147,Seqs!$A:$B,2,0),AE147,1),"")</f>
        <v>M</v>
      </c>
      <c r="AE147" s="3">
        <v>208</v>
      </c>
      <c r="AF147" s="3" t="str">
        <f>IFERROR(MID(VLOOKUP($B147,Seqs!$A:$B,2,0),AG147,1),"")</f>
        <v>C</v>
      </c>
      <c r="AG147" s="3">
        <v>225</v>
      </c>
      <c r="AH147" s="3" t="str">
        <f>IFERROR(MID(VLOOKUP($B147,Seqs!$A:$B,2,0),AI147,1),"")</f>
        <v>P</v>
      </c>
      <c r="AI147" s="3">
        <v>227</v>
      </c>
      <c r="AJ147" s="3" t="str">
        <f>IFERROR(MID(VLOOKUP($B147,Seqs!$A:$B,2,0),AK147,1),"")</f>
        <v>T</v>
      </c>
      <c r="AK147" s="3">
        <v>231</v>
      </c>
      <c r="AL147" s="3" t="str">
        <f>IFERROR(MID(VLOOKUP($B147,Seqs!$A:$B,2,0),AM147,1),"")</f>
        <v>Q</v>
      </c>
      <c r="AM147" s="3">
        <v>270</v>
      </c>
      <c r="AN147" s="3" t="str">
        <f>IFERROR(MID(VLOOKUP($B147,Seqs!$A:$B,2,0),AO147,1),"")</f>
        <v>G</v>
      </c>
      <c r="AO147" s="3">
        <v>298</v>
      </c>
      <c r="AP147" s="3" t="str">
        <f>IFERROR(MID(VLOOKUP($B147,Seqs!$A:$B,2,0),AQ147,1),"")</f>
        <v>I</v>
      </c>
      <c r="AQ147" s="3">
        <v>334</v>
      </c>
      <c r="AR147" s="3" t="str">
        <f>IFERROR(MID(VLOOKUP($B147,Seqs!$A:$B,2,0),AS147,1),"")</f>
        <v>T</v>
      </c>
      <c r="AS147" s="3">
        <v>340</v>
      </c>
      <c r="AT147" s="3" t="str">
        <f>IFERROR(MID(VLOOKUP($B147,Seqs!$A:$B,2,0),AU147,1),"")</f>
        <v>V</v>
      </c>
      <c r="AU147" s="3">
        <v>372</v>
      </c>
      <c r="AV147" s="3" t="str">
        <f>IFERROR(MID(VLOOKUP($B147,Seqs!$A:$B,2,0),AW147,1),"")</f>
        <v>S</v>
      </c>
      <c r="AW147" s="3">
        <v>373</v>
      </c>
      <c r="AX147" s="3" t="str">
        <f>IFERROR(MID(VLOOKUP($B147,Seqs!$A:$B,2,0),AY147,1),"")</f>
        <v>L</v>
      </c>
      <c r="AY147" s="3">
        <v>384</v>
      </c>
      <c r="AZ147" s="79" t="str">
        <f>VLOOKUP(B147,Classification!A:D,2,0)</f>
        <v>A</v>
      </c>
      <c r="BA147" s="96" t="str">
        <f>VLOOKUP(B147,Classification!A:D,4,0)</f>
        <v>Neurotensin</v>
      </c>
      <c r="BB147" s="27" t="b">
        <f t="shared" si="1284"/>
        <v>1</v>
      </c>
      <c r="BC147" s="23">
        <f t="shared" si="1145"/>
        <v>260</v>
      </c>
      <c r="BD147" s="16" t="s">
        <v>1383</v>
      </c>
      <c r="BE147" s="3" t="s">
        <v>1381</v>
      </c>
      <c r="BF147" s="121">
        <v>2.75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1146"/>
        <v>61</v>
      </c>
      <c r="BW147" s="73" t="str">
        <f t="shared" si="1147"/>
        <v>-</v>
      </c>
      <c r="BX147" s="74">
        <f t="shared" si="1148"/>
        <v>97</v>
      </c>
      <c r="BY147" s="73">
        <f t="shared" si="1149"/>
        <v>134</v>
      </c>
      <c r="BZ147" s="74">
        <f t="shared" si="1150"/>
        <v>138</v>
      </c>
      <c r="CA147" s="73" t="str">
        <f t="shared" si="1151"/>
        <v>-</v>
      </c>
      <c r="CB147" s="74">
        <f t="shared" si="1152"/>
        <v>182</v>
      </c>
      <c r="CC147" s="73">
        <f t="shared" si="1153"/>
        <v>225</v>
      </c>
      <c r="CD147" s="74">
        <f t="shared" si="1154"/>
        <v>231</v>
      </c>
      <c r="CE147" s="73">
        <f t="shared" si="1155"/>
        <v>298</v>
      </c>
      <c r="CF147" s="74">
        <f t="shared" si="1156"/>
        <v>340</v>
      </c>
      <c r="CG147" s="73">
        <f t="shared" si="1157"/>
        <v>373</v>
      </c>
      <c r="CH147" s="72">
        <f t="shared" si="1158"/>
        <v>91</v>
      </c>
      <c r="CI147" s="73" t="str">
        <f t="shared" si="1159"/>
        <v>-</v>
      </c>
      <c r="CJ147" s="74">
        <f t="shared" si="1160"/>
        <v>131</v>
      </c>
      <c r="CK147" s="74">
        <f t="shared" si="1161"/>
        <v>137</v>
      </c>
      <c r="CL147" s="74">
        <f t="shared" si="1162"/>
        <v>173</v>
      </c>
      <c r="CM147" s="74" t="str">
        <f t="shared" si="1163"/>
        <v>-</v>
      </c>
      <c r="CN147" s="74">
        <f t="shared" si="1164"/>
        <v>208</v>
      </c>
      <c r="CO147" s="74">
        <f t="shared" si="1165"/>
        <v>227</v>
      </c>
      <c r="CP147" s="74">
        <f t="shared" si="1166"/>
        <v>270</v>
      </c>
      <c r="CQ147" s="74">
        <f t="shared" si="1167"/>
        <v>334</v>
      </c>
      <c r="CR147" s="74">
        <f t="shared" si="1168"/>
        <v>372</v>
      </c>
      <c r="CS147" s="74">
        <f t="shared" si="1169"/>
        <v>384</v>
      </c>
      <c r="CT147" s="23" t="e">
        <f t="shared" si="1170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283"/>
        <v>ntr1_rat_4GRV</v>
      </c>
      <c r="B148" s="3" t="s">
        <v>914</v>
      </c>
      <c r="C148" s="3" t="s">
        <v>50</v>
      </c>
      <c r="D148" s="3" t="str">
        <f>IFERROR(MID(VLOOKUP($B148,Seqs!$A:$B,2,0),E148,1),"")</f>
        <v>I</v>
      </c>
      <c r="E148" s="3">
        <v>61</v>
      </c>
      <c r="F148" s="3" t="str">
        <f>IFERROR(MID(VLOOKUP($B148,Seqs!$A:$B,2,0),G148,1),"")</f>
        <v>T</v>
      </c>
      <c r="G148" s="3">
        <v>88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Q</v>
      </c>
      <c r="M148" s="3">
        <v>99</v>
      </c>
      <c r="N148" s="3" t="str">
        <f>IFERROR(MID(VLOOKUP($B148,Seqs!$A:$B,2,0),O148,1),"")</f>
        <v>V</v>
      </c>
      <c r="O148" s="3">
        <v>131</v>
      </c>
      <c r="P148" s="3" t="str">
        <f>IFERROR(MID(VLOOKUP($B148,Seqs!$A:$B,2,0),Q148,1),"")</f>
        <v>P</v>
      </c>
      <c r="Q148" s="3">
        <v>134</v>
      </c>
      <c r="R148" s="3" t="str">
        <f>IFERROR(MID(VLOOKUP($B148,Seqs!$A:$B,2,0),S148,1),"")</f>
        <v>F</v>
      </c>
      <c r="S148" s="3">
        <v>137</v>
      </c>
      <c r="T148" s="3" t="str">
        <f>IFERROR(MID(VLOOKUP($B148,Seqs!$A:$B,2,0),U148,1),"")</f>
        <v>G</v>
      </c>
      <c r="U148" s="3">
        <v>138</v>
      </c>
      <c r="V148" s="3" t="str">
        <f>IFERROR(MID(VLOOKUP($B148,Seqs!$A:$B,2,0),W148,1),"")</f>
        <v>H</v>
      </c>
      <c r="W148" s="3">
        <v>173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186</v>
      </c>
      <c r="AD148" s="3" t="str">
        <f>IFERROR(MID(VLOOKUP($B148,Seqs!$A:$B,2,0),AE148,1),"")</f>
        <v>M</v>
      </c>
      <c r="AE148" s="3">
        <v>208</v>
      </c>
      <c r="AF148" s="3" t="str">
        <f>IFERROR(MID(VLOOKUP($B148,Seqs!$A:$B,2,0),AG148,1),"")</f>
        <v>C</v>
      </c>
      <c r="AG148" s="3">
        <v>225</v>
      </c>
      <c r="AH148" s="3" t="str">
        <f>IFERROR(MID(VLOOKUP($B148,Seqs!$A:$B,2,0),AI148,1),"")</f>
        <v>P</v>
      </c>
      <c r="AI148" s="3">
        <v>227</v>
      </c>
      <c r="AJ148" s="3" t="str">
        <f>IFERROR(MID(VLOOKUP($B148,Seqs!$A:$B,2,0),AK148,1),"")</f>
        <v>T</v>
      </c>
      <c r="AK148" s="3">
        <v>231</v>
      </c>
      <c r="AL148" s="3" t="str">
        <f>IFERROR(MID(VLOOKUP($B148,Seqs!$A:$B,2,0),AM148,1),"")</f>
        <v>T</v>
      </c>
      <c r="AM148" s="3">
        <v>265</v>
      </c>
      <c r="AN148" s="3" t="str">
        <f>IFERROR(MID(VLOOKUP($B148,Seqs!$A:$B,2,0),AO148,1),"")</f>
        <v>A</v>
      </c>
      <c r="AO148" s="3">
        <v>302</v>
      </c>
      <c r="AP148" s="3" t="str">
        <f>IFERROR(MID(VLOOKUP($B148,Seqs!$A:$B,2,0),AQ148,1),"")</f>
        <v>I</v>
      </c>
      <c r="AQ148" s="3">
        <v>334</v>
      </c>
      <c r="AR148" s="3" t="str">
        <f>IFERROR(MID(VLOOKUP($B148,Seqs!$A:$B,2,0),AS148,1),"")</f>
        <v>T</v>
      </c>
      <c r="AS148" s="3">
        <v>340</v>
      </c>
      <c r="AT148" s="3" t="str">
        <f>IFERROR(MID(VLOOKUP($B148,Seqs!$A:$B,2,0),AU148,1),"")</f>
        <v>S</v>
      </c>
      <c r="AU148" s="3">
        <v>361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9" t="str">
        <f>VLOOKUP(B148,Classification!A:D,2,0)</f>
        <v>A</v>
      </c>
      <c r="BA148" s="96" t="str">
        <f>VLOOKUP(B148,Classification!A:D,4,0)</f>
        <v>Neurotensin</v>
      </c>
      <c r="BB148" s="27" t="b">
        <f t="shared" si="1284"/>
        <v>1</v>
      </c>
      <c r="BC148" s="23">
        <f t="shared" si="1145"/>
        <v>220</v>
      </c>
      <c r="BD148" s="5" t="s">
        <v>23</v>
      </c>
      <c r="BE148" s="3" t="s">
        <v>1439</v>
      </c>
      <c r="BF148" s="121">
        <v>2.8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1146"/>
        <v>61</v>
      </c>
      <c r="BW148" s="73" t="str">
        <f t="shared" si="1147"/>
        <v>-</v>
      </c>
      <c r="BX148" s="74">
        <f t="shared" si="1148"/>
        <v>99</v>
      </c>
      <c r="BY148" s="73">
        <f t="shared" si="1149"/>
        <v>134</v>
      </c>
      <c r="BZ148" s="74">
        <f t="shared" si="1150"/>
        <v>138</v>
      </c>
      <c r="CA148" s="73" t="str">
        <f t="shared" si="1151"/>
        <v>-</v>
      </c>
      <c r="CB148" s="74">
        <f t="shared" si="1152"/>
        <v>186</v>
      </c>
      <c r="CC148" s="73">
        <f t="shared" si="1153"/>
        <v>225</v>
      </c>
      <c r="CD148" s="74">
        <f t="shared" si="1154"/>
        <v>231</v>
      </c>
      <c r="CE148" s="73">
        <f t="shared" si="1155"/>
        <v>302</v>
      </c>
      <c r="CF148" s="74">
        <f t="shared" si="1156"/>
        <v>340</v>
      </c>
      <c r="CG148" s="73" t="str">
        <f t="shared" si="1157"/>
        <v>-</v>
      </c>
      <c r="CH148" s="72">
        <f t="shared" si="1158"/>
        <v>88</v>
      </c>
      <c r="CI148" s="73" t="str">
        <f t="shared" si="1159"/>
        <v>-</v>
      </c>
      <c r="CJ148" s="74">
        <f t="shared" si="1160"/>
        <v>131</v>
      </c>
      <c r="CK148" s="74">
        <f t="shared" si="1161"/>
        <v>137</v>
      </c>
      <c r="CL148" s="74">
        <f t="shared" si="1162"/>
        <v>173</v>
      </c>
      <c r="CM148" s="74" t="str">
        <f t="shared" si="1163"/>
        <v>-</v>
      </c>
      <c r="CN148" s="74">
        <f t="shared" si="1164"/>
        <v>208</v>
      </c>
      <c r="CO148" s="74">
        <f t="shared" si="1165"/>
        <v>227</v>
      </c>
      <c r="CP148" s="74">
        <f t="shared" si="1166"/>
        <v>265</v>
      </c>
      <c r="CQ148" s="74">
        <f t="shared" si="1167"/>
        <v>334</v>
      </c>
      <c r="CR148" s="74">
        <f t="shared" si="1168"/>
        <v>361</v>
      </c>
      <c r="CS148" s="74" t="str">
        <f t="shared" si="1169"/>
        <v>-</v>
      </c>
      <c r="CT148" s="23" t="e">
        <f t="shared" si="1170"/>
        <v>#VALUE!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283"/>
        <v>ntr1_rat_4XEE</v>
      </c>
      <c r="B149" s="3" t="s">
        <v>914</v>
      </c>
      <c r="C149" s="3" t="s">
        <v>1356</v>
      </c>
      <c r="D149" s="3" t="str">
        <f>IFERROR(MID(VLOOKUP($B149,Seqs!$A:$B,2,0),E149,1),"")</f>
        <v>I</v>
      </c>
      <c r="E149" s="3">
        <v>61</v>
      </c>
      <c r="F149" s="3" t="str">
        <f>IFERROR(MID(VLOOKUP($B149,Seqs!$A:$B,2,0),G149,1),"")</f>
        <v>R</v>
      </c>
      <c r="G149" s="3">
        <v>91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S</v>
      </c>
      <c r="M149" s="3">
        <v>100</v>
      </c>
      <c r="N149" s="3" t="str">
        <f>IFERROR(MID(VLOOKUP($B149,Seqs!$A:$B,2,0),O149,1),"")</f>
        <v>V</v>
      </c>
      <c r="O149" s="3">
        <v>131</v>
      </c>
      <c r="P149" s="3" t="str">
        <f>IFERROR(MID(VLOOKUP($B149,Seqs!$A:$B,2,0),Q149,1),"")</f>
        <v>P</v>
      </c>
      <c r="Q149" s="3">
        <v>134</v>
      </c>
      <c r="R149" s="3" t="str">
        <f>IFERROR(MID(VLOOKUP($B149,Seqs!$A:$B,2,0),S149,1),"")</f>
        <v>F</v>
      </c>
      <c r="S149" s="3">
        <v>137</v>
      </c>
      <c r="T149" s="3" t="str">
        <f>IFERROR(MID(VLOOKUP($B149,Seqs!$A:$B,2,0),U149,1),"")</f>
        <v>G</v>
      </c>
      <c r="U149" s="3">
        <v>138</v>
      </c>
      <c r="V149" s="3" t="str">
        <f>IFERROR(MID(VLOOKUP($B149,Seqs!$A:$B,2,0),W149,1),"")</f>
        <v>H</v>
      </c>
      <c r="W149" s="3">
        <v>173</v>
      </c>
      <c r="X149" s="3" t="str">
        <f>IFERROR(MID(VLOOKUP($B149,Seqs!$A:$B,2,0),Y149,1),"")</f>
        <v>P</v>
      </c>
      <c r="Y149" s="3">
        <v>174</v>
      </c>
      <c r="Z149" s="3" t="str">
        <f>IFERROR(MID(VLOOKUP($B149,Seqs!$A:$B,2,0),AA149,1),"")</f>
        <v>M</v>
      </c>
      <c r="AA149" s="3">
        <v>181</v>
      </c>
      <c r="AB149" s="3" t="str">
        <f>IFERROR(MID(VLOOKUP($B149,Seqs!$A:$B,2,0),AC149,1),"")</f>
        <v>S</v>
      </c>
      <c r="AC149" s="9">
        <v>182</v>
      </c>
      <c r="AD149" s="3" t="str">
        <f>IFERROR(MID(VLOOKUP($B149,Seqs!$A:$B,2,0),AE149,1),"")</f>
        <v>M</v>
      </c>
      <c r="AE149" s="3">
        <v>208</v>
      </c>
      <c r="AF149" s="3" t="str">
        <f>IFERROR(MID(VLOOKUP($B149,Seqs!$A:$B,2,0),AG149,1),"")</f>
        <v>C</v>
      </c>
      <c r="AG149" s="3">
        <v>225</v>
      </c>
      <c r="AH149" s="3" t="str">
        <f>IFERROR(MID(VLOOKUP($B149,Seqs!$A:$B,2,0),AI149,1),"")</f>
        <v>P</v>
      </c>
      <c r="AI149" s="3">
        <v>227</v>
      </c>
      <c r="AJ149" s="3" t="str">
        <f>IFERROR(MID(VLOOKUP($B149,Seqs!$A:$B,2,0),AK149,1),"")</f>
        <v>T</v>
      </c>
      <c r="AK149" s="3">
        <v>231</v>
      </c>
      <c r="AL149" s="3" t="str">
        <f>IFERROR(MID(VLOOKUP($B149,Seqs!$A:$B,2,0),AM149,1),"")</f>
        <v>V</v>
      </c>
      <c r="AM149" s="3">
        <v>268</v>
      </c>
      <c r="AN149" s="3" t="str">
        <f>IFERROR(MID(VLOOKUP($B149,Seqs!$A:$B,2,0),AO149,1),"")</f>
        <v>Q</v>
      </c>
      <c r="AO149" s="3">
        <v>301</v>
      </c>
      <c r="AP149" s="3" t="str">
        <f>IFERROR(MID(VLOOKUP($B149,Seqs!$A:$B,2,0),AQ149,1),"")</f>
        <v>I</v>
      </c>
      <c r="AQ149" s="3">
        <v>334</v>
      </c>
      <c r="AR149" s="3" t="str">
        <f>IFERROR(MID(VLOOKUP($B149,Seqs!$A:$B,2,0),AS149,1),"")</f>
        <v>T</v>
      </c>
      <c r="AS149" s="3">
        <v>340</v>
      </c>
      <c r="AT149" s="3" t="str">
        <f>IFERROR(MID(VLOOKUP($B149,Seqs!$A:$B,2,0),AU149,1),"")</f>
        <v>I</v>
      </c>
      <c r="AU149" s="3">
        <v>364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9" t="str">
        <f>VLOOKUP(B149,Classification!A:D,2,0)</f>
        <v>A</v>
      </c>
      <c r="BA149" s="96" t="str">
        <f>VLOOKUP(B149,Classification!A:D,4,0)</f>
        <v>Neurotensin</v>
      </c>
      <c r="BB149" s="27" t="b">
        <f t="shared" si="1284"/>
        <v>1</v>
      </c>
      <c r="BC149" s="23">
        <f t="shared" si="1145"/>
        <v>240</v>
      </c>
      <c r="BD149" s="4" t="s">
        <v>23</v>
      </c>
      <c r="BE149" s="3" t="s">
        <v>1439</v>
      </c>
      <c r="BF149" s="121">
        <v>2.9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1146"/>
        <v>61</v>
      </c>
      <c r="BW149" s="73" t="str">
        <f t="shared" si="1147"/>
        <v>-</v>
      </c>
      <c r="BX149" s="74">
        <f t="shared" si="1148"/>
        <v>100</v>
      </c>
      <c r="BY149" s="73">
        <f t="shared" si="1149"/>
        <v>134</v>
      </c>
      <c r="BZ149" s="74">
        <f t="shared" si="1150"/>
        <v>138</v>
      </c>
      <c r="CA149" s="73">
        <f t="shared" si="1151"/>
        <v>174</v>
      </c>
      <c r="CB149" s="74">
        <f t="shared" si="1152"/>
        <v>182</v>
      </c>
      <c r="CC149" s="73">
        <f t="shared" si="1153"/>
        <v>225</v>
      </c>
      <c r="CD149" s="74">
        <f t="shared" si="1154"/>
        <v>231</v>
      </c>
      <c r="CE149" s="73">
        <f t="shared" si="1155"/>
        <v>301</v>
      </c>
      <c r="CF149" s="74">
        <f t="shared" si="1156"/>
        <v>340</v>
      </c>
      <c r="CG149" s="73" t="str">
        <f t="shared" si="1157"/>
        <v>-</v>
      </c>
      <c r="CH149" s="72">
        <f t="shared" si="1158"/>
        <v>91</v>
      </c>
      <c r="CI149" s="73" t="str">
        <f t="shared" si="1159"/>
        <v>-</v>
      </c>
      <c r="CJ149" s="74">
        <f t="shared" si="1160"/>
        <v>131</v>
      </c>
      <c r="CK149" s="74">
        <f t="shared" si="1161"/>
        <v>137</v>
      </c>
      <c r="CL149" s="74">
        <f t="shared" si="1162"/>
        <v>173</v>
      </c>
      <c r="CM149" s="74">
        <f t="shared" si="1163"/>
        <v>181</v>
      </c>
      <c r="CN149" s="74">
        <f t="shared" si="1164"/>
        <v>208</v>
      </c>
      <c r="CO149" s="74">
        <f t="shared" si="1165"/>
        <v>227</v>
      </c>
      <c r="CP149" s="74">
        <f t="shared" si="1166"/>
        <v>268</v>
      </c>
      <c r="CQ149" s="74">
        <f t="shared" si="1167"/>
        <v>334</v>
      </c>
      <c r="CR149" s="74">
        <f t="shared" si="1168"/>
        <v>364</v>
      </c>
      <c r="CS149" s="74" t="str">
        <f t="shared" si="1169"/>
        <v>-</v>
      </c>
      <c r="CT149" s="23" t="e">
        <f t="shared" si="1170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283"/>
        <v>ntr1_rat_4XES</v>
      </c>
      <c r="B150" s="3" t="s">
        <v>914</v>
      </c>
      <c r="C150" s="3" t="s">
        <v>1357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V</v>
      </c>
      <c r="AM150" s="3">
        <v>268</v>
      </c>
      <c r="AN150" s="3" t="str">
        <f>IFERROR(MID(VLOOKUP($B150,Seqs!$A:$B,2,0),AO150,1),"")</f>
        <v>A</v>
      </c>
      <c r="AO150" s="3">
        <v>302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I</v>
      </c>
      <c r="AU150" s="3">
        <v>364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79" t="str">
        <f>VLOOKUP(B150,Classification!A:D,2,0)</f>
        <v>A</v>
      </c>
      <c r="BA150" s="96" t="str">
        <f>VLOOKUP(B150,Classification!A:D,4,0)</f>
        <v>Neurotensin</v>
      </c>
      <c r="BB150" s="27" t="b">
        <f t="shared" si="1284"/>
        <v>1</v>
      </c>
      <c r="BC150" s="23">
        <f t="shared" si="1145"/>
        <v>243</v>
      </c>
      <c r="BD150" s="5" t="s">
        <v>1440</v>
      </c>
      <c r="BE150" s="3" t="s">
        <v>1439</v>
      </c>
      <c r="BF150" s="121">
        <v>2.6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1146"/>
        <v>61</v>
      </c>
      <c r="BW150" s="73" t="str">
        <f t="shared" si="1147"/>
        <v>-</v>
      </c>
      <c r="BX150" s="74">
        <f t="shared" si="1148"/>
        <v>97</v>
      </c>
      <c r="BY150" s="73">
        <f t="shared" si="1149"/>
        <v>134</v>
      </c>
      <c r="BZ150" s="74">
        <f t="shared" si="1150"/>
        <v>138</v>
      </c>
      <c r="CA150" s="73">
        <f t="shared" si="1151"/>
        <v>174</v>
      </c>
      <c r="CB150" s="74">
        <f t="shared" si="1152"/>
        <v>182</v>
      </c>
      <c r="CC150" s="73">
        <f t="shared" si="1153"/>
        <v>225</v>
      </c>
      <c r="CD150" s="74">
        <f t="shared" si="1154"/>
        <v>231</v>
      </c>
      <c r="CE150" s="73">
        <f t="shared" si="1155"/>
        <v>302</v>
      </c>
      <c r="CF150" s="74">
        <f t="shared" si="1156"/>
        <v>340</v>
      </c>
      <c r="CG150" s="73" t="str">
        <f t="shared" si="1157"/>
        <v>-</v>
      </c>
      <c r="CH150" s="72">
        <f t="shared" si="1158"/>
        <v>92</v>
      </c>
      <c r="CI150" s="73" t="str">
        <f t="shared" si="1159"/>
        <v>-</v>
      </c>
      <c r="CJ150" s="74">
        <f t="shared" si="1160"/>
        <v>131</v>
      </c>
      <c r="CK150" s="74">
        <f t="shared" si="1161"/>
        <v>137</v>
      </c>
      <c r="CL150" s="74">
        <f t="shared" si="1162"/>
        <v>173</v>
      </c>
      <c r="CM150" s="74">
        <f t="shared" si="1163"/>
        <v>181</v>
      </c>
      <c r="CN150" s="74">
        <f t="shared" si="1164"/>
        <v>208</v>
      </c>
      <c r="CO150" s="74">
        <f t="shared" si="1165"/>
        <v>227</v>
      </c>
      <c r="CP150" s="74">
        <f t="shared" si="1166"/>
        <v>268</v>
      </c>
      <c r="CQ150" s="74">
        <f t="shared" si="1167"/>
        <v>334</v>
      </c>
      <c r="CR150" s="74">
        <f t="shared" si="1168"/>
        <v>364</v>
      </c>
      <c r="CS150" s="74" t="str">
        <f t="shared" si="1169"/>
        <v>-</v>
      </c>
      <c r="CT150" s="23" t="e">
        <f t="shared" si="1170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ref="A151" si="1285">CONCATENATE(B151,"_",C151)</f>
        <v>ntr1_rat_5T04</v>
      </c>
      <c r="B151" s="3" t="s">
        <v>914</v>
      </c>
      <c r="C151" s="3" t="s">
        <v>1392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T</v>
      </c>
      <c r="G151" s="3">
        <v>88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H</v>
      </c>
      <c r="M151" s="3">
        <v>103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>P</v>
      </c>
      <c r="Y151" s="3">
        <v>174</v>
      </c>
      <c r="Z151" s="3" t="str">
        <f>IFERROR(MID(VLOOKUP($B151,Seqs!$A:$B,2,0),AA151,1),"")</f>
        <v>M</v>
      </c>
      <c r="AA151" s="3">
        <v>181</v>
      </c>
      <c r="AB151" s="3" t="str">
        <f>IFERROR(MID(VLOOKUP($B151,Seqs!$A:$B,2,0),AC151,1),"")</f>
        <v>S</v>
      </c>
      <c r="AC151" s="3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V</v>
      </c>
      <c r="AM151" s="3">
        <v>268</v>
      </c>
      <c r="AN151" s="3" t="str">
        <f>IFERROR(MID(VLOOKUP($B151,Seqs!$A:$B,2,0),AO151,1),"")</f>
        <v>P</v>
      </c>
      <c r="AO151" s="3">
        <v>297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I</v>
      </c>
      <c r="AU151" s="3">
        <v>364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9" t="str">
        <f>VLOOKUP(B151,Classification!A:D,2,0)</f>
        <v>A</v>
      </c>
      <c r="BA151" s="96" t="str">
        <f>VLOOKUP(B151,Classification!A:D,4,0)</f>
        <v>Neurotensin</v>
      </c>
      <c r="BB151" s="27" t="b">
        <f t="shared" ref="BB151" si="1286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" si="1287">_xlfn.AGGREGATE(9,6,CH151:CS151)-_xlfn.AGGREGATE(9,6,BV151:CG151)+12</f>
        <v>238</v>
      </c>
      <c r="BD151" s="5" t="s">
        <v>1382</v>
      </c>
      <c r="BE151" s="3" t="s">
        <v>1297</v>
      </c>
      <c r="BF151" s="121">
        <v>3.3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ref="BV151" si="1288">E151</f>
        <v>61</v>
      </c>
      <c r="BW151" s="73" t="str">
        <f t="shared" ref="BW151" si="1289">I151</f>
        <v>-</v>
      </c>
      <c r="BX151" s="74">
        <f t="shared" ref="BX151" si="1290">M151</f>
        <v>103</v>
      </c>
      <c r="BY151" s="73">
        <f t="shared" ref="BY151" si="1291">Q151</f>
        <v>134</v>
      </c>
      <c r="BZ151" s="74">
        <f t="shared" ref="BZ151" si="1292">U151</f>
        <v>138</v>
      </c>
      <c r="CA151" s="73">
        <f t="shared" ref="CA151" si="1293">Y151</f>
        <v>174</v>
      </c>
      <c r="CB151" s="74">
        <f t="shared" ref="CB151" si="1294">AC151</f>
        <v>182</v>
      </c>
      <c r="CC151" s="73">
        <f t="shared" ref="CC151" si="1295">AG151</f>
        <v>225</v>
      </c>
      <c r="CD151" s="74">
        <f t="shared" ref="CD151" si="1296">AK151</f>
        <v>231</v>
      </c>
      <c r="CE151" s="73">
        <f t="shared" ref="CE151" si="1297">AO151</f>
        <v>297</v>
      </c>
      <c r="CF151" s="74">
        <f t="shared" ref="CF151" si="1298">AS151</f>
        <v>340</v>
      </c>
      <c r="CG151" s="73" t="str">
        <f t="shared" ref="CG151" si="1299">AW151</f>
        <v>-</v>
      </c>
      <c r="CH151" s="72">
        <f t="shared" ref="CH151" si="1300">G151</f>
        <v>88</v>
      </c>
      <c r="CI151" s="73" t="str">
        <f t="shared" ref="CI151" si="1301">K151</f>
        <v>-</v>
      </c>
      <c r="CJ151" s="74">
        <f t="shared" ref="CJ151" si="1302">O151</f>
        <v>131</v>
      </c>
      <c r="CK151" s="74">
        <f t="shared" ref="CK151" si="1303">S151</f>
        <v>137</v>
      </c>
      <c r="CL151" s="74">
        <f t="shared" ref="CL151" si="1304">W151</f>
        <v>173</v>
      </c>
      <c r="CM151" s="74">
        <f t="shared" ref="CM151" si="1305">AA151</f>
        <v>181</v>
      </c>
      <c r="CN151" s="74">
        <f t="shared" ref="CN151" si="1306">AE151</f>
        <v>208</v>
      </c>
      <c r="CO151" s="74">
        <f t="shared" ref="CO151" si="1307">AI151</f>
        <v>227</v>
      </c>
      <c r="CP151" s="74">
        <f t="shared" ref="CP151" si="1308">AM151</f>
        <v>268</v>
      </c>
      <c r="CQ151" s="74">
        <f t="shared" ref="CQ151" si="1309">AQ151</f>
        <v>334</v>
      </c>
      <c r="CR151" s="74">
        <f t="shared" ref="CR151" si="1310">AU151</f>
        <v>364</v>
      </c>
      <c r="CS151" s="74" t="str">
        <f t="shared" ref="CS151" si="1311">AY151</f>
        <v>-</v>
      </c>
      <c r="CT151" s="23" t="e">
        <f t="shared" ref="CT151" si="1312">M151-K151</f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283"/>
        <v>oprd_human__wt</v>
      </c>
      <c r="B152" s="3" t="s">
        <v>335</v>
      </c>
      <c r="C152" s="3" t="s">
        <v>100</v>
      </c>
      <c r="D152" s="3" t="str">
        <f>IFERROR(MID(VLOOKUP($B152,Seqs!$A:$B,2,0),E152,1),"")</f>
        <v>G</v>
      </c>
      <c r="E152" s="3">
        <v>39</v>
      </c>
      <c r="F152" s="3" t="str">
        <f>IFERROR(MID(VLOOKUP($B152,Seqs!$A:$B,2,0),G152,1),"")</f>
        <v>Y</v>
      </c>
      <c r="G152" s="3">
        <v>77</v>
      </c>
      <c r="H152" s="3" t="str">
        <f>IFERROR(MID(VLOOKUP($B152,Seqs!$A:$B,2,0),I152,1),"")</f>
        <v>T</v>
      </c>
      <c r="I152" s="23">
        <v>78</v>
      </c>
      <c r="J152" s="3" t="str">
        <f>IFERROR(MID(VLOOKUP($B152,Seqs!$A:$B,2,0),K152,1),"")</f>
        <v>K</v>
      </c>
      <c r="K152" s="23">
        <v>81</v>
      </c>
      <c r="L152" s="3" t="str">
        <f>IFERROR(MID(VLOOKUP($B152,Seqs!$A:$B,2,0),M152,1),"")</f>
        <v>T</v>
      </c>
      <c r="M152" s="3">
        <v>82</v>
      </c>
      <c r="N152" s="3" t="str">
        <f>IFERROR(MID(VLOOKUP($B152,Seqs!$A:$B,2,0),O152,1),"")</f>
        <v>M</v>
      </c>
      <c r="O152" s="3">
        <v>111</v>
      </c>
      <c r="P152" s="3" t="str">
        <f>IFERROR(MID(VLOOKUP($B152,Seqs!$A:$B,2,0),Q152,1),"")</f>
        <v>T</v>
      </c>
      <c r="Q152" s="3">
        <v>113</v>
      </c>
      <c r="R152" s="3" t="str">
        <f>IFERROR(MID(VLOOKUP($B152,Seqs!$A:$B,2,0),S152,1),"")</f>
        <v>F</v>
      </c>
      <c r="S152" s="3">
        <v>116</v>
      </c>
      <c r="T152" s="3" t="str">
        <f>IFERROR(MID(VLOOKUP($B152,Seqs!$A:$B,2,0),U152,1),"")</f>
        <v>G</v>
      </c>
      <c r="U152" s="3">
        <v>117</v>
      </c>
      <c r="V152" s="3" t="str">
        <f>IFERROR(MID(VLOOKUP($B152,Seqs!$A:$B,2,0),W152,1),"")</f>
        <v>H</v>
      </c>
      <c r="W152" s="3">
        <v>152</v>
      </c>
      <c r="X152" s="3" t="str">
        <f>IFERROR(MID(VLOOKUP($B152,Seqs!$A:$B,2,0),Y152,1),"")</f>
        <v>P</v>
      </c>
      <c r="Y152" s="3">
        <v>153</v>
      </c>
      <c r="Z152" s="3" t="str">
        <f>IFERROR(MID(VLOOKUP($B152,Seqs!$A:$B,2,0),AA152,1),"")</f>
        <v>R</v>
      </c>
      <c r="AA152" s="3">
        <v>160</v>
      </c>
      <c r="AB152" s="3" t="str">
        <f>IFERROR(MID(VLOOKUP($B152,Seqs!$A:$B,2,0),AC152,1),"")</f>
        <v>T</v>
      </c>
      <c r="AC152" s="9">
        <v>161</v>
      </c>
      <c r="AD152" s="3" t="str">
        <f>IFERROR(MID(VLOOKUP($B152,Seqs!$A:$B,2,0),AE152,1),"")</f>
        <v>A</v>
      </c>
      <c r="AE152" s="3">
        <v>187</v>
      </c>
      <c r="AF152" s="3" t="str">
        <f>IFERROR(MID(VLOOKUP($B152,Seqs!$A:$B,2,0),AG152,1),"")</f>
        <v>C</v>
      </c>
      <c r="AG152" s="3">
        <v>198</v>
      </c>
      <c r="AH152" s="3" t="str">
        <f>IFERROR(MID(VLOOKUP($B152,Seqs!$A:$B,2,0),AI152,1),"")</f>
        <v>L</v>
      </c>
      <c r="AI152" s="3">
        <v>200</v>
      </c>
      <c r="AJ152" s="3" t="str">
        <f>IFERROR(MID(VLOOKUP($B152,Seqs!$A:$B,2,0),AK152,1),"")</f>
        <v>S</v>
      </c>
      <c r="AK152" s="3">
        <v>206</v>
      </c>
      <c r="AL152" s="3" t="str">
        <f>IFERROR(MID(VLOOKUP($B152,Seqs!$A:$B,2,0),AM152,1),"")</f>
        <v>V</v>
      </c>
      <c r="AM152" s="3">
        <v>243</v>
      </c>
      <c r="AN152" s="3" t="str">
        <f>IFERROR(MID(VLOOKUP($B152,Seqs!$A:$B,2,0),AO152,1),"")</f>
        <v>S</v>
      </c>
      <c r="AO152" s="3">
        <v>249</v>
      </c>
      <c r="AP152" s="3" t="str">
        <f>IFERROR(MID(VLOOKUP($B152,Seqs!$A:$B,2,0),AQ152,1),"")</f>
        <v>V</v>
      </c>
      <c r="AQ152" s="3">
        <v>287</v>
      </c>
      <c r="AR152" s="3" t="str">
        <f>IFERROR(MID(VLOOKUP($B152,Seqs!$A:$B,2,0),AS152,1),"")</f>
        <v>D</v>
      </c>
      <c r="AS152" s="3">
        <v>293</v>
      </c>
      <c r="AT152" s="3" t="str">
        <f>IFERROR(MID(VLOOKUP($B152,Seqs!$A:$B,2,0),AU152,1),"")</f>
        <v>L</v>
      </c>
      <c r="AU152" s="3">
        <v>321</v>
      </c>
      <c r="AV152" s="3" t="str">
        <f>IFERROR(MID(VLOOKUP($B152,Seqs!$A:$B,2,0),AW152,1),"")</f>
        <v>D</v>
      </c>
      <c r="AW152" s="3">
        <v>322</v>
      </c>
      <c r="AX152" s="3" t="str">
        <f>IFERROR(MID(VLOOKUP($B152,Seqs!$A:$B,2,0),AY152,1),"")</f>
        <v>K</v>
      </c>
      <c r="AY152" s="3">
        <v>335</v>
      </c>
      <c r="AZ152" s="79" t="str">
        <f>VLOOKUP(B152,Classification!A:D,2,0)</f>
        <v>A</v>
      </c>
      <c r="BA152" s="96" t="str">
        <f>VLOOKUP(B152,Classification!A:D,4,0)</f>
        <v>Opioid</v>
      </c>
      <c r="BB152" s="27" t="b">
        <f t="shared" si="1284"/>
        <v>1</v>
      </c>
      <c r="BC152" s="23">
        <f t="shared" si="1145"/>
        <v>271</v>
      </c>
      <c r="BD152" s="57" t="s">
        <v>1379</v>
      </c>
      <c r="BE152" s="3" t="s">
        <v>23</v>
      </c>
      <c r="BF152" s="121" t="s">
        <v>23</v>
      </c>
      <c r="BG152" s="50" t="s">
        <v>1379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1146"/>
        <v>39</v>
      </c>
      <c r="BW152" s="73">
        <f t="shared" si="1147"/>
        <v>78</v>
      </c>
      <c r="BX152" s="74">
        <f t="shared" si="1148"/>
        <v>82</v>
      </c>
      <c r="BY152" s="73">
        <f t="shared" si="1149"/>
        <v>113</v>
      </c>
      <c r="BZ152" s="74">
        <f t="shared" si="1150"/>
        <v>117</v>
      </c>
      <c r="CA152" s="73">
        <f t="shared" si="1151"/>
        <v>153</v>
      </c>
      <c r="CB152" s="74">
        <f t="shared" si="1152"/>
        <v>161</v>
      </c>
      <c r="CC152" s="73">
        <f t="shared" si="1153"/>
        <v>198</v>
      </c>
      <c r="CD152" s="74">
        <f t="shared" si="1154"/>
        <v>206</v>
      </c>
      <c r="CE152" s="73">
        <f t="shared" si="1155"/>
        <v>249</v>
      </c>
      <c r="CF152" s="74">
        <f t="shared" si="1156"/>
        <v>293</v>
      </c>
      <c r="CG152" s="73">
        <f t="shared" si="1157"/>
        <v>322</v>
      </c>
      <c r="CH152" s="72">
        <f t="shared" si="1158"/>
        <v>77</v>
      </c>
      <c r="CI152" s="73">
        <f t="shared" si="1159"/>
        <v>81</v>
      </c>
      <c r="CJ152" s="74">
        <f t="shared" si="1160"/>
        <v>111</v>
      </c>
      <c r="CK152" s="74">
        <f t="shared" si="1161"/>
        <v>116</v>
      </c>
      <c r="CL152" s="74">
        <f t="shared" si="1162"/>
        <v>152</v>
      </c>
      <c r="CM152" s="74">
        <f t="shared" si="1163"/>
        <v>160</v>
      </c>
      <c r="CN152" s="74">
        <f t="shared" si="1164"/>
        <v>187</v>
      </c>
      <c r="CO152" s="74">
        <f t="shared" si="1165"/>
        <v>200</v>
      </c>
      <c r="CP152" s="74">
        <f t="shared" si="1166"/>
        <v>243</v>
      </c>
      <c r="CQ152" s="74">
        <f t="shared" si="1167"/>
        <v>287</v>
      </c>
      <c r="CR152" s="74">
        <f t="shared" si="1168"/>
        <v>321</v>
      </c>
      <c r="CS152" s="74">
        <f t="shared" si="1169"/>
        <v>335</v>
      </c>
      <c r="CT152" s="23">
        <f t="shared" si="117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283"/>
        <v>oprd_human_4N6H</v>
      </c>
      <c r="B153" s="3" t="s">
        <v>335</v>
      </c>
      <c r="C153" s="3" t="s">
        <v>87</v>
      </c>
      <c r="D153" s="3" t="str">
        <f>IFERROR(MID(VLOOKUP($B153,Seqs!$A:$B,2,0),E153,1),"")</f>
        <v>G</v>
      </c>
      <c r="E153" s="3">
        <v>39</v>
      </c>
      <c r="F153" s="3" t="str">
        <f>IFERROR(MID(VLOOKUP($B153,Seqs!$A:$B,2,0),G153,1),"")</f>
        <v>Y</v>
      </c>
      <c r="G153" s="3">
        <v>77</v>
      </c>
      <c r="H153" s="3" t="str">
        <f>IFERROR(MID(VLOOKUP($B153,Seqs!$A:$B,2,0),I153,1),"")</f>
        <v>T</v>
      </c>
      <c r="I153" s="23">
        <v>78</v>
      </c>
      <c r="J153" s="3" t="str">
        <f>IFERROR(MID(VLOOKUP($B153,Seqs!$A:$B,2,0),K153,1),"")</f>
        <v>K</v>
      </c>
      <c r="K153" s="23">
        <v>81</v>
      </c>
      <c r="L153" s="3" t="str">
        <f>IFERROR(MID(VLOOKUP($B153,Seqs!$A:$B,2,0),M153,1),"")</f>
        <v>T</v>
      </c>
      <c r="M153" s="3">
        <v>82</v>
      </c>
      <c r="N153" s="3" t="str">
        <f>IFERROR(MID(VLOOKUP($B153,Seqs!$A:$B,2,0),O153,1),"")</f>
        <v>M</v>
      </c>
      <c r="O153" s="3">
        <v>111</v>
      </c>
      <c r="P153" s="3" t="str">
        <f>IFERROR(MID(VLOOKUP($B153,Seqs!$A:$B,2,0),Q153,1),"")</f>
        <v>T</v>
      </c>
      <c r="Q153" s="3">
        <v>113</v>
      </c>
      <c r="R153" s="3" t="str">
        <f>IFERROR(MID(VLOOKUP($B153,Seqs!$A:$B,2,0),S153,1),"")</f>
        <v>F</v>
      </c>
      <c r="S153" s="3">
        <v>116</v>
      </c>
      <c r="T153" s="3" t="str">
        <f>IFERROR(MID(VLOOKUP($B153,Seqs!$A:$B,2,0),U153,1),"")</f>
        <v>G</v>
      </c>
      <c r="U153" s="3">
        <v>117</v>
      </c>
      <c r="V153" s="3" t="str">
        <f>IFERROR(MID(VLOOKUP($B153,Seqs!$A:$B,2,0),W153,1),"")</f>
        <v>H</v>
      </c>
      <c r="W153" s="3">
        <v>152</v>
      </c>
      <c r="X153" s="3" t="str">
        <f>IFERROR(MID(VLOOKUP($B153,Seqs!$A:$B,2,0),Y153,1),"")</f>
        <v>P</v>
      </c>
      <c r="Y153" s="3">
        <v>153</v>
      </c>
      <c r="Z153" s="3" t="str">
        <f>IFERROR(MID(VLOOKUP($B153,Seqs!$A:$B,2,0),AA153,1),"")</f>
        <v>R</v>
      </c>
      <c r="AA153" s="3">
        <v>160</v>
      </c>
      <c r="AB153" s="3" t="str">
        <f>IFERROR(MID(VLOOKUP($B153,Seqs!$A:$B,2,0),AC153,1),"")</f>
        <v>T</v>
      </c>
      <c r="AC153" s="9">
        <v>161</v>
      </c>
      <c r="AD153" s="3" t="str">
        <f>IFERROR(MID(VLOOKUP($B153,Seqs!$A:$B,2,0),AE153,1),"")</f>
        <v>A</v>
      </c>
      <c r="AE153" s="3">
        <v>187</v>
      </c>
      <c r="AF153" s="3" t="str">
        <f>IFERROR(MID(VLOOKUP($B153,Seqs!$A:$B,2,0),AG153,1),"")</f>
        <v>C</v>
      </c>
      <c r="AG153" s="3">
        <v>198</v>
      </c>
      <c r="AH153" s="3" t="str">
        <f>IFERROR(MID(VLOOKUP($B153,Seqs!$A:$B,2,0),AI153,1),"")</f>
        <v>L</v>
      </c>
      <c r="AI153" s="3">
        <v>200</v>
      </c>
      <c r="AJ153" s="3" t="str">
        <f>IFERROR(MID(VLOOKUP($B153,Seqs!$A:$B,2,0),AK153,1),"")</f>
        <v>S</v>
      </c>
      <c r="AK153" s="3">
        <v>206</v>
      </c>
      <c r="AL153" s="3" t="str">
        <f>IFERROR(MID(VLOOKUP($B153,Seqs!$A:$B,2,0),AM153,1),"")</f>
        <v>V</v>
      </c>
      <c r="AM153" s="3">
        <v>243</v>
      </c>
      <c r="AN153" s="3" t="str">
        <f>IFERROR(MID(VLOOKUP($B153,Seqs!$A:$B,2,0),AO153,1),"")</f>
        <v>S</v>
      </c>
      <c r="AO153" s="3">
        <v>249</v>
      </c>
      <c r="AP153" s="3" t="str">
        <f>IFERROR(MID(VLOOKUP($B153,Seqs!$A:$B,2,0),AQ153,1),"")</f>
        <v>V</v>
      </c>
      <c r="AQ153" s="3">
        <v>287</v>
      </c>
      <c r="AR153" s="3" t="str">
        <f>IFERROR(MID(VLOOKUP($B153,Seqs!$A:$B,2,0),AS153,1),"")</f>
        <v>D</v>
      </c>
      <c r="AS153" s="3">
        <v>293</v>
      </c>
      <c r="AT153" s="3" t="str">
        <f>IFERROR(MID(VLOOKUP($B153,Seqs!$A:$B,2,0),AU153,1),"")</f>
        <v>L</v>
      </c>
      <c r="AU153" s="3">
        <v>321</v>
      </c>
      <c r="AV153" s="3" t="str">
        <f>IFERROR(MID(VLOOKUP($B153,Seqs!$A:$B,2,0),AW153,1),"")</f>
        <v>D</v>
      </c>
      <c r="AW153" s="3">
        <v>322</v>
      </c>
      <c r="AX153" s="3" t="str">
        <f>IFERROR(MID(VLOOKUP($B153,Seqs!$A:$B,2,0),AY153,1),"")</f>
        <v>K</v>
      </c>
      <c r="AY153" s="3">
        <v>335</v>
      </c>
      <c r="AZ153" s="79" t="str">
        <f>VLOOKUP(B153,Classification!A:D,2,0)</f>
        <v>A</v>
      </c>
      <c r="BA153" s="96" t="str">
        <f>VLOOKUP(B153,Classification!A:D,4,0)</f>
        <v>Opioid</v>
      </c>
      <c r="BB153" s="27" t="b">
        <f t="shared" si="1284"/>
        <v>1</v>
      </c>
      <c r="BC153" s="23">
        <f t="shared" si="1145"/>
        <v>271</v>
      </c>
      <c r="BD153" s="16" t="s">
        <v>1383</v>
      </c>
      <c r="BE153" s="3" t="s">
        <v>1381</v>
      </c>
      <c r="BF153" s="121">
        <v>1.8</v>
      </c>
      <c r="BG153" s="50" t="s">
        <v>1384</v>
      </c>
      <c r="BH153" s="50" t="s">
        <v>1384</v>
      </c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1146"/>
        <v>39</v>
      </c>
      <c r="BW153" s="73">
        <f t="shared" si="1147"/>
        <v>78</v>
      </c>
      <c r="BX153" s="74">
        <f t="shared" si="1148"/>
        <v>82</v>
      </c>
      <c r="BY153" s="73">
        <f t="shared" si="1149"/>
        <v>113</v>
      </c>
      <c r="BZ153" s="74">
        <f t="shared" si="1150"/>
        <v>117</v>
      </c>
      <c r="CA153" s="73">
        <f t="shared" si="1151"/>
        <v>153</v>
      </c>
      <c r="CB153" s="74">
        <f t="shared" si="1152"/>
        <v>161</v>
      </c>
      <c r="CC153" s="73">
        <f t="shared" si="1153"/>
        <v>198</v>
      </c>
      <c r="CD153" s="74">
        <f t="shared" si="1154"/>
        <v>206</v>
      </c>
      <c r="CE153" s="73">
        <f t="shared" si="1155"/>
        <v>249</v>
      </c>
      <c r="CF153" s="74">
        <f t="shared" si="1156"/>
        <v>293</v>
      </c>
      <c r="CG153" s="73">
        <f t="shared" si="1157"/>
        <v>322</v>
      </c>
      <c r="CH153" s="72">
        <f t="shared" si="1158"/>
        <v>77</v>
      </c>
      <c r="CI153" s="73">
        <f t="shared" si="1159"/>
        <v>81</v>
      </c>
      <c r="CJ153" s="74">
        <f t="shared" si="1160"/>
        <v>111</v>
      </c>
      <c r="CK153" s="74">
        <f t="shared" si="1161"/>
        <v>116</v>
      </c>
      <c r="CL153" s="74">
        <f t="shared" si="1162"/>
        <v>152</v>
      </c>
      <c r="CM153" s="74">
        <f t="shared" si="1163"/>
        <v>160</v>
      </c>
      <c r="CN153" s="74">
        <f t="shared" si="1164"/>
        <v>187</v>
      </c>
      <c r="CO153" s="74">
        <f t="shared" si="1165"/>
        <v>200</v>
      </c>
      <c r="CP153" s="74">
        <f t="shared" si="1166"/>
        <v>243</v>
      </c>
      <c r="CQ153" s="74">
        <f t="shared" si="1167"/>
        <v>287</v>
      </c>
      <c r="CR153" s="74">
        <f t="shared" si="1168"/>
        <v>321</v>
      </c>
      <c r="CS153" s="74">
        <f t="shared" si="1169"/>
        <v>335</v>
      </c>
      <c r="CT153" s="23">
        <f t="shared" si="117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s="2" customFormat="1" x14ac:dyDescent="0.2">
      <c r="A154" s="3" t="str">
        <f t="shared" si="1283"/>
        <v>oprd_human_4RWD</v>
      </c>
      <c r="B154" s="1" t="s">
        <v>335</v>
      </c>
      <c r="C154" s="1" t="s">
        <v>1344</v>
      </c>
      <c r="D154" s="3" t="str">
        <f>IFERROR(MID(VLOOKUP($B154,Seqs!$A:$B,2,0),E154,1),"")</f>
        <v>A</v>
      </c>
      <c r="E154" s="3">
        <v>43</v>
      </c>
      <c r="F154" s="3" t="str">
        <f>IFERROR(MID(VLOOKUP($B154,Seqs!$A:$B,2,0),G154,1),"")</f>
        <v>Y</v>
      </c>
      <c r="G154" s="3">
        <v>77</v>
      </c>
      <c r="H154" s="3" t="str">
        <f>IFERROR(MID(VLOOKUP($B154,Seqs!$A:$B,2,0),I154,1),"")</f>
        <v>T</v>
      </c>
      <c r="I154" s="23">
        <v>78</v>
      </c>
      <c r="J154" s="3" t="str">
        <f>IFERROR(MID(VLOOKUP($B154,Seqs!$A:$B,2,0),K154,1),"")</f>
        <v>K</v>
      </c>
      <c r="K154" s="23">
        <v>81</v>
      </c>
      <c r="L154" s="3" t="str">
        <f>IFERROR(MID(VLOOKUP($B154,Seqs!$A:$B,2,0),M154,1),"")</f>
        <v>T</v>
      </c>
      <c r="M154" s="3">
        <v>82</v>
      </c>
      <c r="N154" s="3" t="str">
        <f>IFERROR(MID(VLOOKUP($B154,Seqs!$A:$B,2,0),O154,1),"")</f>
        <v>M</v>
      </c>
      <c r="O154" s="3">
        <v>111</v>
      </c>
      <c r="P154" s="3" t="str">
        <f>IFERROR(MID(VLOOKUP($B154,Seqs!$A:$B,2,0),Q154,1),"")</f>
        <v>T</v>
      </c>
      <c r="Q154" s="3">
        <v>113</v>
      </c>
      <c r="R154" s="3" t="str">
        <f>IFERROR(MID(VLOOKUP($B154,Seqs!$A:$B,2,0),S154,1),"")</f>
        <v>F</v>
      </c>
      <c r="S154" s="3">
        <v>116</v>
      </c>
      <c r="T154" s="3" t="str">
        <f>IFERROR(MID(VLOOKUP($B154,Seqs!$A:$B,2,0),U154,1),"")</f>
        <v>G</v>
      </c>
      <c r="U154" s="3">
        <v>117</v>
      </c>
      <c r="V154" s="3" t="str">
        <f>IFERROR(MID(VLOOKUP($B154,Seqs!$A:$B,2,0),W154,1),"")</f>
        <v>H</v>
      </c>
      <c r="W154" s="3">
        <v>152</v>
      </c>
      <c r="X154" s="3" t="str">
        <f>IFERROR(MID(VLOOKUP($B154,Seqs!$A:$B,2,0),Y154,1),"")</f>
        <v>P</v>
      </c>
      <c r="Y154" s="3">
        <v>153</v>
      </c>
      <c r="Z154" s="3" t="str">
        <f>IFERROR(MID(VLOOKUP($B154,Seqs!$A:$B,2,0),AA154,1),"")</f>
        <v>R</v>
      </c>
      <c r="AA154" s="3">
        <v>160</v>
      </c>
      <c r="AB154" s="3" t="str">
        <f>IFERROR(MID(VLOOKUP($B154,Seqs!$A:$B,2,0),AC154,1),"")</f>
        <v>T</v>
      </c>
      <c r="AC154" s="9">
        <v>161</v>
      </c>
      <c r="AD154" s="3" t="str">
        <f>IFERROR(MID(VLOOKUP($B154,Seqs!$A:$B,2,0),AE154,1),"")</f>
        <v>A</v>
      </c>
      <c r="AE154" s="3">
        <v>187</v>
      </c>
      <c r="AF154" s="3" t="str">
        <f>IFERROR(MID(VLOOKUP($B154,Seqs!$A:$B,2,0),AG154,1),"")</f>
        <v>C</v>
      </c>
      <c r="AG154" s="3">
        <v>198</v>
      </c>
      <c r="AH154" s="3" t="str">
        <f>IFERROR(MID(VLOOKUP($B154,Seqs!$A:$B,2,0),AI154,1),"")</f>
        <v>L</v>
      </c>
      <c r="AI154" s="3">
        <v>200</v>
      </c>
      <c r="AJ154" s="3" t="str">
        <f>IFERROR(MID(VLOOKUP($B154,Seqs!$A:$B,2,0),AK154,1),"")</f>
        <v>S</v>
      </c>
      <c r="AK154" s="3">
        <v>206</v>
      </c>
      <c r="AL154" s="3" t="str">
        <f>IFERROR(MID(VLOOKUP($B154,Seqs!$A:$B,2,0),AM154,1),"")</f>
        <v>V</v>
      </c>
      <c r="AM154" s="3">
        <v>243</v>
      </c>
      <c r="AN154" s="3" t="str">
        <f>IFERROR(MID(VLOOKUP($B154,Seqs!$A:$B,2,0),AO154,1),"")</f>
        <v>S</v>
      </c>
      <c r="AO154" s="3">
        <v>249</v>
      </c>
      <c r="AP154" s="3" t="str">
        <f>IFERROR(MID(VLOOKUP($B154,Seqs!$A:$B,2,0),AQ154,1),"")</f>
        <v>V</v>
      </c>
      <c r="AQ154" s="3">
        <v>287</v>
      </c>
      <c r="AR154" s="3" t="str">
        <f>IFERROR(MID(VLOOKUP($B154,Seqs!$A:$B,2,0),AS154,1),"")</f>
        <v>D</v>
      </c>
      <c r="AS154" s="3">
        <v>293</v>
      </c>
      <c r="AT154" s="3" t="str">
        <f>IFERROR(MID(VLOOKUP($B154,Seqs!$A:$B,2,0),AU154,1),"")</f>
        <v>L</v>
      </c>
      <c r="AU154" s="3">
        <v>321</v>
      </c>
      <c r="AV154" s="3" t="str">
        <f>IFERROR(MID(VLOOKUP($B154,Seqs!$A:$B,2,0),AW154,1),"")</f>
        <v>D</v>
      </c>
      <c r="AW154" s="3">
        <v>322</v>
      </c>
      <c r="AX154" s="3" t="str">
        <f>IFERROR(MID(VLOOKUP($B154,Seqs!$A:$B,2,0),AY154,1),"")</f>
        <v>C</v>
      </c>
      <c r="AY154" s="3">
        <v>333</v>
      </c>
      <c r="AZ154" s="79" t="str">
        <f>VLOOKUP(B154,Classification!A:D,2,0)</f>
        <v>A</v>
      </c>
      <c r="BA154" s="96" t="str">
        <f>VLOOKUP(B154,Classification!A:D,4,0)</f>
        <v>Opioid</v>
      </c>
      <c r="BB154" s="27" t="b">
        <f t="shared" si="1284"/>
        <v>1</v>
      </c>
      <c r="BC154" s="23">
        <f t="shared" si="1145"/>
        <v>265</v>
      </c>
      <c r="BD154" s="16" t="s">
        <v>23</v>
      </c>
      <c r="BE154" s="3" t="s">
        <v>1381</v>
      </c>
      <c r="BF154" s="121">
        <v>2.7</v>
      </c>
      <c r="BG154" s="50" t="s">
        <v>1384</v>
      </c>
      <c r="BH154" s="50" t="s">
        <v>1384</v>
      </c>
      <c r="BI154" s="3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1146"/>
        <v>43</v>
      </c>
      <c r="BW154" s="73">
        <f t="shared" si="1147"/>
        <v>78</v>
      </c>
      <c r="BX154" s="74">
        <f t="shared" si="1148"/>
        <v>82</v>
      </c>
      <c r="BY154" s="73">
        <f t="shared" si="1149"/>
        <v>113</v>
      </c>
      <c r="BZ154" s="74">
        <f t="shared" si="1150"/>
        <v>117</v>
      </c>
      <c r="CA154" s="73">
        <f t="shared" si="1151"/>
        <v>153</v>
      </c>
      <c r="CB154" s="74">
        <f t="shared" si="1152"/>
        <v>161</v>
      </c>
      <c r="CC154" s="73">
        <f t="shared" si="1153"/>
        <v>198</v>
      </c>
      <c r="CD154" s="74">
        <f t="shared" si="1154"/>
        <v>206</v>
      </c>
      <c r="CE154" s="73">
        <f t="shared" si="1155"/>
        <v>249</v>
      </c>
      <c r="CF154" s="74">
        <f t="shared" si="1156"/>
        <v>293</v>
      </c>
      <c r="CG154" s="73">
        <f t="shared" si="1157"/>
        <v>322</v>
      </c>
      <c r="CH154" s="72">
        <f t="shared" si="1158"/>
        <v>77</v>
      </c>
      <c r="CI154" s="73">
        <f t="shared" si="1159"/>
        <v>81</v>
      </c>
      <c r="CJ154" s="74">
        <f t="shared" si="1160"/>
        <v>111</v>
      </c>
      <c r="CK154" s="74">
        <f t="shared" si="1161"/>
        <v>116</v>
      </c>
      <c r="CL154" s="74">
        <f t="shared" si="1162"/>
        <v>152</v>
      </c>
      <c r="CM154" s="74">
        <f t="shared" si="1163"/>
        <v>160</v>
      </c>
      <c r="CN154" s="74">
        <f t="shared" si="1164"/>
        <v>187</v>
      </c>
      <c r="CO154" s="74">
        <f t="shared" si="1165"/>
        <v>200</v>
      </c>
      <c r="CP154" s="74">
        <f t="shared" si="1166"/>
        <v>243</v>
      </c>
      <c r="CQ154" s="74">
        <f t="shared" si="1167"/>
        <v>287</v>
      </c>
      <c r="CR154" s="74">
        <f t="shared" si="1168"/>
        <v>321</v>
      </c>
      <c r="CS154" s="74">
        <f t="shared" si="1169"/>
        <v>333</v>
      </c>
      <c r="CT154" s="23">
        <f t="shared" si="117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</row>
    <row r="155" spans="1:1030" s="2" customFormat="1" x14ac:dyDescent="0.2">
      <c r="A155" s="3" t="str">
        <f t="shared" si="1283"/>
        <v>oprd_mouse__wt</v>
      </c>
      <c r="B155" s="3" t="s">
        <v>916</v>
      </c>
      <c r="C155" s="3" t="s">
        <v>100</v>
      </c>
      <c r="D155" s="3" t="str">
        <f>IFERROR(MID(VLOOKUP($B155,Seqs!$A:$B,2,0),E155,1),"")</f>
        <v>R</v>
      </c>
      <c r="E155" s="3">
        <v>41</v>
      </c>
      <c r="F155" s="3" t="str">
        <f>IFERROR(MID(VLOOKUP($B155,Seqs!$A:$B,2,0),G155,1),"")</f>
        <v>Y</v>
      </c>
      <c r="G155" s="3">
        <v>77</v>
      </c>
      <c r="H155" s="3" t="str">
        <f>IFERROR(MID(VLOOKUP($B155,Seqs!$A:$B,2,0),I155,1),"")</f>
        <v>T</v>
      </c>
      <c r="I155" s="23">
        <v>78</v>
      </c>
      <c r="J155" s="3" t="str">
        <f>IFERROR(MID(VLOOKUP($B155,Seqs!$A:$B,2,0),K155,1),"")</f>
        <v>K</v>
      </c>
      <c r="K155" s="23">
        <v>81</v>
      </c>
      <c r="L155" s="3" t="str">
        <f>IFERROR(MID(VLOOKUP($B155,Seqs!$A:$B,2,0),M155,1),"")</f>
        <v>T</v>
      </c>
      <c r="M155" s="3">
        <v>82</v>
      </c>
      <c r="N155" s="3" t="str">
        <f>IFERROR(MID(VLOOKUP($B155,Seqs!$A:$B,2,0),O155,1),"")</f>
        <v>M</v>
      </c>
      <c r="O155" s="3">
        <v>111</v>
      </c>
      <c r="P155" s="3" t="str">
        <f>IFERROR(MID(VLOOKUP($B155,Seqs!$A:$B,2,0),Q155,1),"")</f>
        <v>T</v>
      </c>
      <c r="Q155" s="3">
        <v>113</v>
      </c>
      <c r="R155" s="3" t="str">
        <f>IFERROR(MID(VLOOKUP($B155,Seqs!$A:$B,2,0),S155,1),"")</f>
        <v>F</v>
      </c>
      <c r="S155" s="3">
        <v>116</v>
      </c>
      <c r="T155" s="3" t="str">
        <f>IFERROR(MID(VLOOKUP($B155,Seqs!$A:$B,2,0),U155,1),"")</f>
        <v>G</v>
      </c>
      <c r="U155" s="3">
        <v>117</v>
      </c>
      <c r="V155" s="3" t="str">
        <f>IFERROR(MID(VLOOKUP($B155,Seqs!$A:$B,2,0),W155,1),"")</f>
        <v>H</v>
      </c>
      <c r="W155" s="3">
        <v>152</v>
      </c>
      <c r="X155" s="3" t="str">
        <f>IFERROR(MID(VLOOKUP($B155,Seqs!$A:$B,2,0),Y155,1),"")</f>
        <v>P</v>
      </c>
      <c r="Y155" s="3">
        <v>153</v>
      </c>
      <c r="Z155" s="3" t="str">
        <f>IFERROR(MID(VLOOKUP($B155,Seqs!$A:$B,2,0),AA155,1),"")</f>
        <v>R</v>
      </c>
      <c r="AA155" s="3">
        <v>160</v>
      </c>
      <c r="AB155" s="3" t="str">
        <f>IFERROR(MID(VLOOKUP($B155,Seqs!$A:$B,2,0),AC155,1),"")</f>
        <v>T</v>
      </c>
      <c r="AC155" s="9">
        <v>161</v>
      </c>
      <c r="AD155" s="3" t="str">
        <f>IFERROR(MID(VLOOKUP($B155,Seqs!$A:$B,2,0),AE155,1),"")</f>
        <v>A</v>
      </c>
      <c r="AE155" s="3">
        <v>187</v>
      </c>
      <c r="AF155" s="3" t="str">
        <f>IFERROR(MID(VLOOKUP($B155,Seqs!$A:$B,2,0),AG155,1),"")</f>
        <v>C</v>
      </c>
      <c r="AG155" s="3">
        <v>198</v>
      </c>
      <c r="AH155" s="3" t="str">
        <f>IFERROR(MID(VLOOKUP($B155,Seqs!$A:$B,2,0),AI155,1),"")</f>
        <v>L</v>
      </c>
      <c r="AI155" s="3">
        <v>200</v>
      </c>
      <c r="AJ155" s="3" t="str">
        <f>IFERROR(MID(VLOOKUP($B155,Seqs!$A:$B,2,0),AK155,1),"")</f>
        <v>S</v>
      </c>
      <c r="AK155" s="3">
        <v>206</v>
      </c>
      <c r="AL155" s="3" t="str">
        <f>IFERROR(MID(VLOOKUP($B155,Seqs!$A:$B,2,0),AM155,1),"")</f>
        <v>V</v>
      </c>
      <c r="AM155" s="3">
        <v>243</v>
      </c>
      <c r="AN155" s="3" t="str">
        <f>IFERROR(MID(VLOOKUP($B155,Seqs!$A:$B,2,0),AO155,1),"")</f>
        <v>S</v>
      </c>
      <c r="AO155" s="3">
        <v>249</v>
      </c>
      <c r="AP155" s="3" t="str">
        <f>IFERROR(MID(VLOOKUP($B155,Seqs!$A:$B,2,0),AQ155,1),"")</f>
        <v>V</v>
      </c>
      <c r="AQ155" s="3">
        <v>287</v>
      </c>
      <c r="AR155" s="3" t="str">
        <f>IFERROR(MID(VLOOKUP($B155,Seqs!$A:$B,2,0),AS155,1),"")</f>
        <v>D</v>
      </c>
      <c r="AS155" s="3">
        <v>293</v>
      </c>
      <c r="AT155" s="3" t="str">
        <f>IFERROR(MID(VLOOKUP($B155,Seqs!$A:$B,2,0),AU155,1),"")</f>
        <v>L</v>
      </c>
      <c r="AU155" s="3">
        <v>321</v>
      </c>
      <c r="AV155" s="3" t="str">
        <f>IFERROR(MID(VLOOKUP($B155,Seqs!$A:$B,2,0),AW155,1),"")</f>
        <v>D</v>
      </c>
      <c r="AW155" s="3">
        <v>322</v>
      </c>
      <c r="AX155" s="3" t="str">
        <f>IFERROR(MID(VLOOKUP($B155,Seqs!$A:$B,2,0),AY155,1),"")</f>
        <v>T</v>
      </c>
      <c r="AY155" s="3">
        <v>335</v>
      </c>
      <c r="AZ155" s="79" t="str">
        <f>VLOOKUP(B155,Classification!A:D,2,0)</f>
        <v>A</v>
      </c>
      <c r="BA155" s="96" t="str">
        <f>VLOOKUP(B155,Classification!A:D,4,0)</f>
        <v>Opioid</v>
      </c>
      <c r="BB155" s="27" t="b">
        <f t="shared" si="1284"/>
        <v>1</v>
      </c>
      <c r="BC155" s="23">
        <f t="shared" si="1145"/>
        <v>269</v>
      </c>
      <c r="BD155" s="57" t="s">
        <v>1379</v>
      </c>
      <c r="BE155" s="3" t="s">
        <v>23</v>
      </c>
      <c r="BF155" s="121" t="s">
        <v>23</v>
      </c>
      <c r="BG155" s="50" t="s">
        <v>1379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1146"/>
        <v>41</v>
      </c>
      <c r="BW155" s="73">
        <f t="shared" si="1147"/>
        <v>78</v>
      </c>
      <c r="BX155" s="74">
        <f t="shared" si="1148"/>
        <v>82</v>
      </c>
      <c r="BY155" s="73">
        <f t="shared" si="1149"/>
        <v>113</v>
      </c>
      <c r="BZ155" s="74">
        <f t="shared" si="1150"/>
        <v>117</v>
      </c>
      <c r="CA155" s="73">
        <f t="shared" si="1151"/>
        <v>153</v>
      </c>
      <c r="CB155" s="74">
        <f t="shared" si="1152"/>
        <v>161</v>
      </c>
      <c r="CC155" s="73">
        <f t="shared" si="1153"/>
        <v>198</v>
      </c>
      <c r="CD155" s="74">
        <f t="shared" si="1154"/>
        <v>206</v>
      </c>
      <c r="CE155" s="73">
        <f t="shared" si="1155"/>
        <v>249</v>
      </c>
      <c r="CF155" s="74">
        <f t="shared" si="1156"/>
        <v>293</v>
      </c>
      <c r="CG155" s="73">
        <f t="shared" si="1157"/>
        <v>322</v>
      </c>
      <c r="CH155" s="72">
        <f t="shared" si="1158"/>
        <v>77</v>
      </c>
      <c r="CI155" s="73">
        <f t="shared" si="1159"/>
        <v>81</v>
      </c>
      <c r="CJ155" s="74">
        <f t="shared" si="1160"/>
        <v>111</v>
      </c>
      <c r="CK155" s="74">
        <f t="shared" si="1161"/>
        <v>116</v>
      </c>
      <c r="CL155" s="74">
        <f t="shared" si="1162"/>
        <v>152</v>
      </c>
      <c r="CM155" s="74">
        <f t="shared" si="1163"/>
        <v>160</v>
      </c>
      <c r="CN155" s="74">
        <f t="shared" si="1164"/>
        <v>187</v>
      </c>
      <c r="CO155" s="74">
        <f t="shared" si="1165"/>
        <v>200</v>
      </c>
      <c r="CP155" s="74">
        <f t="shared" si="1166"/>
        <v>243</v>
      </c>
      <c r="CQ155" s="74">
        <f t="shared" si="1167"/>
        <v>287</v>
      </c>
      <c r="CR155" s="74">
        <f t="shared" si="1168"/>
        <v>321</v>
      </c>
      <c r="CS155" s="74">
        <f t="shared" si="1169"/>
        <v>335</v>
      </c>
      <c r="CT155" s="23">
        <f t="shared" si="117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</row>
    <row r="156" spans="1:1030" s="2" customFormat="1" x14ac:dyDescent="0.2">
      <c r="A156" s="3" t="str">
        <f t="shared" si="1283"/>
        <v>oprd_mouse_4EJ4</v>
      </c>
      <c r="B156" s="3" t="s">
        <v>916</v>
      </c>
      <c r="C156" s="3" t="s">
        <v>64</v>
      </c>
      <c r="D156" s="3" t="str">
        <f>IFERROR(MID(VLOOKUP($B156,Seqs!$A:$B,2,0),E156,1),"")</f>
        <v>R</v>
      </c>
      <c r="E156" s="3">
        <v>41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L</v>
      </c>
      <c r="AM156" s="3">
        <v>238</v>
      </c>
      <c r="AN156" s="3" t="str">
        <f>IFERROR(MID(VLOOKUP($B156,Seqs!$A:$B,2,0),AO156,1),"")</f>
        <v>R</v>
      </c>
      <c r="AO156" s="3">
        <v>258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C</v>
      </c>
      <c r="AY156" s="3">
        <v>328</v>
      </c>
      <c r="AZ156" s="79" t="str">
        <f>VLOOKUP(B156,Classification!A:D,2,0)</f>
        <v>A</v>
      </c>
      <c r="BA156" s="96" t="str">
        <f>VLOOKUP(B156,Classification!A:D,4,0)</f>
        <v>Opioid</v>
      </c>
      <c r="BB156" s="27" t="b">
        <f t="shared" si="1284"/>
        <v>1</v>
      </c>
      <c r="BC156" s="23">
        <f t="shared" si="1145"/>
        <v>248</v>
      </c>
      <c r="BD156" s="2" t="s">
        <v>1383</v>
      </c>
      <c r="BE156" s="3" t="s">
        <v>1381</v>
      </c>
      <c r="BF156" s="121">
        <v>3.4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1146"/>
        <v>41</v>
      </c>
      <c r="BW156" s="73">
        <f t="shared" si="1147"/>
        <v>78</v>
      </c>
      <c r="BX156" s="74">
        <f t="shared" si="1148"/>
        <v>82</v>
      </c>
      <c r="BY156" s="73">
        <f t="shared" si="1149"/>
        <v>113</v>
      </c>
      <c r="BZ156" s="74">
        <f t="shared" si="1150"/>
        <v>117</v>
      </c>
      <c r="CA156" s="73">
        <f t="shared" si="1151"/>
        <v>153</v>
      </c>
      <c r="CB156" s="74">
        <f t="shared" si="1152"/>
        <v>161</v>
      </c>
      <c r="CC156" s="73">
        <f t="shared" si="1153"/>
        <v>198</v>
      </c>
      <c r="CD156" s="74">
        <f t="shared" si="1154"/>
        <v>206</v>
      </c>
      <c r="CE156" s="73">
        <f t="shared" si="1155"/>
        <v>258</v>
      </c>
      <c r="CF156" s="74">
        <f t="shared" si="1156"/>
        <v>293</v>
      </c>
      <c r="CG156" s="73">
        <f t="shared" si="1157"/>
        <v>322</v>
      </c>
      <c r="CH156" s="72">
        <f t="shared" si="1158"/>
        <v>77</v>
      </c>
      <c r="CI156" s="73">
        <f t="shared" si="1159"/>
        <v>81</v>
      </c>
      <c r="CJ156" s="74">
        <f t="shared" si="1160"/>
        <v>111</v>
      </c>
      <c r="CK156" s="74">
        <f t="shared" si="1161"/>
        <v>116</v>
      </c>
      <c r="CL156" s="74">
        <f t="shared" si="1162"/>
        <v>152</v>
      </c>
      <c r="CM156" s="74">
        <f t="shared" si="1163"/>
        <v>160</v>
      </c>
      <c r="CN156" s="74">
        <f t="shared" si="1164"/>
        <v>187</v>
      </c>
      <c r="CO156" s="74">
        <f t="shared" si="1165"/>
        <v>200</v>
      </c>
      <c r="CP156" s="74">
        <f t="shared" si="1166"/>
        <v>238</v>
      </c>
      <c r="CQ156" s="74">
        <f t="shared" si="1167"/>
        <v>287</v>
      </c>
      <c r="CR156" s="74">
        <f t="shared" si="1168"/>
        <v>321</v>
      </c>
      <c r="CS156" s="74">
        <f t="shared" si="1169"/>
        <v>328</v>
      </c>
      <c r="CT156" s="23">
        <f t="shared" si="117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</row>
    <row r="157" spans="1:1030" x14ac:dyDescent="0.2">
      <c r="A157" s="3" t="str">
        <f t="shared" si="1283"/>
        <v>oprk_human__wt</v>
      </c>
      <c r="B157" s="3" t="s">
        <v>336</v>
      </c>
      <c r="C157" s="3" t="s">
        <v>100</v>
      </c>
      <c r="D157" s="3" t="str">
        <f>IFERROR(MID(VLOOKUP($B157,Seqs!$A:$B,2,0),E157,1),"")</f>
        <v>A</v>
      </c>
      <c r="E157" s="3">
        <v>57</v>
      </c>
      <c r="F157" s="3" t="str">
        <f>IFERROR(MID(VLOOKUP($B157,Seqs!$A:$B,2,0),G157,1),"")</f>
        <v>Y</v>
      </c>
      <c r="G157" s="3">
        <v>87</v>
      </c>
      <c r="H157" s="3" t="str">
        <f>IFERROR(MID(VLOOKUP($B157,Seqs!$A:$B,2,0),I157,1),"")</f>
        <v>T</v>
      </c>
      <c r="I157" s="23">
        <v>88</v>
      </c>
      <c r="J157" s="3" t="str">
        <f>IFERROR(MID(VLOOKUP($B157,Seqs!$A:$B,2,0),K157,1),"")</f>
        <v>K</v>
      </c>
      <c r="K157" s="23">
        <v>91</v>
      </c>
      <c r="L157" s="3" t="str">
        <f>IFERROR(MID(VLOOKUP($B157,Seqs!$A:$B,2,0),M157,1),"")</f>
        <v>T</v>
      </c>
      <c r="M157" s="3">
        <v>92</v>
      </c>
      <c r="N157" s="3" t="str">
        <f>IFERROR(MID(VLOOKUP($B157,Seqs!$A:$B,2,0),O157,1),"")</f>
        <v>N</v>
      </c>
      <c r="O157" s="107">
        <v>122</v>
      </c>
      <c r="P157" s="3" t="str">
        <f>IFERROR(MID(VLOOKUP($B157,Seqs!$A:$B,2,0),Q157,1),"")</f>
        <v>S</v>
      </c>
      <c r="Q157" s="3">
        <v>123</v>
      </c>
      <c r="R157" s="3" t="str">
        <f>IFERROR(MID(VLOOKUP($B157,Seqs!$A:$B,2,0),S157,1),"")</f>
        <v>F</v>
      </c>
      <c r="S157" s="3">
        <v>126</v>
      </c>
      <c r="T157" s="3" t="str">
        <f>IFERROR(MID(VLOOKUP($B157,Seqs!$A:$B,2,0),U157,1),"")</f>
        <v>G</v>
      </c>
      <c r="U157" s="3">
        <v>127</v>
      </c>
      <c r="V157" s="3" t="str">
        <f>IFERROR(MID(VLOOKUP($B157,Seqs!$A:$B,2,0),W157,1),"")</f>
        <v>H</v>
      </c>
      <c r="W157" s="3">
        <v>162</v>
      </c>
      <c r="X157" s="3" t="str">
        <f>IFERROR(MID(VLOOKUP($B157,Seqs!$A:$B,2,0),Y157,1),"")</f>
        <v>P</v>
      </c>
      <c r="Y157" s="3">
        <v>163</v>
      </c>
      <c r="Z157" s="3" t="str">
        <f>IFERROR(MID(VLOOKUP($B157,Seqs!$A:$B,2,0),AA157,1),"")</f>
        <v>R</v>
      </c>
      <c r="AA157" s="3">
        <v>170</v>
      </c>
      <c r="AB157" s="3" t="str">
        <f>IFERROR(MID(VLOOKUP($B157,Seqs!$A:$B,2,0),AC157,1),"")</f>
        <v>T</v>
      </c>
      <c r="AC157" s="9">
        <v>171</v>
      </c>
      <c r="AD157" s="3" t="str">
        <f>IFERROR(MID(VLOOKUP($B157,Seqs!$A:$B,2,0),AE157,1),"")</f>
        <v>G</v>
      </c>
      <c r="AE157" s="3">
        <v>197</v>
      </c>
      <c r="AF157" s="3" t="str">
        <f>IFERROR(MID(VLOOKUP($B157,Seqs!$A:$B,2,0),AG157,1),"")</f>
        <v>C</v>
      </c>
      <c r="AG157" s="3">
        <v>210</v>
      </c>
      <c r="AH157" s="3" t="str">
        <f>IFERROR(MID(VLOOKUP($B157,Seqs!$A:$B,2,0),AI157,1),"")</f>
        <v>L</v>
      </c>
      <c r="AI157" s="3">
        <v>212</v>
      </c>
      <c r="AJ157" s="3" t="str">
        <f>IFERROR(MID(VLOOKUP($B157,Seqs!$A:$B,2,0),AK157,1),"")</f>
        <v>D</v>
      </c>
      <c r="AK157" s="107">
        <v>218</v>
      </c>
      <c r="AL157" s="3" t="str">
        <f>IFERROR(MID(VLOOKUP($B157,Seqs!$A:$B,2,0),AM157,1),"")</f>
        <v>V</v>
      </c>
      <c r="AM157" s="3">
        <v>256</v>
      </c>
      <c r="AN157" s="3" t="str">
        <f>IFERROR(MID(VLOOKUP($B157,Seqs!$A:$B,2,0),AO157,1),"")</f>
        <v>S</v>
      </c>
      <c r="AO157" s="3">
        <v>262</v>
      </c>
      <c r="AP157" s="3" t="str">
        <f>IFERROR(MID(VLOOKUP($B157,Seqs!$A:$B,2,0),AQ157,1),"")</f>
        <v>G</v>
      </c>
      <c r="AQ157" s="3">
        <v>300</v>
      </c>
      <c r="AR157" s="3" t="str">
        <f>IFERROR(MID(VLOOKUP($B157,Seqs!$A:$B,2,0),AS157,1),"")</f>
        <v>S</v>
      </c>
      <c r="AS157" s="3">
        <v>305</v>
      </c>
      <c r="AT157" s="3" t="str">
        <f>IFERROR(MID(VLOOKUP($B157,Seqs!$A:$B,2,0),AU157,1),"")</f>
        <v>L</v>
      </c>
      <c r="AU157" s="3">
        <v>333</v>
      </c>
      <c r="AV157" s="3" t="str">
        <f>IFERROR(MID(VLOOKUP($B157,Seqs!$A:$B,2,0),AW157,1),"")</f>
        <v>D</v>
      </c>
      <c r="AW157" s="3">
        <v>334</v>
      </c>
      <c r="AX157" s="3" t="str">
        <f>IFERROR(MID(VLOOKUP($B157,Seqs!$A:$B,2,0),AY157,1),"")</f>
        <v>F</v>
      </c>
      <c r="AY157" s="3">
        <v>346</v>
      </c>
      <c r="AZ157" s="79" t="str">
        <f>VLOOKUP(B157,Classification!A:D,2,0)</f>
        <v>A</v>
      </c>
      <c r="BA157" s="96" t="str">
        <f>VLOOKUP(B157,Classification!A:D,4,0)</f>
        <v>Opioid</v>
      </c>
      <c r="BB157" s="27" t="b">
        <f t="shared" si="1284"/>
        <v>1</v>
      </c>
      <c r="BC157" s="23">
        <f t="shared" si="1145"/>
        <v>264</v>
      </c>
      <c r="BD157" s="57" t="s">
        <v>1379</v>
      </c>
      <c r="BE157" s="3" t="s">
        <v>23</v>
      </c>
      <c r="BF157" s="121" t="s">
        <v>23</v>
      </c>
      <c r="BG157" s="50" t="s">
        <v>1379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1146"/>
        <v>57</v>
      </c>
      <c r="BW157" s="73">
        <f t="shared" si="1147"/>
        <v>88</v>
      </c>
      <c r="BX157" s="74">
        <f t="shared" si="1148"/>
        <v>92</v>
      </c>
      <c r="BY157" s="73">
        <f t="shared" si="1149"/>
        <v>123</v>
      </c>
      <c r="BZ157" s="74">
        <f t="shared" si="1150"/>
        <v>127</v>
      </c>
      <c r="CA157" s="73">
        <f t="shared" si="1151"/>
        <v>163</v>
      </c>
      <c r="CB157" s="74">
        <f t="shared" si="1152"/>
        <v>171</v>
      </c>
      <c r="CC157" s="73">
        <f t="shared" si="1153"/>
        <v>210</v>
      </c>
      <c r="CD157" s="74">
        <f t="shared" si="1154"/>
        <v>218</v>
      </c>
      <c r="CE157" s="73">
        <f t="shared" si="1155"/>
        <v>262</v>
      </c>
      <c r="CF157" s="74">
        <f t="shared" si="1156"/>
        <v>305</v>
      </c>
      <c r="CG157" s="73">
        <f t="shared" si="1157"/>
        <v>334</v>
      </c>
      <c r="CH157" s="72">
        <f t="shared" si="1158"/>
        <v>87</v>
      </c>
      <c r="CI157" s="73">
        <f t="shared" si="1159"/>
        <v>91</v>
      </c>
      <c r="CJ157" s="74">
        <f t="shared" si="1160"/>
        <v>122</v>
      </c>
      <c r="CK157" s="74">
        <f t="shared" si="1161"/>
        <v>126</v>
      </c>
      <c r="CL157" s="74">
        <f t="shared" si="1162"/>
        <v>162</v>
      </c>
      <c r="CM157" s="74">
        <f t="shared" si="1163"/>
        <v>170</v>
      </c>
      <c r="CN157" s="74">
        <f t="shared" si="1164"/>
        <v>197</v>
      </c>
      <c r="CO157" s="74">
        <f t="shared" si="1165"/>
        <v>212</v>
      </c>
      <c r="CP157" s="74">
        <f t="shared" si="1166"/>
        <v>256</v>
      </c>
      <c r="CQ157" s="74">
        <f t="shared" si="1167"/>
        <v>300</v>
      </c>
      <c r="CR157" s="74">
        <f t="shared" si="1168"/>
        <v>333</v>
      </c>
      <c r="CS157" s="74">
        <f t="shared" si="1169"/>
        <v>346</v>
      </c>
      <c r="CT157" s="23">
        <f t="shared" si="117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1283"/>
        <v>oprk_human_4DJH</v>
      </c>
      <c r="B158" s="3" t="s">
        <v>336</v>
      </c>
      <c r="C158" s="3" t="s">
        <v>88</v>
      </c>
      <c r="D158" s="3" t="str">
        <f>IFERROR(MID(VLOOKUP($B158,Seqs!$A:$B,2,0),E158,1),"")</f>
        <v>A</v>
      </c>
      <c r="E158" s="3">
        <v>57</v>
      </c>
      <c r="F158" s="3" t="str">
        <f>IFERROR(MID(VLOOKUP($B158,Seqs!$A:$B,2,0),G158,1),"")</f>
        <v>Y</v>
      </c>
      <c r="G158" s="3">
        <v>87</v>
      </c>
      <c r="H158" s="3" t="str">
        <f>IFERROR(MID(VLOOKUP($B158,Seqs!$A:$B,2,0),I158,1),"")</f>
        <v>T</v>
      </c>
      <c r="I158" s="23">
        <v>88</v>
      </c>
      <c r="J158" s="3" t="str">
        <f>IFERROR(MID(VLOOKUP($B158,Seqs!$A:$B,2,0),K158,1),"")</f>
        <v>K</v>
      </c>
      <c r="K158" s="23">
        <v>91</v>
      </c>
      <c r="L158" s="3" t="str">
        <f>IFERROR(MID(VLOOKUP($B158,Seqs!$A:$B,2,0),M158,1),"")</f>
        <v>T</v>
      </c>
      <c r="M158" s="3">
        <v>92</v>
      </c>
      <c r="N158" s="3" t="str">
        <f>IFERROR(MID(VLOOKUP($B158,Seqs!$A:$B,2,0),O158,1),"")</f>
        <v>N</v>
      </c>
      <c r="O158" s="3">
        <v>122</v>
      </c>
      <c r="P158" s="3" t="str">
        <f>IFERROR(MID(VLOOKUP($B158,Seqs!$A:$B,2,0),Q158,1),"")</f>
        <v>S</v>
      </c>
      <c r="Q158" s="3">
        <v>123</v>
      </c>
      <c r="R158" s="3" t="str">
        <f>IFERROR(MID(VLOOKUP($B158,Seqs!$A:$B,2,0),S158,1),"")</f>
        <v>F</v>
      </c>
      <c r="S158" s="3">
        <v>126</v>
      </c>
      <c r="T158" s="3" t="str">
        <f>IFERROR(MID(VLOOKUP($B158,Seqs!$A:$B,2,0),U158,1),"")</f>
        <v>G</v>
      </c>
      <c r="U158" s="3">
        <v>127</v>
      </c>
      <c r="V158" s="3" t="str">
        <f>IFERROR(MID(VLOOKUP($B158,Seqs!$A:$B,2,0),W158,1),"")</f>
        <v>H</v>
      </c>
      <c r="W158" s="3">
        <v>162</v>
      </c>
      <c r="X158" s="3" t="str">
        <f>IFERROR(MID(VLOOKUP($B158,Seqs!$A:$B,2,0),Y158,1),"")</f>
        <v>P</v>
      </c>
      <c r="Y158" s="3">
        <v>163</v>
      </c>
      <c r="Z158" s="3" t="str">
        <f>IFERROR(MID(VLOOKUP($B158,Seqs!$A:$B,2,0),AA158,1),"")</f>
        <v>L</v>
      </c>
      <c r="AA158" s="3">
        <v>167</v>
      </c>
      <c r="AB158" s="3" t="str">
        <f>IFERROR(MID(VLOOKUP($B158,Seqs!$A:$B,2,0),AC158,1),"")</f>
        <v>R</v>
      </c>
      <c r="AC158" s="9">
        <v>170</v>
      </c>
      <c r="AD158" s="3" t="str">
        <f>IFERROR(MID(VLOOKUP($B158,Seqs!$A:$B,2,0),AE158,1),"")</f>
        <v>G</v>
      </c>
      <c r="AE158" s="3">
        <v>197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L</v>
      </c>
      <c r="AI158" s="3">
        <v>212</v>
      </c>
      <c r="AJ158" s="3" t="str">
        <f>IFERROR(MID(VLOOKUP($B158,Seqs!$A:$B,2,0),AK158,1),"")</f>
        <v>D</v>
      </c>
      <c r="AK158" s="3">
        <v>218</v>
      </c>
      <c r="AL158" s="3" t="str">
        <f>IFERROR(MID(VLOOKUP($B158,Seqs!$A:$B,2,0),AM158,1),"")</f>
        <v>V</v>
      </c>
      <c r="AM158" s="3">
        <v>256</v>
      </c>
      <c r="AN158" s="3" t="str">
        <f>IFERROR(MID(VLOOKUP($B158,Seqs!$A:$B,2,0),AO158,1),"")</f>
        <v>R</v>
      </c>
      <c r="AO158" s="3">
        <v>267</v>
      </c>
      <c r="AP158" s="3" t="str">
        <f>IFERROR(MID(VLOOKUP($B158,Seqs!$A:$B,2,0),AQ158,1),"")</f>
        <v>G</v>
      </c>
      <c r="AQ158" s="3">
        <v>300</v>
      </c>
      <c r="AR158" s="3" t="str">
        <f>IFERROR(MID(VLOOKUP($B158,Seqs!$A:$B,2,0),AS158,1),"")</f>
        <v>A</v>
      </c>
      <c r="AS158" s="3">
        <v>308</v>
      </c>
      <c r="AT158" s="3" t="str">
        <f>IFERROR(MID(VLOOKUP($B158,Seqs!$A:$B,2,0),AU158,1),"")</f>
        <v>L</v>
      </c>
      <c r="AU158" s="3">
        <v>333</v>
      </c>
      <c r="AV158" s="3" t="str">
        <f>IFERROR(MID(VLOOKUP($B158,Seqs!$A:$B,2,0),AW158,1),"")</f>
        <v>D</v>
      </c>
      <c r="AW158" s="3">
        <v>334</v>
      </c>
      <c r="AX158" s="3" t="str">
        <f>IFERROR(MID(VLOOKUP($B158,Seqs!$A:$B,2,0),AY158,1),"")</f>
        <v>F</v>
      </c>
      <c r="AY158" s="3">
        <v>346</v>
      </c>
      <c r="AZ158" s="79" t="str">
        <f>VLOOKUP(B158,Classification!A:D,2,0)</f>
        <v>A</v>
      </c>
      <c r="BA158" s="96" t="str">
        <f>VLOOKUP(B158,Classification!A:D,4,0)</f>
        <v>Opioid</v>
      </c>
      <c r="BB158" s="27" t="b">
        <f t="shared" si="1284"/>
        <v>1</v>
      </c>
      <c r="BC158" s="23">
        <f t="shared" si="1145"/>
        <v>254</v>
      </c>
      <c r="BD158" s="2" t="s">
        <v>1383</v>
      </c>
      <c r="BE158" s="3" t="s">
        <v>1381</v>
      </c>
      <c r="BF158" s="121">
        <v>2.9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1146"/>
        <v>57</v>
      </c>
      <c r="BW158" s="73">
        <f t="shared" si="1147"/>
        <v>88</v>
      </c>
      <c r="BX158" s="74">
        <f t="shared" si="1148"/>
        <v>92</v>
      </c>
      <c r="BY158" s="73">
        <f t="shared" si="1149"/>
        <v>123</v>
      </c>
      <c r="BZ158" s="74">
        <f t="shared" si="1150"/>
        <v>127</v>
      </c>
      <c r="CA158" s="73">
        <f t="shared" si="1151"/>
        <v>163</v>
      </c>
      <c r="CB158" s="74">
        <f t="shared" si="1152"/>
        <v>170</v>
      </c>
      <c r="CC158" s="73">
        <f t="shared" si="1153"/>
        <v>210</v>
      </c>
      <c r="CD158" s="74">
        <f t="shared" si="1154"/>
        <v>218</v>
      </c>
      <c r="CE158" s="73">
        <f t="shared" si="1155"/>
        <v>267</v>
      </c>
      <c r="CF158" s="74">
        <f t="shared" si="1156"/>
        <v>308</v>
      </c>
      <c r="CG158" s="73">
        <f t="shared" si="1157"/>
        <v>334</v>
      </c>
      <c r="CH158" s="72">
        <f t="shared" si="1158"/>
        <v>87</v>
      </c>
      <c r="CI158" s="73">
        <f t="shared" si="1159"/>
        <v>91</v>
      </c>
      <c r="CJ158" s="74">
        <f t="shared" si="1160"/>
        <v>122</v>
      </c>
      <c r="CK158" s="74">
        <f t="shared" si="1161"/>
        <v>126</v>
      </c>
      <c r="CL158" s="74">
        <f t="shared" si="1162"/>
        <v>162</v>
      </c>
      <c r="CM158" s="74">
        <f t="shared" si="1163"/>
        <v>167</v>
      </c>
      <c r="CN158" s="74">
        <f t="shared" si="1164"/>
        <v>197</v>
      </c>
      <c r="CO158" s="74">
        <f t="shared" si="1165"/>
        <v>212</v>
      </c>
      <c r="CP158" s="74">
        <f t="shared" si="1166"/>
        <v>256</v>
      </c>
      <c r="CQ158" s="74">
        <f t="shared" si="1167"/>
        <v>300</v>
      </c>
      <c r="CR158" s="74">
        <f t="shared" si="1168"/>
        <v>333</v>
      </c>
      <c r="CS158" s="74">
        <f t="shared" si="1169"/>
        <v>346</v>
      </c>
      <c r="CT158" s="23">
        <f t="shared" si="117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s="12" customFormat="1" x14ac:dyDescent="0.2">
      <c r="A159" s="9" t="str">
        <f t="shared" ref="A159" si="1313">CONCATENATE(B159,"_",C159)</f>
        <v>oprk_human_6B73</v>
      </c>
      <c r="B159" s="9" t="s">
        <v>336</v>
      </c>
      <c r="C159" s="9" t="s">
        <v>1476</v>
      </c>
      <c r="D159" s="9" t="str">
        <f>IFERROR(MID(VLOOKUP($B159,Seqs!$A:$B,2,0),E159,1),"")</f>
        <v>A</v>
      </c>
      <c r="E159" s="9">
        <v>57</v>
      </c>
      <c r="F159" s="9" t="str">
        <f>IFERROR(MID(VLOOKUP($B159,Seqs!$A:$B,2,0),G159,1),"")</f>
        <v>Y</v>
      </c>
      <c r="G159" s="9">
        <v>87</v>
      </c>
      <c r="H159" s="9" t="str">
        <f>IFERROR(MID(VLOOKUP($B159,Seqs!$A:$B,2,0),I159,1),"")</f>
        <v/>
      </c>
      <c r="I159" s="111" t="s">
        <v>23</v>
      </c>
      <c r="J159" s="9" t="str">
        <f>IFERROR(MID(VLOOKUP($B159,Seqs!$A:$B,2,0),K159,1),"")</f>
        <v/>
      </c>
      <c r="K159" s="111" t="s">
        <v>23</v>
      </c>
      <c r="L159" s="9" t="str">
        <f>IFERROR(MID(VLOOKUP($B159,Seqs!$A:$B,2,0),M159,1),"")</f>
        <v>T</v>
      </c>
      <c r="M159" s="9">
        <v>92</v>
      </c>
      <c r="N159" s="9" t="str">
        <f>IFERROR(MID(VLOOKUP($B159,Seqs!$A:$B,2,0),O159,1),"")</f>
        <v>N</v>
      </c>
      <c r="O159" s="9">
        <v>122</v>
      </c>
      <c r="P159" s="9" t="str">
        <f>IFERROR(MID(VLOOKUP($B159,Seqs!$A:$B,2,0),Q159,1),"")</f>
        <v>S</v>
      </c>
      <c r="Q159" s="9">
        <v>123</v>
      </c>
      <c r="R159" s="9" t="str">
        <f>IFERROR(MID(VLOOKUP($B159,Seqs!$A:$B,2,0),S159,1),"")</f>
        <v>F</v>
      </c>
      <c r="S159" s="9">
        <v>126</v>
      </c>
      <c r="T159" s="9" t="str">
        <f>IFERROR(MID(VLOOKUP($B159,Seqs!$A:$B,2,0),U159,1),"")</f>
        <v>G</v>
      </c>
      <c r="U159" s="9">
        <v>127</v>
      </c>
      <c r="V159" s="9" t="str">
        <f>IFERROR(MID(VLOOKUP($B159,Seqs!$A:$B,2,0),W159,1),"")</f>
        <v>H</v>
      </c>
      <c r="W159" s="9">
        <v>162</v>
      </c>
      <c r="X159" s="9" t="str">
        <f>IFERROR(MID(VLOOKUP($B159,Seqs!$A:$B,2,0),Y159,1),"")</f>
        <v>P</v>
      </c>
      <c r="Y159" s="9">
        <v>163</v>
      </c>
      <c r="Z159" s="9" t="str">
        <f>IFERROR(MID(VLOOKUP($B159,Seqs!$A:$B,2,0),AA159,1),"")</f>
        <v>R</v>
      </c>
      <c r="AA159" s="9">
        <v>170</v>
      </c>
      <c r="AB159" s="9" t="str">
        <f>IFERROR(MID(VLOOKUP($B159,Seqs!$A:$B,2,0),AC159,1),"")</f>
        <v>T</v>
      </c>
      <c r="AC159" s="9">
        <v>171</v>
      </c>
      <c r="AD159" s="9" t="str">
        <f>IFERROR(MID(VLOOKUP($B159,Seqs!$A:$B,2,0),AE159,1),"")</f>
        <v>G</v>
      </c>
      <c r="AE159" s="9">
        <v>197</v>
      </c>
      <c r="AF159" s="9" t="str">
        <f>IFERROR(MID(VLOOKUP($B159,Seqs!$A:$B,2,0),AG159,1),"")</f>
        <v>C</v>
      </c>
      <c r="AG159" s="9">
        <v>210</v>
      </c>
      <c r="AH159" s="9" t="str">
        <f>IFERROR(MID(VLOOKUP($B159,Seqs!$A:$B,2,0),AI159,1),"")</f>
        <v>L</v>
      </c>
      <c r="AI159" s="9">
        <v>212</v>
      </c>
      <c r="AJ159" s="9" t="str">
        <f>IFERROR(MID(VLOOKUP($B159,Seqs!$A:$B,2,0),AK159,1),"")</f>
        <v>W</v>
      </c>
      <c r="AK159" s="9">
        <v>221</v>
      </c>
      <c r="AL159" s="9" t="str">
        <f>IFERROR(MID(VLOOKUP($B159,Seqs!$A:$B,2,0),AM159,1),"")</f>
        <v>S</v>
      </c>
      <c r="AM159" s="9">
        <v>255</v>
      </c>
      <c r="AN159" s="9" t="str">
        <f>IFERROR(MID(VLOOKUP($B159,Seqs!$A:$B,2,0),AO159,1),"")</f>
        <v>S</v>
      </c>
      <c r="AO159" s="9">
        <v>262</v>
      </c>
      <c r="AP159" s="9" t="str">
        <f>IFERROR(MID(VLOOKUP($B159,Seqs!$A:$B,2,0),AQ159,1),"")</f>
        <v>G</v>
      </c>
      <c r="AQ159" s="9">
        <v>300</v>
      </c>
      <c r="AR159" s="9" t="str">
        <f>IFERROR(MID(VLOOKUP($B159,Seqs!$A:$B,2,0),AS159,1),"")</f>
        <v>S</v>
      </c>
      <c r="AS159" s="9">
        <v>305</v>
      </c>
      <c r="AT159" s="9" t="str">
        <f>IFERROR(MID(VLOOKUP($B159,Seqs!$A:$B,2,0),AU159,1),"")</f>
        <v>I</v>
      </c>
      <c r="AU159" s="9">
        <v>328</v>
      </c>
      <c r="AV159" s="9" t="str">
        <f>IFERROR(MID(VLOOKUP($B159,Seqs!$A:$B,2,0),AW159,1),"")</f>
        <v/>
      </c>
      <c r="AW159" s="9" t="s">
        <v>23</v>
      </c>
      <c r="AX159" s="9" t="str">
        <f>IFERROR(MID(VLOOKUP($B159,Seqs!$A:$B,2,0),AY159,1),"")</f>
        <v/>
      </c>
      <c r="AY159" s="9" t="s">
        <v>23</v>
      </c>
      <c r="AZ159" s="112" t="str">
        <f>VLOOKUP(B159,Classification!A:D,2,0)</f>
        <v>A</v>
      </c>
      <c r="BA159" s="100" t="str">
        <f>VLOOKUP(B159,Classification!A:D,4,0)</f>
        <v>Opioid</v>
      </c>
      <c r="BB159" s="37" t="b">
        <f t="shared" ref="BB159" si="1314"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11">
        <f t="shared" ref="BC159" si="1315">_xlfn.AGGREGATE(9,6,CH159:CS159)-_xlfn.AGGREGATE(9,6,BV159:CG159)+12</f>
        <v>240</v>
      </c>
      <c r="BD159" s="41" t="s">
        <v>1382</v>
      </c>
      <c r="BE159" s="9" t="s">
        <v>1297</v>
      </c>
      <c r="BF159" s="122">
        <v>3.1</v>
      </c>
      <c r="BG159" s="52" t="s">
        <v>1</v>
      </c>
      <c r="BH159" s="52" t="s">
        <v>1</v>
      </c>
      <c r="BJ159" s="113" t="s">
        <v>1293</v>
      </c>
      <c r="BK159" s="114" t="s">
        <v>1293</v>
      </c>
      <c r="BL159" s="114" t="s">
        <v>1293</v>
      </c>
      <c r="BM159" s="114" t="s">
        <v>1293</v>
      </c>
      <c r="BN159" s="114" t="s">
        <v>1293</v>
      </c>
      <c r="BO159" s="114" t="s">
        <v>1293</v>
      </c>
      <c r="BP159" s="114" t="s">
        <v>1293</v>
      </c>
      <c r="BQ159" s="114" t="s">
        <v>1293</v>
      </c>
      <c r="BR159" s="114" t="s">
        <v>1293</v>
      </c>
      <c r="BS159" s="114" t="s">
        <v>1293</v>
      </c>
      <c r="BT159" s="114" t="s">
        <v>1293</v>
      </c>
      <c r="BU159" s="114" t="s">
        <v>1293</v>
      </c>
      <c r="BV159" s="113">
        <f t="shared" ref="BV159" si="1316">E159</f>
        <v>57</v>
      </c>
      <c r="BW159" s="115" t="str">
        <f t="shared" ref="BW159" si="1317">I159</f>
        <v>-</v>
      </c>
      <c r="BX159" s="116">
        <f t="shared" ref="BX159" si="1318">M159</f>
        <v>92</v>
      </c>
      <c r="BY159" s="115">
        <f t="shared" ref="BY159" si="1319">Q159</f>
        <v>123</v>
      </c>
      <c r="BZ159" s="116">
        <f t="shared" ref="BZ159" si="1320">U159</f>
        <v>127</v>
      </c>
      <c r="CA159" s="115">
        <f t="shared" ref="CA159" si="1321">Y159</f>
        <v>163</v>
      </c>
      <c r="CB159" s="116">
        <f t="shared" ref="CB159" si="1322">AC159</f>
        <v>171</v>
      </c>
      <c r="CC159" s="115">
        <f t="shared" ref="CC159" si="1323">AG159</f>
        <v>210</v>
      </c>
      <c r="CD159" s="116">
        <f t="shared" ref="CD159" si="1324">AK159</f>
        <v>221</v>
      </c>
      <c r="CE159" s="115">
        <f t="shared" ref="CE159" si="1325">AO159</f>
        <v>262</v>
      </c>
      <c r="CF159" s="116">
        <f t="shared" ref="CF159" si="1326">AS159</f>
        <v>305</v>
      </c>
      <c r="CG159" s="115" t="str">
        <f t="shared" ref="CG159" si="1327">AW159</f>
        <v>-</v>
      </c>
      <c r="CH159" s="113">
        <f t="shared" ref="CH159" si="1328">G159</f>
        <v>87</v>
      </c>
      <c r="CI159" s="115" t="str">
        <f t="shared" ref="CI159" si="1329">K159</f>
        <v>-</v>
      </c>
      <c r="CJ159" s="116">
        <f t="shared" ref="CJ159" si="1330">O159</f>
        <v>122</v>
      </c>
      <c r="CK159" s="116">
        <f t="shared" ref="CK159" si="1331">S159</f>
        <v>126</v>
      </c>
      <c r="CL159" s="116">
        <f t="shared" ref="CL159" si="1332">W159</f>
        <v>162</v>
      </c>
      <c r="CM159" s="116">
        <f t="shared" ref="CM159" si="1333">AA159</f>
        <v>170</v>
      </c>
      <c r="CN159" s="116">
        <f t="shared" ref="CN159" si="1334">AE159</f>
        <v>197</v>
      </c>
      <c r="CO159" s="116">
        <f t="shared" ref="CO159" si="1335">AI159</f>
        <v>212</v>
      </c>
      <c r="CP159" s="116">
        <f t="shared" ref="CP159" si="1336">AM159</f>
        <v>255</v>
      </c>
      <c r="CQ159" s="116">
        <f t="shared" ref="CQ159" si="1337">AQ159</f>
        <v>300</v>
      </c>
      <c r="CR159" s="116">
        <f t="shared" ref="CR159" si="1338">AU159</f>
        <v>328</v>
      </c>
      <c r="CS159" s="116" t="str">
        <f t="shared" ref="CS159" si="1339">AY159</f>
        <v>-</v>
      </c>
      <c r="CT159" s="111" t="e">
        <f t="shared" ref="CT159" si="1340">M159-K159</f>
        <v>#VALUE!</v>
      </c>
    </row>
    <row r="160" spans="1:1030" x14ac:dyDescent="0.2">
      <c r="A160" s="3" t="str">
        <f t="shared" si="1283"/>
        <v>oprm_mouse__wt</v>
      </c>
      <c r="B160" s="3" t="s">
        <v>918</v>
      </c>
      <c r="C160" s="3" t="s">
        <v>100</v>
      </c>
      <c r="D160" s="3" t="str">
        <f>IFERROR(MID(VLOOKUP($B160,Seqs!$A:$B,2,0),E160,1),"")</f>
        <v>M</v>
      </c>
      <c r="E160" s="3">
        <v>65</v>
      </c>
      <c r="F160" s="3" t="str">
        <f>IFERROR(MID(VLOOKUP($B160,Seqs!$A:$B,2,0),G160,1),"")</f>
        <v>Y</v>
      </c>
      <c r="G160" s="3">
        <v>96</v>
      </c>
      <c r="H160" s="3" t="str">
        <f>IFERROR(MID(VLOOKUP($B160,Seqs!$A:$B,2,0),I160,1),"")</f>
        <v>T</v>
      </c>
      <c r="I160" s="23">
        <v>97</v>
      </c>
      <c r="J160" s="3" t="str">
        <f>IFERROR(MID(VLOOKUP($B160,Seqs!$A:$B,2,0),K160,1),"")</f>
        <v>K</v>
      </c>
      <c r="K160" s="23">
        <v>100</v>
      </c>
      <c r="L160" s="3" t="str">
        <f>IFERROR(MID(VLOOKUP($B160,Seqs!$A:$B,2,0),M160,1),"")</f>
        <v>T</v>
      </c>
      <c r="M160" s="3">
        <v>101</v>
      </c>
      <c r="N160" s="3" t="str">
        <f>IFERROR(MID(VLOOKUP($B160,Seqs!$A:$B,2,0),O160,1),"")</f>
        <v>M</v>
      </c>
      <c r="O160" s="3">
        <v>130</v>
      </c>
      <c r="P160" s="3" t="str">
        <f>IFERROR(MID(VLOOKUP($B160,Seqs!$A:$B,2,0),Q160,1),"")</f>
        <v>T</v>
      </c>
      <c r="Q160" s="3">
        <v>132</v>
      </c>
      <c r="R160" s="3" t="str">
        <f>IFERROR(MID(VLOOKUP($B160,Seqs!$A:$B,2,0),S160,1),"")</f>
        <v>F</v>
      </c>
      <c r="S160" s="3">
        <v>135</v>
      </c>
      <c r="T160" s="3" t="str">
        <f>IFERROR(MID(VLOOKUP($B160,Seqs!$A:$B,2,0),U160,1),"")</f>
        <v>G</v>
      </c>
      <c r="U160" s="3">
        <v>136</v>
      </c>
      <c r="V160" s="3" t="str">
        <f>IFERROR(MID(VLOOKUP($B160,Seqs!$A:$B,2,0),W160,1),"")</f>
        <v>H</v>
      </c>
      <c r="W160" s="3">
        <v>171</v>
      </c>
      <c r="X160" s="3" t="str">
        <f>IFERROR(MID(VLOOKUP($B160,Seqs!$A:$B,2,0),Y160,1),"")</f>
        <v>P</v>
      </c>
      <c r="Y160" s="3">
        <v>172</v>
      </c>
      <c r="Z160" s="3" t="str">
        <f>IFERROR(MID(VLOOKUP($B160,Seqs!$A:$B,2,0),AA160,1),"")</f>
        <v>R</v>
      </c>
      <c r="AA160" s="3">
        <v>179</v>
      </c>
      <c r="AB160" s="3" t="str">
        <f>IFERROR(MID(VLOOKUP($B160,Seqs!$A:$B,2,0),AC160,1),"")</f>
        <v>T</v>
      </c>
      <c r="AC160" s="9">
        <v>180</v>
      </c>
      <c r="AD160" s="3" t="str">
        <f>IFERROR(MID(VLOOKUP($B160,Seqs!$A:$B,2,0),AE160,1),"")</f>
        <v>A</v>
      </c>
      <c r="AE160" s="3">
        <v>206</v>
      </c>
      <c r="AF160" s="3" t="str">
        <f>IFERROR(MID(VLOOKUP($B160,Seqs!$A:$B,2,0),AG160,1),"")</f>
        <v>C</v>
      </c>
      <c r="AG160" s="3">
        <v>217</v>
      </c>
      <c r="AH160" s="3" t="str">
        <f>IFERROR(MID(VLOOKUP($B160,Seqs!$A:$B,2,0),AI160,1),"")</f>
        <v>L</v>
      </c>
      <c r="AI160" s="3">
        <v>219</v>
      </c>
      <c r="AJ160" s="3" t="str">
        <f>IFERROR(MID(VLOOKUP($B160,Seqs!$A:$B,2,0),AK160,1),"")</f>
        <v>T</v>
      </c>
      <c r="AK160" s="3">
        <v>225</v>
      </c>
      <c r="AL160" s="3" t="str">
        <f>IFERROR(MID(VLOOKUP($B160,Seqs!$A:$B,2,0),AM160,1),"")</f>
        <v>V</v>
      </c>
      <c r="AM160" s="3">
        <v>262</v>
      </c>
      <c r="AN160" s="3" t="str">
        <f>IFERROR(MID(VLOOKUP($B160,Seqs!$A:$B,2,0),AO160,1),"")</f>
        <v>S</v>
      </c>
      <c r="AO160" s="3">
        <v>268</v>
      </c>
      <c r="AP160" s="3" t="str">
        <f>IFERROR(MID(VLOOKUP($B160,Seqs!$A:$B,2,0),AQ160,1),"")</f>
        <v>I</v>
      </c>
      <c r="AQ160" s="3">
        <v>306</v>
      </c>
      <c r="AR160" s="3" t="str">
        <f>IFERROR(MID(VLOOKUP($B160,Seqs!$A:$B,2,0),AS160,1),"")</f>
        <v>T</v>
      </c>
      <c r="AS160" s="3">
        <v>311</v>
      </c>
      <c r="AT160" s="3" t="str">
        <f>IFERROR(MID(VLOOKUP($B160,Seqs!$A:$B,2,0),AU160,1),"")</f>
        <v>L</v>
      </c>
      <c r="AU160" s="3">
        <v>339</v>
      </c>
      <c r="AV160" s="3" t="str">
        <f>IFERROR(MID(VLOOKUP($B160,Seqs!$A:$B,2,0),AW160,1),"")</f>
        <v>D</v>
      </c>
      <c r="AW160" s="3">
        <v>340</v>
      </c>
      <c r="AX160" s="3" t="str">
        <f>IFERROR(MID(VLOOKUP($B160,Seqs!$A:$B,2,0),AY160,1),"")</f>
        <v>I</v>
      </c>
      <c r="AY160" s="3">
        <v>352</v>
      </c>
      <c r="AZ160" s="79" t="str">
        <f>VLOOKUP(B160,Classification!A:D,2,0)</f>
        <v>A</v>
      </c>
      <c r="BA160" s="96" t="str">
        <f>VLOOKUP(B160,Classification!A:D,4,0)</f>
        <v>Opioid</v>
      </c>
      <c r="BB160" s="27" t="b">
        <f t="shared" si="1284"/>
        <v>1</v>
      </c>
      <c r="BC160" s="23">
        <f t="shared" si="1145"/>
        <v>263</v>
      </c>
      <c r="BD160" s="57" t="s">
        <v>1379</v>
      </c>
      <c r="BE160" s="3" t="s">
        <v>23</v>
      </c>
      <c r="BF160" s="121" t="s">
        <v>23</v>
      </c>
      <c r="BG160" s="50" t="s">
        <v>1379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1146"/>
        <v>65</v>
      </c>
      <c r="BW160" s="73">
        <f t="shared" si="1147"/>
        <v>97</v>
      </c>
      <c r="BX160" s="74">
        <f t="shared" si="1148"/>
        <v>101</v>
      </c>
      <c r="BY160" s="73">
        <f t="shared" si="1149"/>
        <v>132</v>
      </c>
      <c r="BZ160" s="74">
        <f t="shared" si="1150"/>
        <v>136</v>
      </c>
      <c r="CA160" s="73">
        <f t="shared" si="1151"/>
        <v>172</v>
      </c>
      <c r="CB160" s="74">
        <f t="shared" si="1152"/>
        <v>180</v>
      </c>
      <c r="CC160" s="73">
        <f t="shared" si="1153"/>
        <v>217</v>
      </c>
      <c r="CD160" s="74">
        <f t="shared" si="1154"/>
        <v>225</v>
      </c>
      <c r="CE160" s="73">
        <f t="shared" si="1155"/>
        <v>268</v>
      </c>
      <c r="CF160" s="74">
        <f t="shared" si="1156"/>
        <v>311</v>
      </c>
      <c r="CG160" s="73">
        <f t="shared" si="1157"/>
        <v>340</v>
      </c>
      <c r="CH160" s="72">
        <f t="shared" si="1158"/>
        <v>96</v>
      </c>
      <c r="CI160" s="73">
        <f t="shared" si="1159"/>
        <v>100</v>
      </c>
      <c r="CJ160" s="74">
        <f t="shared" si="1160"/>
        <v>130</v>
      </c>
      <c r="CK160" s="74">
        <f t="shared" si="1161"/>
        <v>135</v>
      </c>
      <c r="CL160" s="74">
        <f t="shared" si="1162"/>
        <v>171</v>
      </c>
      <c r="CM160" s="74">
        <f t="shared" si="1163"/>
        <v>179</v>
      </c>
      <c r="CN160" s="74">
        <f t="shared" si="1164"/>
        <v>206</v>
      </c>
      <c r="CO160" s="74">
        <f t="shared" si="1165"/>
        <v>219</v>
      </c>
      <c r="CP160" s="74">
        <f t="shared" si="1166"/>
        <v>262</v>
      </c>
      <c r="CQ160" s="74">
        <f t="shared" si="1167"/>
        <v>306</v>
      </c>
      <c r="CR160" s="74">
        <f t="shared" si="1168"/>
        <v>339</v>
      </c>
      <c r="CS160" s="74">
        <f t="shared" si="1169"/>
        <v>352</v>
      </c>
      <c r="CT160" s="23">
        <f t="shared" si="1170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1283"/>
        <v>oprm_mouse_4DKL</v>
      </c>
      <c r="B161" s="3" t="s">
        <v>918</v>
      </c>
      <c r="C161" s="3" t="s">
        <v>65</v>
      </c>
      <c r="D161" s="3" t="str">
        <f>IFERROR(MID(VLOOKUP($B161,Seqs!$A:$B,2,0),E161,1),"")</f>
        <v>M</v>
      </c>
      <c r="E161" s="3">
        <v>65</v>
      </c>
      <c r="F161" s="3" t="str">
        <f>IFERROR(MID(VLOOKUP($B161,Seqs!$A:$B,2,0),G161,1),"")</f>
        <v>Y</v>
      </c>
      <c r="G161" s="3">
        <v>96</v>
      </c>
      <c r="H161" s="3" t="str">
        <f>IFERROR(MID(VLOOKUP($B161,Seqs!$A:$B,2,0),I161,1),"")</f>
        <v>T</v>
      </c>
      <c r="I161" s="23">
        <v>97</v>
      </c>
      <c r="J161" s="3" t="str">
        <f>IFERROR(MID(VLOOKUP($B161,Seqs!$A:$B,2,0),K161,1),"")</f>
        <v>K</v>
      </c>
      <c r="K161" s="23">
        <v>100</v>
      </c>
      <c r="L161" s="3" t="str">
        <f>IFERROR(MID(VLOOKUP($B161,Seqs!$A:$B,2,0),M161,1),"")</f>
        <v>T</v>
      </c>
      <c r="M161" s="3">
        <v>101</v>
      </c>
      <c r="N161" s="3" t="str">
        <f>IFERROR(MID(VLOOKUP($B161,Seqs!$A:$B,2,0),O161,1),"")</f>
        <v>M</v>
      </c>
      <c r="O161" s="3">
        <v>130</v>
      </c>
      <c r="P161" s="3" t="str">
        <f>IFERROR(MID(VLOOKUP($B161,Seqs!$A:$B,2,0),Q161,1),"")</f>
        <v>T</v>
      </c>
      <c r="Q161" s="3">
        <v>132</v>
      </c>
      <c r="R161" s="3" t="str">
        <f>IFERROR(MID(VLOOKUP($B161,Seqs!$A:$B,2,0),S161,1),"")</f>
        <v>F</v>
      </c>
      <c r="S161" s="3">
        <v>135</v>
      </c>
      <c r="T161" s="3" t="str">
        <f>IFERROR(MID(VLOOKUP($B161,Seqs!$A:$B,2,0),U161,1),"")</f>
        <v>G</v>
      </c>
      <c r="U161" s="3">
        <v>136</v>
      </c>
      <c r="V161" s="3" t="str">
        <f>IFERROR(MID(VLOOKUP($B161,Seqs!$A:$B,2,0),W161,1),"")</f>
        <v>H</v>
      </c>
      <c r="W161" s="3">
        <v>171</v>
      </c>
      <c r="X161" s="3" t="str">
        <f>IFERROR(MID(VLOOKUP($B161,Seqs!$A:$B,2,0),Y161,1),"")</f>
        <v>P</v>
      </c>
      <c r="Y161" s="3">
        <v>172</v>
      </c>
      <c r="Z161" s="3" t="str">
        <f>IFERROR(MID(VLOOKUP($B161,Seqs!$A:$B,2,0),AA161,1),"")</f>
        <v>R</v>
      </c>
      <c r="AA161" s="3">
        <v>179</v>
      </c>
      <c r="AB161" s="3" t="str">
        <f>IFERROR(MID(VLOOKUP($B161,Seqs!$A:$B,2,0),AC161,1),"")</f>
        <v>T</v>
      </c>
      <c r="AC161" s="9">
        <v>180</v>
      </c>
      <c r="AD161" s="3" t="str">
        <f>IFERROR(MID(VLOOKUP($B161,Seqs!$A:$B,2,0),AE161,1),"")</f>
        <v>A</v>
      </c>
      <c r="AE161" s="3">
        <v>206</v>
      </c>
      <c r="AF161" s="3" t="str">
        <f>IFERROR(MID(VLOOKUP($B161,Seqs!$A:$B,2,0),AG161,1),"")</f>
        <v>C</v>
      </c>
      <c r="AG161" s="3">
        <v>217</v>
      </c>
      <c r="AH161" s="3" t="str">
        <f>IFERROR(MID(VLOOKUP($B161,Seqs!$A:$B,2,0),AI161,1),"")</f>
        <v>L</v>
      </c>
      <c r="AI161" s="3">
        <v>219</v>
      </c>
      <c r="AJ161" s="3" t="str">
        <f>IFERROR(MID(VLOOKUP($B161,Seqs!$A:$B,2,0),AK161,1),"")</f>
        <v>T</v>
      </c>
      <c r="AK161" s="3">
        <v>225</v>
      </c>
      <c r="AL161" s="3" t="str">
        <f>IFERROR(MID(VLOOKUP($B161,Seqs!$A:$B,2,0),AM161,1),"")</f>
        <v>L</v>
      </c>
      <c r="AM161" s="3">
        <v>257</v>
      </c>
      <c r="AN161" s="3" t="str">
        <f>IFERROR(MID(VLOOKUP($B161,Seqs!$A:$B,2,0),AO161,1),"")</f>
        <v>N</v>
      </c>
      <c r="AO161" s="3">
        <v>274</v>
      </c>
      <c r="AP161" s="3" t="str">
        <f>IFERROR(MID(VLOOKUP($B161,Seqs!$A:$B,2,0),AQ161,1),"")</f>
        <v>I</v>
      </c>
      <c r="AQ161" s="3">
        <v>306</v>
      </c>
      <c r="AR161" s="3" t="str">
        <f>IFERROR(MID(VLOOKUP($B161,Seqs!$A:$B,2,0),AS161,1),"")</f>
        <v>T</v>
      </c>
      <c r="AS161" s="3">
        <v>311</v>
      </c>
      <c r="AT161" s="3" t="str">
        <f>IFERROR(MID(VLOOKUP($B161,Seqs!$A:$B,2,0),AU161,1),"")</f>
        <v>L</v>
      </c>
      <c r="AU161" s="3">
        <v>339</v>
      </c>
      <c r="AV161" s="3" t="str">
        <f>IFERROR(MID(VLOOKUP($B161,Seqs!$A:$B,2,0),AW161,1),"")</f>
        <v>D</v>
      </c>
      <c r="AW161" s="3">
        <v>340</v>
      </c>
      <c r="AX161" s="3" t="str">
        <f>IFERROR(MID(VLOOKUP($B161,Seqs!$A:$B,2,0),AY161,1),"")</f>
        <v>I</v>
      </c>
      <c r="AY161" s="3">
        <v>352</v>
      </c>
      <c r="AZ161" s="79" t="str">
        <f>VLOOKUP(B161,Classification!A:D,2,0)</f>
        <v>A</v>
      </c>
      <c r="BA161" s="96" t="str">
        <f>VLOOKUP(B161,Classification!A:D,4,0)</f>
        <v>Opioid</v>
      </c>
      <c r="BB161" s="27" t="b">
        <f t="shared" si="1284"/>
        <v>1</v>
      </c>
      <c r="BC161" s="23">
        <f t="shared" si="1145"/>
        <v>252</v>
      </c>
      <c r="BD161" s="2" t="s">
        <v>1383</v>
      </c>
      <c r="BE161" s="3" t="s">
        <v>1381</v>
      </c>
      <c r="BF161" s="121">
        <v>2.8</v>
      </c>
      <c r="BG161" s="50" t="s">
        <v>1384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1146"/>
        <v>65</v>
      </c>
      <c r="BW161" s="73">
        <f t="shared" si="1147"/>
        <v>97</v>
      </c>
      <c r="BX161" s="74">
        <f t="shared" si="1148"/>
        <v>101</v>
      </c>
      <c r="BY161" s="73">
        <f t="shared" si="1149"/>
        <v>132</v>
      </c>
      <c r="BZ161" s="74">
        <f t="shared" si="1150"/>
        <v>136</v>
      </c>
      <c r="CA161" s="73">
        <f t="shared" si="1151"/>
        <v>172</v>
      </c>
      <c r="CB161" s="74">
        <f t="shared" si="1152"/>
        <v>180</v>
      </c>
      <c r="CC161" s="73">
        <f t="shared" si="1153"/>
        <v>217</v>
      </c>
      <c r="CD161" s="74">
        <f t="shared" si="1154"/>
        <v>225</v>
      </c>
      <c r="CE161" s="73">
        <f t="shared" si="1155"/>
        <v>274</v>
      </c>
      <c r="CF161" s="74">
        <f t="shared" si="1156"/>
        <v>311</v>
      </c>
      <c r="CG161" s="73">
        <f t="shared" si="1157"/>
        <v>340</v>
      </c>
      <c r="CH161" s="72">
        <f t="shared" si="1158"/>
        <v>96</v>
      </c>
      <c r="CI161" s="73">
        <f t="shared" si="1159"/>
        <v>100</v>
      </c>
      <c r="CJ161" s="74">
        <f t="shared" si="1160"/>
        <v>130</v>
      </c>
      <c r="CK161" s="74">
        <f t="shared" si="1161"/>
        <v>135</v>
      </c>
      <c r="CL161" s="74">
        <f t="shared" si="1162"/>
        <v>171</v>
      </c>
      <c r="CM161" s="74">
        <f t="shared" si="1163"/>
        <v>179</v>
      </c>
      <c r="CN161" s="74">
        <f t="shared" si="1164"/>
        <v>206</v>
      </c>
      <c r="CO161" s="74">
        <f t="shared" si="1165"/>
        <v>219</v>
      </c>
      <c r="CP161" s="74">
        <f t="shared" si="1166"/>
        <v>257</v>
      </c>
      <c r="CQ161" s="74">
        <f t="shared" si="1167"/>
        <v>306</v>
      </c>
      <c r="CR161" s="74">
        <f t="shared" si="1168"/>
        <v>339</v>
      </c>
      <c r="CS161" s="74">
        <f t="shared" si="1169"/>
        <v>352</v>
      </c>
      <c r="CT161" s="23">
        <f t="shared" si="1170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283"/>
        <v>oprm_mouse_5C1M</v>
      </c>
      <c r="B162" s="3" t="s">
        <v>918</v>
      </c>
      <c r="C162" s="3" t="s">
        <v>84</v>
      </c>
      <c r="D162" s="3" t="str">
        <f>IFERROR(MID(VLOOKUP($B162,Seqs!$A:$B,2,0),E162,1),"")</f>
        <v>M</v>
      </c>
      <c r="E162" s="3">
        <v>65</v>
      </c>
      <c r="F162" s="3" t="str">
        <f>IFERROR(MID(VLOOKUP($B162,Seqs!$A:$B,2,0),G162,1),"")</f>
        <v>Y</v>
      </c>
      <c r="G162" s="3">
        <v>96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T</v>
      </c>
      <c r="M162" s="3">
        <v>101</v>
      </c>
      <c r="N162" s="3" t="str">
        <f>IFERROR(MID(VLOOKUP($B162,Seqs!$A:$B,2,0),O162,1),"")</f>
        <v>M</v>
      </c>
      <c r="O162" s="3">
        <v>130</v>
      </c>
      <c r="P162" s="3" t="str">
        <f>IFERROR(MID(VLOOKUP($B162,Seqs!$A:$B,2,0),Q162,1),"")</f>
        <v>T</v>
      </c>
      <c r="Q162" s="3">
        <v>132</v>
      </c>
      <c r="R162" s="3" t="str">
        <f>IFERROR(MID(VLOOKUP($B162,Seqs!$A:$B,2,0),S162,1),"")</f>
        <v>F</v>
      </c>
      <c r="S162" s="3">
        <v>135</v>
      </c>
      <c r="T162" s="3" t="str">
        <f>IFERROR(MID(VLOOKUP($B162,Seqs!$A:$B,2,0),U162,1),"")</f>
        <v>G</v>
      </c>
      <c r="U162" s="3">
        <v>136</v>
      </c>
      <c r="V162" s="3" t="str">
        <f>IFERROR(MID(VLOOKUP($B162,Seqs!$A:$B,2,0),W162,1),"")</f>
        <v>H</v>
      </c>
      <c r="W162" s="3">
        <v>171</v>
      </c>
      <c r="X162" s="3" t="str">
        <f>IFERROR(MID(VLOOKUP($B162,Seqs!$A:$B,2,0),Y162,1),"")</f>
        <v>P</v>
      </c>
      <c r="Y162" s="3">
        <v>172</v>
      </c>
      <c r="Z162" s="3" t="str">
        <f>IFERROR(MID(VLOOKUP($B162,Seqs!$A:$B,2,0),AA162,1),"")</f>
        <v>R</v>
      </c>
      <c r="AA162" s="3">
        <v>179</v>
      </c>
      <c r="AB162" s="3" t="str">
        <f>IFERROR(MID(VLOOKUP($B162,Seqs!$A:$B,2,0),AC162,1),"")</f>
        <v>T</v>
      </c>
      <c r="AC162" s="9">
        <v>180</v>
      </c>
      <c r="AD162" s="3" t="str">
        <f>IFERROR(MID(VLOOKUP($B162,Seqs!$A:$B,2,0),AE162,1),"")</f>
        <v>A</v>
      </c>
      <c r="AE162" s="3">
        <v>206</v>
      </c>
      <c r="AF162" s="3" t="str">
        <f>IFERROR(MID(VLOOKUP($B162,Seqs!$A:$B,2,0),AG162,1),"")</f>
        <v>C</v>
      </c>
      <c r="AG162" s="3">
        <v>217</v>
      </c>
      <c r="AH162" s="3" t="str">
        <f>IFERROR(MID(VLOOKUP($B162,Seqs!$A:$B,2,0),AI162,1),"")</f>
        <v>L</v>
      </c>
      <c r="AI162" s="3">
        <v>219</v>
      </c>
      <c r="AJ162" s="3" t="str">
        <f>IFERROR(MID(VLOOKUP($B162,Seqs!$A:$B,2,0),AK162,1),"")</f>
        <v>T</v>
      </c>
      <c r="AK162" s="3">
        <v>225</v>
      </c>
      <c r="AL162" s="3" t="str">
        <f>IFERROR(MID(VLOOKUP($B162,Seqs!$A:$B,2,0),AM162,1),"")</f>
        <v>V</v>
      </c>
      <c r="AM162" s="3">
        <v>262</v>
      </c>
      <c r="AN162" s="3" t="str">
        <f>IFERROR(MID(VLOOKUP($B162,Seqs!$A:$B,2,0),AO162,1),"")</f>
        <v>S</v>
      </c>
      <c r="AO162" s="3">
        <v>268</v>
      </c>
      <c r="AP162" s="3" t="str">
        <f>IFERROR(MID(VLOOKUP($B162,Seqs!$A:$B,2,0),AQ162,1),"")</f>
        <v>I</v>
      </c>
      <c r="AQ162" s="3">
        <v>306</v>
      </c>
      <c r="AR162" s="3" t="str">
        <f>IFERROR(MID(VLOOKUP($B162,Seqs!$A:$B,2,0),AS162,1),"")</f>
        <v>T</v>
      </c>
      <c r="AS162" s="3">
        <v>311</v>
      </c>
      <c r="AT162" s="3" t="str">
        <f>IFERROR(MID(VLOOKUP($B162,Seqs!$A:$B,2,0),AU162,1),"")</f>
        <v>P</v>
      </c>
      <c r="AU162" s="3">
        <v>333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6" t="str">
        <f>VLOOKUP(B162,Classification!A:D,4,0)</f>
        <v>Opioid</v>
      </c>
      <c r="BB162" s="27" t="b">
        <f t="shared" si="1284"/>
        <v>1</v>
      </c>
      <c r="BC162" s="23">
        <f t="shared" si="1145"/>
        <v>242</v>
      </c>
      <c r="BD162" s="5" t="s">
        <v>1382</v>
      </c>
      <c r="BE162" s="3" t="s">
        <v>1297</v>
      </c>
      <c r="BF162" s="121">
        <v>2.1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1146"/>
        <v>65</v>
      </c>
      <c r="BW162" s="73" t="str">
        <f t="shared" si="1147"/>
        <v>-</v>
      </c>
      <c r="BX162" s="74">
        <f t="shared" si="1148"/>
        <v>101</v>
      </c>
      <c r="BY162" s="73">
        <f t="shared" si="1149"/>
        <v>132</v>
      </c>
      <c r="BZ162" s="74">
        <f t="shared" si="1150"/>
        <v>136</v>
      </c>
      <c r="CA162" s="73">
        <f t="shared" si="1151"/>
        <v>172</v>
      </c>
      <c r="CB162" s="74">
        <f t="shared" si="1152"/>
        <v>180</v>
      </c>
      <c r="CC162" s="73">
        <f t="shared" si="1153"/>
        <v>217</v>
      </c>
      <c r="CD162" s="74">
        <f t="shared" si="1154"/>
        <v>225</v>
      </c>
      <c r="CE162" s="73">
        <f t="shared" si="1155"/>
        <v>268</v>
      </c>
      <c r="CF162" s="74">
        <f t="shared" si="1156"/>
        <v>311</v>
      </c>
      <c r="CG162" s="73" t="str">
        <f t="shared" si="1157"/>
        <v>-</v>
      </c>
      <c r="CH162" s="72">
        <f t="shared" si="1158"/>
        <v>96</v>
      </c>
      <c r="CI162" s="73" t="str">
        <f t="shared" si="1159"/>
        <v>-</v>
      </c>
      <c r="CJ162" s="74">
        <f t="shared" si="1160"/>
        <v>130</v>
      </c>
      <c r="CK162" s="74">
        <f t="shared" si="1161"/>
        <v>135</v>
      </c>
      <c r="CL162" s="74">
        <f t="shared" si="1162"/>
        <v>171</v>
      </c>
      <c r="CM162" s="74">
        <f t="shared" si="1163"/>
        <v>179</v>
      </c>
      <c r="CN162" s="74">
        <f t="shared" si="1164"/>
        <v>206</v>
      </c>
      <c r="CO162" s="74">
        <f t="shared" si="1165"/>
        <v>219</v>
      </c>
      <c r="CP162" s="74">
        <f t="shared" si="1166"/>
        <v>262</v>
      </c>
      <c r="CQ162" s="74">
        <f t="shared" si="1167"/>
        <v>306</v>
      </c>
      <c r="CR162" s="74">
        <f t="shared" si="1168"/>
        <v>333</v>
      </c>
      <c r="CS162" s="74" t="str">
        <f t="shared" si="1169"/>
        <v>-</v>
      </c>
      <c r="CT162" s="23" t="e">
        <f t="shared" si="1170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283"/>
        <v>oprx_human__wt</v>
      </c>
      <c r="B163" s="3" t="s">
        <v>1174</v>
      </c>
      <c r="C163" s="3" t="s">
        <v>100</v>
      </c>
      <c r="D163" s="3" t="str">
        <f>IFERROR(MID(VLOOKUP($B163,Seqs!$A:$B,2,0),E163,1),"")</f>
        <v>L</v>
      </c>
      <c r="E163" s="3">
        <v>48</v>
      </c>
      <c r="F163" s="3" t="str">
        <f>IFERROR(MID(VLOOKUP($B163,Seqs!$A:$B,2,0),G163,1),"")</f>
        <v>H</v>
      </c>
      <c r="G163" s="3">
        <v>79</v>
      </c>
      <c r="H163" s="3" t="str">
        <f>IFERROR(MID(VLOOKUP($B163,Seqs!$A:$B,2,0),I163,1),"")</f>
        <v>T</v>
      </c>
      <c r="I163" s="23">
        <v>80</v>
      </c>
      <c r="J163" s="3" t="str">
        <f>IFERROR(MID(VLOOKUP($B163,Seqs!$A:$B,2,0),K163,1),"")</f>
        <v>K</v>
      </c>
      <c r="K163" s="23">
        <v>83</v>
      </c>
      <c r="L163" s="3" t="str">
        <f>IFERROR(MID(VLOOKUP($B163,Seqs!$A:$B,2,0),M163,1),"")</f>
        <v>T</v>
      </c>
      <c r="M163" s="3">
        <v>84</v>
      </c>
      <c r="N163" s="3" t="str">
        <f>IFERROR(MID(VLOOKUP($B163,Seqs!$A:$B,2,0),O163,1),"")</f>
        <v>L</v>
      </c>
      <c r="O163" s="3">
        <v>113</v>
      </c>
      <c r="P163" s="3" t="str">
        <f>IFERROR(MID(VLOOKUP($B163,Seqs!$A:$B,2,0),Q163,1),"")</f>
        <v>F</v>
      </c>
      <c r="Q163" s="3">
        <v>115</v>
      </c>
      <c r="R163" s="3" t="str">
        <f>IFERROR(MID(VLOOKUP($B163,Seqs!$A:$B,2,0),S163,1),"")</f>
        <v>F</v>
      </c>
      <c r="S163" s="3">
        <v>118</v>
      </c>
      <c r="T163" s="3" t="str">
        <f>IFERROR(MID(VLOOKUP($B163,Seqs!$A:$B,2,0),U163,1),"")</f>
        <v>G</v>
      </c>
      <c r="U163" s="3">
        <v>119</v>
      </c>
      <c r="V163" s="3" t="str">
        <f>IFERROR(MID(VLOOKUP($B163,Seqs!$A:$B,2,0),W163,1),"")</f>
        <v>H</v>
      </c>
      <c r="W163" s="3">
        <v>154</v>
      </c>
      <c r="X163" s="3" t="str">
        <f>IFERROR(MID(VLOOKUP($B163,Seqs!$A:$B,2,0),Y163,1),"")</f>
        <v>P</v>
      </c>
      <c r="Y163" s="3">
        <v>155</v>
      </c>
      <c r="Z163" s="3" t="str">
        <f>IFERROR(MID(VLOOKUP($B163,Seqs!$A:$B,2,0),AA163,1),"")</f>
        <v>R</v>
      </c>
      <c r="AA163" s="3">
        <v>162</v>
      </c>
      <c r="AB163" s="3" t="str">
        <f>IFERROR(MID(VLOOKUP($B163,Seqs!$A:$B,2,0),AC163,1),"")</f>
        <v>T</v>
      </c>
      <c r="AC163" s="9">
        <v>163</v>
      </c>
      <c r="AD163" s="3" t="str">
        <f>IFERROR(MID(VLOOKUP($B163,Seqs!$A:$B,2,0),AE163,1),"")</f>
        <v>G</v>
      </c>
      <c r="AE163" s="3">
        <v>189</v>
      </c>
      <c r="AF163" s="3" t="str">
        <f>IFERROR(MID(VLOOKUP($B163,Seqs!$A:$B,2,0),AG163,1),"")</f>
        <v>C</v>
      </c>
      <c r="AG163" s="3">
        <v>200</v>
      </c>
      <c r="AH163" s="3" t="str">
        <f>IFERROR(MID(VLOOKUP($B163,Seqs!$A:$B,2,0),AI163,1),"")</f>
        <v>V</v>
      </c>
      <c r="AI163" s="3">
        <v>202</v>
      </c>
      <c r="AJ163" s="3" t="str">
        <f>IFERROR(MID(VLOOKUP($B163,Seqs!$A:$B,2,0),AK163,1),"")</f>
        <v>Q</v>
      </c>
      <c r="AK163" s="3">
        <v>208</v>
      </c>
      <c r="AL163" s="3" t="str">
        <f>IFERROR(MID(VLOOKUP($B163,Seqs!$A:$B,2,0),AM163,1),"")</f>
        <v>V</v>
      </c>
      <c r="AM163" s="3">
        <v>245</v>
      </c>
      <c r="AN163" s="3" t="str">
        <f>IFERROR(MID(VLOOKUP($B163,Seqs!$A:$B,2,0),AO163,1),"")</f>
        <v>S</v>
      </c>
      <c r="AO163" s="3">
        <v>251</v>
      </c>
      <c r="AP163" s="3" t="str">
        <f>IFERROR(MID(VLOOKUP($B163,Seqs!$A:$B,2,0),AQ163,1),"")</f>
        <v>G</v>
      </c>
      <c r="AQ163" s="3">
        <v>289</v>
      </c>
      <c r="AR163" s="3" t="str">
        <f>IFERROR(MID(VLOOKUP($B163,Seqs!$A:$B,2,0),AS163,1),"")</f>
        <v>S</v>
      </c>
      <c r="AS163" s="3">
        <v>294</v>
      </c>
      <c r="AT163" s="3" t="str">
        <f>IFERROR(MID(VLOOKUP($B163,Seqs!$A:$B,2,0),AU163,1),"")</f>
        <v>L</v>
      </c>
      <c r="AU163" s="3">
        <v>322</v>
      </c>
      <c r="AV163" s="3" t="str">
        <f>IFERROR(MID(VLOOKUP($B163,Seqs!$A:$B,2,0),AW163,1),"")</f>
        <v>D</v>
      </c>
      <c r="AW163" s="3">
        <v>323</v>
      </c>
      <c r="AX163" s="3" t="str">
        <f>IFERROR(MID(VLOOKUP($B163,Seqs!$A:$B,2,0),AY163,1),"")</f>
        <v>C</v>
      </c>
      <c r="AY163" s="3">
        <v>335</v>
      </c>
      <c r="AZ163" s="79" t="str">
        <f>VLOOKUP(B163,Classification!A:D,2,0)</f>
        <v>A</v>
      </c>
      <c r="BA163" s="96" t="str">
        <f>VLOOKUP(B163,Classification!A:D,4,0)</f>
        <v>Opioid</v>
      </c>
      <c r="BB163" s="27" t="b">
        <f t="shared" si="1284"/>
        <v>1</v>
      </c>
      <c r="BC163" s="23">
        <f t="shared" si="1145"/>
        <v>263</v>
      </c>
      <c r="BD163" s="57" t="s">
        <v>1379</v>
      </c>
      <c r="BE163" s="3" t="s">
        <v>23</v>
      </c>
      <c r="BF163" s="121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1146"/>
        <v>48</v>
      </c>
      <c r="BW163" s="73">
        <f t="shared" si="1147"/>
        <v>80</v>
      </c>
      <c r="BX163" s="74">
        <f t="shared" si="1148"/>
        <v>84</v>
      </c>
      <c r="BY163" s="73">
        <f t="shared" si="1149"/>
        <v>115</v>
      </c>
      <c r="BZ163" s="74">
        <f t="shared" si="1150"/>
        <v>119</v>
      </c>
      <c r="CA163" s="73">
        <f t="shared" si="1151"/>
        <v>155</v>
      </c>
      <c r="CB163" s="74">
        <f t="shared" si="1152"/>
        <v>163</v>
      </c>
      <c r="CC163" s="73">
        <f t="shared" si="1153"/>
        <v>200</v>
      </c>
      <c r="CD163" s="74">
        <f t="shared" si="1154"/>
        <v>208</v>
      </c>
      <c r="CE163" s="73">
        <f t="shared" si="1155"/>
        <v>251</v>
      </c>
      <c r="CF163" s="74">
        <f t="shared" si="1156"/>
        <v>294</v>
      </c>
      <c r="CG163" s="73">
        <f t="shared" si="1157"/>
        <v>323</v>
      </c>
      <c r="CH163" s="72">
        <f t="shared" si="1158"/>
        <v>79</v>
      </c>
      <c r="CI163" s="73">
        <f t="shared" si="1159"/>
        <v>83</v>
      </c>
      <c r="CJ163" s="74">
        <f t="shared" si="1160"/>
        <v>113</v>
      </c>
      <c r="CK163" s="74">
        <f t="shared" si="1161"/>
        <v>118</v>
      </c>
      <c r="CL163" s="74">
        <f t="shared" si="1162"/>
        <v>154</v>
      </c>
      <c r="CM163" s="74">
        <f t="shared" si="1163"/>
        <v>162</v>
      </c>
      <c r="CN163" s="74">
        <f t="shared" si="1164"/>
        <v>189</v>
      </c>
      <c r="CO163" s="74">
        <f t="shared" si="1165"/>
        <v>202</v>
      </c>
      <c r="CP163" s="74">
        <f t="shared" si="1166"/>
        <v>245</v>
      </c>
      <c r="CQ163" s="74">
        <f t="shared" si="1167"/>
        <v>289</v>
      </c>
      <c r="CR163" s="74">
        <f t="shared" si="1168"/>
        <v>322</v>
      </c>
      <c r="CS163" s="74">
        <f t="shared" si="1169"/>
        <v>335</v>
      </c>
      <c r="CT163" s="23">
        <f t="shared" si="1170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1283"/>
        <v>oprx_human_4EA3</v>
      </c>
      <c r="B164" s="3" t="s">
        <v>1174</v>
      </c>
      <c r="C164" s="3" t="s">
        <v>67</v>
      </c>
      <c r="D164" s="3" t="str">
        <f>IFERROR(MID(VLOOKUP($B164,Seqs!$A:$B,2,0),E164,1),"")</f>
        <v>L</v>
      </c>
      <c r="E164" s="3">
        <v>48</v>
      </c>
      <c r="F164" s="3" t="str">
        <f>IFERROR(MID(VLOOKUP($B164,Seqs!$A:$B,2,0),G164,1),"")</f>
        <v>H</v>
      </c>
      <c r="G164" s="3">
        <v>79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84</v>
      </c>
      <c r="N164" s="3" t="str">
        <f>IFERROR(MID(VLOOKUP($B164,Seqs!$A:$B,2,0),O164,1),"")</f>
        <v>L</v>
      </c>
      <c r="O164" s="3">
        <v>113</v>
      </c>
      <c r="P164" s="3" t="str">
        <f>IFERROR(MID(VLOOKUP($B164,Seqs!$A:$B,2,0),Q164,1),"")</f>
        <v>F</v>
      </c>
      <c r="Q164" s="3">
        <v>115</v>
      </c>
      <c r="R164" s="3" t="str">
        <f>IFERROR(MID(VLOOKUP($B164,Seqs!$A:$B,2,0),S164,1),"")</f>
        <v>F</v>
      </c>
      <c r="S164" s="3">
        <v>118</v>
      </c>
      <c r="T164" s="3" t="str">
        <f>IFERROR(MID(VLOOKUP($B164,Seqs!$A:$B,2,0),U164,1),"")</f>
        <v>G</v>
      </c>
      <c r="U164" s="3">
        <v>119</v>
      </c>
      <c r="V164" s="3" t="str">
        <f>IFERROR(MID(VLOOKUP($B164,Seqs!$A:$B,2,0),W164,1),"")</f>
        <v>H</v>
      </c>
      <c r="W164" s="3">
        <v>154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T</v>
      </c>
      <c r="AC164" s="9">
        <v>163</v>
      </c>
      <c r="AD164" s="3" t="str">
        <f>IFERROR(MID(VLOOKUP($B164,Seqs!$A:$B,2,0),AE164,1),"")</f>
        <v>G</v>
      </c>
      <c r="AE164" s="3">
        <v>189</v>
      </c>
      <c r="AF164" s="3" t="str">
        <f>IFERROR(MID(VLOOKUP($B164,Seqs!$A:$B,2,0),AG164,1),"")</f>
        <v>C</v>
      </c>
      <c r="AG164" s="3">
        <v>200</v>
      </c>
      <c r="AH164" s="3" t="str">
        <f>IFERROR(MID(VLOOKUP($B164,Seqs!$A:$B,2,0),AI164,1),"")</f>
        <v>V</v>
      </c>
      <c r="AI164" s="3">
        <v>202</v>
      </c>
      <c r="AJ164" s="3" t="str">
        <f>IFERROR(MID(VLOOKUP($B164,Seqs!$A:$B,2,0),AK164,1),"")</f>
        <v>Q</v>
      </c>
      <c r="AK164" s="3">
        <v>208</v>
      </c>
      <c r="AL164" s="3" t="str">
        <f>IFERROR(MID(VLOOKUP($B164,Seqs!$A:$B,2,0),AM164,1),"")</f>
        <v>L</v>
      </c>
      <c r="AM164" s="3">
        <v>242</v>
      </c>
      <c r="AN164" s="3" t="str">
        <f>IFERROR(MID(VLOOKUP($B164,Seqs!$A:$B,2,0),AO164,1),"")</f>
        <v>S</v>
      </c>
      <c r="AO164" s="3">
        <v>251</v>
      </c>
      <c r="AP164" s="3" t="str">
        <f>IFERROR(MID(VLOOKUP($B164,Seqs!$A:$B,2,0),AQ164,1),"")</f>
        <v>G</v>
      </c>
      <c r="AQ164" s="3">
        <v>289</v>
      </c>
      <c r="AR164" s="3" t="str">
        <f>IFERROR(MID(VLOOKUP($B164,Seqs!$A:$B,2,0),AS164,1),"")</f>
        <v>S</v>
      </c>
      <c r="AS164" s="3">
        <v>294</v>
      </c>
      <c r="AT164" s="3" t="str">
        <f>IFERROR(MID(VLOOKUP($B164,Seqs!$A:$B,2,0),AU164,1),"")</f>
        <v>L</v>
      </c>
      <c r="AU164" s="3">
        <v>322</v>
      </c>
      <c r="AV164" s="3" t="str">
        <f>IFERROR(MID(VLOOKUP($B164,Seqs!$A:$B,2,0),AW164,1),"")</f>
        <v>D</v>
      </c>
      <c r="AW164" s="3">
        <v>323</v>
      </c>
      <c r="AX164" s="3" t="str">
        <f>IFERROR(MID(VLOOKUP($B164,Seqs!$A:$B,2,0),AY164,1),"")</f>
        <v>R</v>
      </c>
      <c r="AY164" s="3">
        <v>331</v>
      </c>
      <c r="AZ164" s="79" t="str">
        <f>VLOOKUP(B164,Classification!A:D,2,0)</f>
        <v>A</v>
      </c>
      <c r="BA164" s="96" t="str">
        <f>VLOOKUP(B164,Classification!A:D,4,0)</f>
        <v>Opioid</v>
      </c>
      <c r="BB164" s="27" t="b">
        <f t="shared" si="1284"/>
        <v>1</v>
      </c>
      <c r="BC164" s="23">
        <f t="shared" si="1145"/>
        <v>246</v>
      </c>
      <c r="BD164" s="5" t="s">
        <v>23</v>
      </c>
      <c r="BE164" s="3" t="s">
        <v>1381</v>
      </c>
      <c r="BF164" s="121">
        <v>3.01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1146"/>
        <v>48</v>
      </c>
      <c r="BW164" s="73" t="str">
        <f t="shared" si="1147"/>
        <v>-</v>
      </c>
      <c r="BX164" s="74">
        <f t="shared" si="1148"/>
        <v>84</v>
      </c>
      <c r="BY164" s="73">
        <f t="shared" si="1149"/>
        <v>115</v>
      </c>
      <c r="BZ164" s="74">
        <f t="shared" si="1150"/>
        <v>119</v>
      </c>
      <c r="CA164" s="73" t="str">
        <f t="shared" si="1151"/>
        <v>-</v>
      </c>
      <c r="CB164" s="74">
        <f t="shared" si="1152"/>
        <v>163</v>
      </c>
      <c r="CC164" s="73">
        <f t="shared" si="1153"/>
        <v>200</v>
      </c>
      <c r="CD164" s="74">
        <f t="shared" si="1154"/>
        <v>208</v>
      </c>
      <c r="CE164" s="73">
        <f t="shared" si="1155"/>
        <v>251</v>
      </c>
      <c r="CF164" s="74">
        <f t="shared" si="1156"/>
        <v>294</v>
      </c>
      <c r="CG164" s="73">
        <f t="shared" si="1157"/>
        <v>323</v>
      </c>
      <c r="CH164" s="72">
        <f t="shared" si="1158"/>
        <v>79</v>
      </c>
      <c r="CI164" s="73" t="str">
        <f t="shared" si="1159"/>
        <v>-</v>
      </c>
      <c r="CJ164" s="74">
        <f t="shared" si="1160"/>
        <v>113</v>
      </c>
      <c r="CK164" s="74">
        <f t="shared" si="1161"/>
        <v>118</v>
      </c>
      <c r="CL164" s="74">
        <f t="shared" si="1162"/>
        <v>154</v>
      </c>
      <c r="CM164" s="74" t="str">
        <f t="shared" si="1163"/>
        <v>-</v>
      </c>
      <c r="CN164" s="74">
        <f t="shared" si="1164"/>
        <v>189</v>
      </c>
      <c r="CO164" s="74">
        <f t="shared" si="1165"/>
        <v>202</v>
      </c>
      <c r="CP164" s="74">
        <f t="shared" si="1166"/>
        <v>242</v>
      </c>
      <c r="CQ164" s="74">
        <f t="shared" si="1167"/>
        <v>289</v>
      </c>
      <c r="CR164" s="74">
        <f t="shared" si="1168"/>
        <v>322</v>
      </c>
      <c r="CS164" s="74">
        <f t="shared" si="1169"/>
        <v>331</v>
      </c>
      <c r="CT164" s="23" t="e">
        <f t="shared" si="1170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283"/>
        <v>oprx_human_5DHG</v>
      </c>
      <c r="B165" s="3" t="s">
        <v>1174</v>
      </c>
      <c r="C165" s="3" t="s">
        <v>1361</v>
      </c>
      <c r="D165" s="3" t="str">
        <f>IFERROR(MID(VLOOKUP($B165,Seqs!$A:$B,2,0),E165,1),"")</f>
        <v>L</v>
      </c>
      <c r="E165" s="3">
        <v>48</v>
      </c>
      <c r="F165" s="3" t="str">
        <f>IFERROR(MID(VLOOKUP($B165,Seqs!$A:$B,2,0),G165,1),"")</f>
        <v>H</v>
      </c>
      <c r="G165" s="3">
        <v>79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84</v>
      </c>
      <c r="N165" s="3" t="str">
        <f>IFERROR(MID(VLOOKUP($B165,Seqs!$A:$B,2,0),O165,1),"")</f>
        <v>L</v>
      </c>
      <c r="O165" s="3">
        <v>113</v>
      </c>
      <c r="P165" s="3" t="str">
        <f>IFERROR(MID(VLOOKUP($B165,Seqs!$A:$B,2,0),Q165,1),"")</f>
        <v>F</v>
      </c>
      <c r="Q165" s="3">
        <v>115</v>
      </c>
      <c r="R165" s="3" t="str">
        <f>IFERROR(MID(VLOOKUP($B165,Seqs!$A:$B,2,0),S165,1),"")</f>
        <v>F</v>
      </c>
      <c r="S165" s="3">
        <v>118</v>
      </c>
      <c r="T165" s="3" t="str">
        <f>IFERROR(MID(VLOOKUP($B165,Seqs!$A:$B,2,0),U165,1),"")</f>
        <v>G</v>
      </c>
      <c r="U165" s="3">
        <v>119</v>
      </c>
      <c r="V165" s="3" t="str">
        <f>IFERROR(MID(VLOOKUP($B165,Seqs!$A:$B,2,0),W165,1),"")</f>
        <v>H</v>
      </c>
      <c r="W165" s="3">
        <v>154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T</v>
      </c>
      <c r="AC165" s="9">
        <v>163</v>
      </c>
      <c r="AD165" s="3" t="str">
        <f>IFERROR(MID(VLOOKUP($B165,Seqs!$A:$B,2,0),AE165,1),"")</f>
        <v>G</v>
      </c>
      <c r="AE165" s="3">
        <v>189</v>
      </c>
      <c r="AF165" s="3" t="str">
        <f>IFERROR(MID(VLOOKUP($B165,Seqs!$A:$B,2,0),AG165,1),"")</f>
        <v>C</v>
      </c>
      <c r="AG165" s="3">
        <v>200</v>
      </c>
      <c r="AH165" s="3" t="str">
        <f>IFERROR(MID(VLOOKUP($B165,Seqs!$A:$B,2,0),AI165,1),"")</f>
        <v>V</v>
      </c>
      <c r="AI165" s="3">
        <v>202</v>
      </c>
      <c r="AJ165" s="3" t="str">
        <f>IFERROR(MID(VLOOKUP($B165,Seqs!$A:$B,2,0),AK165,1),"")</f>
        <v>Q</v>
      </c>
      <c r="AK165" s="3">
        <v>208</v>
      </c>
      <c r="AL165" s="3" t="str">
        <f>IFERROR(MID(VLOOKUP($B165,Seqs!$A:$B,2,0),AM165,1),"")</f>
        <v>L</v>
      </c>
      <c r="AM165" s="3">
        <v>242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G</v>
      </c>
      <c r="AQ165" s="3">
        <v>289</v>
      </c>
      <c r="AR165" s="3" t="str">
        <f>IFERROR(MID(VLOOKUP($B165,Seqs!$A:$B,2,0),AS165,1),"")</f>
        <v>S</v>
      </c>
      <c r="AS165" s="3">
        <v>294</v>
      </c>
      <c r="AT165" s="3" t="str">
        <f>IFERROR(MID(VLOOKUP($B165,Seqs!$A:$B,2,0),AU165,1),"")</f>
        <v>L</v>
      </c>
      <c r="AU165" s="3">
        <v>322</v>
      </c>
      <c r="AV165" s="3" t="str">
        <f>IFERROR(MID(VLOOKUP($B165,Seqs!$A:$B,2,0),AW165,1),"")</f>
        <v>D</v>
      </c>
      <c r="AW165" s="3">
        <v>323</v>
      </c>
      <c r="AX165" s="3" t="str">
        <f>IFERROR(MID(VLOOKUP($B165,Seqs!$A:$B,2,0),AY165,1),"")</f>
        <v>F</v>
      </c>
      <c r="AY165" s="3">
        <v>333</v>
      </c>
      <c r="AZ165" s="79" t="str">
        <f>VLOOKUP(B165,Classification!A:D,2,0)</f>
        <v>A</v>
      </c>
      <c r="BA165" s="96" t="str">
        <f>VLOOKUP(B165,Classification!A:D,4,0)</f>
        <v>Opioid</v>
      </c>
      <c r="BB165" s="27" t="b">
        <f t="shared" si="1284"/>
        <v>1</v>
      </c>
      <c r="BC165" s="23">
        <f t="shared" si="1145"/>
        <v>248</v>
      </c>
      <c r="BD165" s="16" t="s">
        <v>1383</v>
      </c>
      <c r="BE165" s="3" t="s">
        <v>1381</v>
      </c>
      <c r="BF165" s="121">
        <v>3</v>
      </c>
      <c r="BG165" s="50" t="s">
        <v>1287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1146"/>
        <v>48</v>
      </c>
      <c r="BW165" s="73" t="str">
        <f t="shared" si="1147"/>
        <v>-</v>
      </c>
      <c r="BX165" s="74">
        <f t="shared" si="1148"/>
        <v>84</v>
      </c>
      <c r="BY165" s="73">
        <f t="shared" si="1149"/>
        <v>115</v>
      </c>
      <c r="BZ165" s="74">
        <f t="shared" si="1150"/>
        <v>119</v>
      </c>
      <c r="CA165" s="73" t="str">
        <f t="shared" si="1151"/>
        <v>-</v>
      </c>
      <c r="CB165" s="74">
        <f t="shared" si="1152"/>
        <v>163</v>
      </c>
      <c r="CC165" s="73">
        <f t="shared" si="1153"/>
        <v>200</v>
      </c>
      <c r="CD165" s="74">
        <f t="shared" si="1154"/>
        <v>208</v>
      </c>
      <c r="CE165" s="73">
        <f t="shared" si="1155"/>
        <v>251</v>
      </c>
      <c r="CF165" s="74">
        <f t="shared" si="1156"/>
        <v>294</v>
      </c>
      <c r="CG165" s="73">
        <f t="shared" si="1157"/>
        <v>323</v>
      </c>
      <c r="CH165" s="72">
        <f t="shared" si="1158"/>
        <v>79</v>
      </c>
      <c r="CI165" s="73" t="str">
        <f t="shared" si="1159"/>
        <v>-</v>
      </c>
      <c r="CJ165" s="74">
        <f t="shared" si="1160"/>
        <v>113</v>
      </c>
      <c r="CK165" s="74">
        <f t="shared" si="1161"/>
        <v>118</v>
      </c>
      <c r="CL165" s="74">
        <f t="shared" si="1162"/>
        <v>154</v>
      </c>
      <c r="CM165" s="74" t="str">
        <f t="shared" si="1163"/>
        <v>-</v>
      </c>
      <c r="CN165" s="74">
        <f t="shared" si="1164"/>
        <v>189</v>
      </c>
      <c r="CO165" s="74">
        <f t="shared" si="1165"/>
        <v>202</v>
      </c>
      <c r="CP165" s="74">
        <f t="shared" si="1166"/>
        <v>242</v>
      </c>
      <c r="CQ165" s="74">
        <f t="shared" si="1167"/>
        <v>289</v>
      </c>
      <c r="CR165" s="74">
        <f t="shared" si="1168"/>
        <v>322</v>
      </c>
      <c r="CS165" s="74">
        <f t="shared" si="1169"/>
        <v>333</v>
      </c>
      <c r="CT165" s="23" t="e">
        <f t="shared" si="1170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283"/>
        <v>oprx_human_5DHH</v>
      </c>
      <c r="B166" s="3" t="s">
        <v>1174</v>
      </c>
      <c r="C166" s="3" t="s">
        <v>1362</v>
      </c>
      <c r="D166" s="3" t="str">
        <f>IFERROR(MID(VLOOKUP($B166,Seqs!$A:$B,2,0),E166,1),"")</f>
        <v>L</v>
      </c>
      <c r="E166" s="3">
        <v>48</v>
      </c>
      <c r="F166" s="3" t="str">
        <f>IFERROR(MID(VLOOKUP($B166,Seqs!$A:$B,2,0),G166,1),"")</f>
        <v>H</v>
      </c>
      <c r="G166" s="3">
        <v>79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84</v>
      </c>
      <c r="N166" s="3" t="str">
        <f>IFERROR(MID(VLOOKUP($B166,Seqs!$A:$B,2,0),O166,1),"")</f>
        <v>L</v>
      </c>
      <c r="O166" s="3">
        <v>113</v>
      </c>
      <c r="P166" s="3" t="str">
        <f>IFERROR(MID(VLOOKUP($B166,Seqs!$A:$B,2,0),Q166,1),"")</f>
        <v>F</v>
      </c>
      <c r="Q166" s="3">
        <v>115</v>
      </c>
      <c r="R166" s="3" t="str">
        <f>IFERROR(MID(VLOOKUP($B166,Seqs!$A:$B,2,0),S166,1),"")</f>
        <v>F</v>
      </c>
      <c r="S166" s="3">
        <v>118</v>
      </c>
      <c r="T166" s="3" t="str">
        <f>IFERROR(MID(VLOOKUP($B166,Seqs!$A:$B,2,0),U166,1),"")</f>
        <v>G</v>
      </c>
      <c r="U166" s="3">
        <v>119</v>
      </c>
      <c r="V166" s="3" t="str">
        <f>IFERROR(MID(VLOOKUP($B166,Seqs!$A:$B,2,0),W166,1),"")</f>
        <v>H</v>
      </c>
      <c r="W166" s="3">
        <v>154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T</v>
      </c>
      <c r="AC166" s="9">
        <v>163</v>
      </c>
      <c r="AD166" s="3" t="str">
        <f>IFERROR(MID(VLOOKUP($B166,Seqs!$A:$B,2,0),AE166,1),"")</f>
        <v>G</v>
      </c>
      <c r="AE166" s="3">
        <v>189</v>
      </c>
      <c r="AF166" s="3" t="str">
        <f>IFERROR(MID(VLOOKUP($B166,Seqs!$A:$B,2,0),AG166,1),"")</f>
        <v>C</v>
      </c>
      <c r="AG166" s="3">
        <v>200</v>
      </c>
      <c r="AH166" s="3" t="str">
        <f>IFERROR(MID(VLOOKUP($B166,Seqs!$A:$B,2,0),AI166,1),"")</f>
        <v>V</v>
      </c>
      <c r="AI166" s="3">
        <v>202</v>
      </c>
      <c r="AJ166" s="3" t="str">
        <f>IFERROR(MID(VLOOKUP($B166,Seqs!$A:$B,2,0),AK166,1),"")</f>
        <v>Q</v>
      </c>
      <c r="AK166" s="3">
        <v>208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S</v>
      </c>
      <c r="AO166" s="3">
        <v>251</v>
      </c>
      <c r="AP166" s="3" t="str">
        <f>IFERROR(MID(VLOOKUP($B166,Seqs!$A:$B,2,0),AQ166,1),"")</f>
        <v>G</v>
      </c>
      <c r="AQ166" s="3">
        <v>289</v>
      </c>
      <c r="AR166" s="3" t="str">
        <f>IFERROR(MID(VLOOKUP($B166,Seqs!$A:$B,2,0),AS166,1),"")</f>
        <v>S</v>
      </c>
      <c r="AS166" s="3">
        <v>294</v>
      </c>
      <c r="AT166" s="3" t="str">
        <f>IFERROR(MID(VLOOKUP($B166,Seqs!$A:$B,2,0),AU166,1),"")</f>
        <v>L</v>
      </c>
      <c r="AU166" s="3">
        <v>322</v>
      </c>
      <c r="AV166" s="3" t="str">
        <f>IFERROR(MID(VLOOKUP($B166,Seqs!$A:$B,2,0),AW166,1),"")</f>
        <v>D</v>
      </c>
      <c r="AW166" s="3">
        <v>323</v>
      </c>
      <c r="AX166" s="3" t="str">
        <f>IFERROR(MID(VLOOKUP($B166,Seqs!$A:$B,2,0),AY166,1),"")</f>
        <v>R</v>
      </c>
      <c r="AY166" s="3">
        <v>331</v>
      </c>
      <c r="AZ166" s="79" t="str">
        <f>VLOOKUP(B166,Classification!A:D,2,0)</f>
        <v>A</v>
      </c>
      <c r="BA166" s="96" t="str">
        <f>VLOOKUP(B166,Classification!A:D,4,0)</f>
        <v>Opioid</v>
      </c>
      <c r="BB166" s="27" t="b">
        <f t="shared" si="1284"/>
        <v>1</v>
      </c>
      <c r="BC166" s="23">
        <f t="shared" si="1145"/>
        <v>246</v>
      </c>
      <c r="BD166" s="5" t="s">
        <v>23</v>
      </c>
      <c r="BE166" s="3" t="s">
        <v>1381</v>
      </c>
      <c r="BF166" s="121">
        <v>3</v>
      </c>
      <c r="BG166" s="50" t="s">
        <v>1</v>
      </c>
      <c r="BH166" s="50" t="s">
        <v>1384</v>
      </c>
      <c r="BI166" s="1" t="s">
        <v>1366</v>
      </c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1146"/>
        <v>48</v>
      </c>
      <c r="BW166" s="73" t="str">
        <f t="shared" si="1147"/>
        <v>-</v>
      </c>
      <c r="BX166" s="74">
        <f t="shared" si="1148"/>
        <v>84</v>
      </c>
      <c r="BY166" s="73">
        <f t="shared" si="1149"/>
        <v>115</v>
      </c>
      <c r="BZ166" s="74">
        <f t="shared" si="1150"/>
        <v>119</v>
      </c>
      <c r="CA166" s="73" t="str">
        <f t="shared" si="1151"/>
        <v>-</v>
      </c>
      <c r="CB166" s="74">
        <f t="shared" si="1152"/>
        <v>163</v>
      </c>
      <c r="CC166" s="73">
        <f t="shared" si="1153"/>
        <v>200</v>
      </c>
      <c r="CD166" s="74">
        <f t="shared" si="1154"/>
        <v>208</v>
      </c>
      <c r="CE166" s="73">
        <f t="shared" si="1155"/>
        <v>251</v>
      </c>
      <c r="CF166" s="74">
        <f t="shared" si="1156"/>
        <v>294</v>
      </c>
      <c r="CG166" s="73">
        <f t="shared" si="1157"/>
        <v>323</v>
      </c>
      <c r="CH166" s="72">
        <f t="shared" si="1158"/>
        <v>79</v>
      </c>
      <c r="CI166" s="73" t="str">
        <f t="shared" si="1159"/>
        <v>-</v>
      </c>
      <c r="CJ166" s="74">
        <f t="shared" si="1160"/>
        <v>113</v>
      </c>
      <c r="CK166" s="74">
        <f t="shared" si="1161"/>
        <v>118</v>
      </c>
      <c r="CL166" s="74">
        <f t="shared" si="1162"/>
        <v>154</v>
      </c>
      <c r="CM166" s="74" t="str">
        <f t="shared" si="1163"/>
        <v>-</v>
      </c>
      <c r="CN166" s="74">
        <f t="shared" si="1164"/>
        <v>189</v>
      </c>
      <c r="CO166" s="74">
        <f t="shared" si="1165"/>
        <v>202</v>
      </c>
      <c r="CP166" s="74">
        <f t="shared" si="1166"/>
        <v>242</v>
      </c>
      <c r="CQ166" s="74">
        <f t="shared" si="1167"/>
        <v>289</v>
      </c>
      <c r="CR166" s="74">
        <f t="shared" si="1168"/>
        <v>322</v>
      </c>
      <c r="CS166" s="74">
        <f t="shared" si="1169"/>
        <v>331</v>
      </c>
      <c r="CT166" s="23" t="e">
        <f t="shared" si="1170"/>
        <v>#VALUE!</v>
      </c>
    </row>
    <row r="167" spans="1:1030" x14ac:dyDescent="0.2">
      <c r="A167" s="3" t="str">
        <f t="shared" si="1283"/>
        <v>opsd_bovin__wt</v>
      </c>
      <c r="B167" s="3" t="s">
        <v>920</v>
      </c>
      <c r="C167" s="3" t="s">
        <v>100</v>
      </c>
      <c r="D167" s="3" t="str">
        <f>IFERROR(MID(VLOOKUP($B167,Seqs!$A:$B,2,0),E167,1),"")</f>
        <v>E</v>
      </c>
      <c r="E167" s="107">
        <v>33</v>
      </c>
      <c r="F167" s="3" t="str">
        <f>IFERROR(MID(VLOOKUP($B167,Seqs!$A:$B,2,0),G167,1),"")</f>
        <v>H</v>
      </c>
      <c r="G167" s="3">
        <v>65</v>
      </c>
      <c r="H167" s="3" t="str">
        <f>IFERROR(MID(VLOOKUP($B167,Seqs!$A:$B,2,0),I167,1),"")</f>
        <v>K</v>
      </c>
      <c r="I167" s="23">
        <v>66</v>
      </c>
      <c r="J167" s="3" t="str">
        <f>IFERROR(MID(VLOOKUP($B167,Seqs!$A:$B,2,0),K167,1),"")</f>
        <v>R</v>
      </c>
      <c r="K167" s="23">
        <v>69</v>
      </c>
      <c r="L167" s="3" t="str">
        <f>IFERROR(MID(VLOOKUP($B167,Seqs!$A:$B,2,0),M167,1),"")</f>
        <v>T</v>
      </c>
      <c r="M167" s="3">
        <v>70</v>
      </c>
      <c r="N167" s="3" t="str">
        <f>IFERROR(MID(VLOOKUP($B167,Seqs!$A:$B,2,0),O167,1),"")</f>
        <v>H</v>
      </c>
      <c r="O167" s="3">
        <v>100</v>
      </c>
      <c r="P167" s="3" t="str">
        <f>IFERROR(MID(VLOOKUP($B167,Seqs!$A:$B,2,0),Q167,1),"")</f>
        <v>Y</v>
      </c>
      <c r="Q167" s="3">
        <v>102</v>
      </c>
      <c r="R167" s="3" t="str">
        <f>IFERROR(MID(VLOOKUP($B167,Seqs!$A:$B,2,0),S167,1),"")</f>
        <v>F</v>
      </c>
      <c r="S167" s="3">
        <v>105</v>
      </c>
      <c r="T167" s="3" t="str">
        <f>IFERROR(MID(VLOOKUP($B167,Seqs!$A:$B,2,0),U167,1),"")</f>
        <v>G</v>
      </c>
      <c r="U167" s="3">
        <v>106</v>
      </c>
      <c r="V167" s="3" t="str">
        <f>IFERROR(MID(VLOOKUP($B167,Seqs!$A:$B,2,0),W167,1),"")</f>
        <v>K</v>
      </c>
      <c r="W167" s="3">
        <v>141</v>
      </c>
      <c r="X167" s="3" t="str">
        <f>IFERROR(MID(VLOOKUP($B167,Seqs!$A:$B,2,0),Y167,1),"")</f>
        <v>P</v>
      </c>
      <c r="Y167" s="3">
        <v>142</v>
      </c>
      <c r="Z167" s="3" t="str">
        <f>IFERROR(MID(VLOOKUP($B167,Seqs!$A:$B,2,0),AA167,1),"")</f>
        <v>F</v>
      </c>
      <c r="AA167" s="107">
        <v>148</v>
      </c>
      <c r="AB167" s="3" t="str">
        <f>IFERROR(MID(VLOOKUP($B167,Seqs!$A:$B,2,0),AC167,1),"")</f>
        <v>G</v>
      </c>
      <c r="AC167" s="107">
        <v>149</v>
      </c>
      <c r="AD167" s="3" t="str">
        <f>IFERROR(MID(VLOOKUP($B167,Seqs!$A:$B,2,0),AE167,1),"")</f>
        <v>V</v>
      </c>
      <c r="AE167" s="3">
        <v>173</v>
      </c>
      <c r="AF167" s="3" t="str">
        <f>IFERROR(MID(VLOOKUP($B167,Seqs!$A:$B,2,0),AG167,1),"")</f>
        <v>C</v>
      </c>
      <c r="AG167" s="3">
        <v>187</v>
      </c>
      <c r="AH167" s="3" t="str">
        <f>IFERROR(MID(VLOOKUP($B167,Seqs!$A:$B,2,0),AI167,1),"")</f>
        <v>I</v>
      </c>
      <c r="AI167" s="3">
        <v>189</v>
      </c>
      <c r="AJ167" s="3" t="str">
        <f>IFERROR(MID(VLOOKUP($B167,Seqs!$A:$B,2,0),AK167,1),"")</f>
        <v>N</v>
      </c>
      <c r="AK167" s="3">
        <v>199</v>
      </c>
      <c r="AL167" s="3" t="str">
        <f>IFERROR(MID(VLOOKUP($B167,Seqs!$A:$B,2,0),AM167,1),"")</f>
        <v>Q</v>
      </c>
      <c r="AM167" s="3">
        <v>237</v>
      </c>
      <c r="AN167" s="3" t="str">
        <f>IFERROR(MID(VLOOKUP($B167,Seqs!$A:$B,2,0),AO167,1),"")</f>
        <v>A</v>
      </c>
      <c r="AO167" s="3">
        <v>241</v>
      </c>
      <c r="AP167" s="3" t="str">
        <f>IFERROR(MID(VLOOKUP($B167,Seqs!$A:$B,2,0),AQ167,1),"")</f>
        <v>H</v>
      </c>
      <c r="AQ167" s="3">
        <v>278</v>
      </c>
      <c r="AR167" s="3" t="str">
        <f>IFERROR(MID(VLOOKUP($B167,Seqs!$A:$B,2,0),AS167,1),"")</f>
        <v>G</v>
      </c>
      <c r="AS167" s="3">
        <v>284</v>
      </c>
      <c r="AT167" s="3" t="str">
        <f>IFERROR(MID(VLOOKUP($B167,Seqs!$A:$B,2,0),AU167,1),"")</f>
        <v>M</v>
      </c>
      <c r="AU167" s="3">
        <v>309</v>
      </c>
      <c r="AV167" s="3" t="str">
        <f>IFERROR(MID(VLOOKUP($B167,Seqs!$A:$B,2,0),AW167,1),"")</f>
        <v>N</v>
      </c>
      <c r="AW167" s="3">
        <v>310</v>
      </c>
      <c r="AX167" s="3" t="str">
        <f>IFERROR(MID(VLOOKUP($B167,Seqs!$A:$B,2,0),AY167,1),"")</f>
        <v>C</v>
      </c>
      <c r="AY167" s="3">
        <v>322</v>
      </c>
      <c r="AZ167" s="79" t="str">
        <f>VLOOKUP(B167,Classification!A:D,2,0)</f>
        <v>A</v>
      </c>
      <c r="BA167" s="96" t="str">
        <f>VLOOKUP(B167,Classification!A:D,4,0)</f>
        <v>Opsins</v>
      </c>
      <c r="BB167" s="27" t="b">
        <f t="shared" si="1284"/>
        <v>1</v>
      </c>
      <c r="BC167" s="23">
        <f t="shared" si="1145"/>
        <v>259</v>
      </c>
      <c r="BD167" s="35" t="s">
        <v>1379</v>
      </c>
      <c r="BE167" s="3" t="s">
        <v>23</v>
      </c>
      <c r="BF167" s="121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1146"/>
        <v>33</v>
      </c>
      <c r="BW167" s="73">
        <f t="shared" si="1147"/>
        <v>66</v>
      </c>
      <c r="BX167" s="74">
        <f t="shared" si="1148"/>
        <v>70</v>
      </c>
      <c r="BY167" s="73">
        <f t="shared" si="1149"/>
        <v>102</v>
      </c>
      <c r="BZ167" s="74">
        <f t="shared" si="1150"/>
        <v>106</v>
      </c>
      <c r="CA167" s="73">
        <f t="shared" si="1151"/>
        <v>142</v>
      </c>
      <c r="CB167" s="74">
        <f t="shared" si="1152"/>
        <v>149</v>
      </c>
      <c r="CC167" s="73">
        <f t="shared" si="1153"/>
        <v>187</v>
      </c>
      <c r="CD167" s="74">
        <f t="shared" si="1154"/>
        <v>199</v>
      </c>
      <c r="CE167" s="73">
        <f t="shared" si="1155"/>
        <v>241</v>
      </c>
      <c r="CF167" s="74">
        <f t="shared" si="1156"/>
        <v>284</v>
      </c>
      <c r="CG167" s="73">
        <f t="shared" si="1157"/>
        <v>310</v>
      </c>
      <c r="CH167" s="72">
        <f t="shared" si="1158"/>
        <v>65</v>
      </c>
      <c r="CI167" s="73">
        <f t="shared" si="1159"/>
        <v>69</v>
      </c>
      <c r="CJ167" s="74">
        <f t="shared" si="1160"/>
        <v>100</v>
      </c>
      <c r="CK167" s="74">
        <f t="shared" si="1161"/>
        <v>105</v>
      </c>
      <c r="CL167" s="74">
        <f t="shared" si="1162"/>
        <v>141</v>
      </c>
      <c r="CM167" s="74">
        <f t="shared" si="1163"/>
        <v>148</v>
      </c>
      <c r="CN167" s="74">
        <f t="shared" si="1164"/>
        <v>173</v>
      </c>
      <c r="CO167" s="74">
        <f t="shared" si="1165"/>
        <v>189</v>
      </c>
      <c r="CP167" s="74">
        <f t="shared" si="1166"/>
        <v>237</v>
      </c>
      <c r="CQ167" s="74">
        <f t="shared" si="1167"/>
        <v>278</v>
      </c>
      <c r="CR167" s="74">
        <f t="shared" si="1168"/>
        <v>309</v>
      </c>
      <c r="CS167" s="74">
        <f t="shared" si="1169"/>
        <v>322</v>
      </c>
      <c r="CT167" s="23">
        <f t="shared" si="1170"/>
        <v>1</v>
      </c>
    </row>
    <row r="168" spans="1:1030" x14ac:dyDescent="0.2">
      <c r="A168" s="3" t="str">
        <f t="shared" si="1283"/>
        <v>opsd_bovin_1GZM</v>
      </c>
      <c r="B168" s="3" t="s">
        <v>920</v>
      </c>
      <c r="C168" s="3" t="s">
        <v>1343</v>
      </c>
      <c r="D168" s="3" t="str">
        <f>IFERROR(MID(VLOOKUP($B168,Seqs!$A:$B,2,0),E168,1),"")</f>
        <v>E</v>
      </c>
      <c r="E168" s="107">
        <v>33</v>
      </c>
      <c r="F168" s="3" t="str">
        <f>IFERROR(MID(VLOOKUP($B168,Seqs!$A:$B,2,0),G168,1),"")</f>
        <v>H</v>
      </c>
      <c r="G168" s="3">
        <v>65</v>
      </c>
      <c r="H168" s="3" t="str">
        <f>IFERROR(MID(VLOOKUP($B168,Seqs!$A:$B,2,0),I168,1),"")</f>
        <v>K</v>
      </c>
      <c r="I168" s="23">
        <v>66</v>
      </c>
      <c r="J168" s="3" t="str">
        <f>IFERROR(MID(VLOOKUP($B168,Seqs!$A:$B,2,0),K168,1),"")</f>
        <v>R</v>
      </c>
      <c r="K168" s="23">
        <v>69</v>
      </c>
      <c r="L168" s="3" t="str">
        <f>IFERROR(MID(VLOOKUP($B168,Seqs!$A:$B,2,0),M168,1),"")</f>
        <v>T</v>
      </c>
      <c r="M168" s="3">
        <v>70</v>
      </c>
      <c r="N168" s="3" t="str">
        <f>IFERROR(MID(VLOOKUP($B168,Seqs!$A:$B,2,0),O168,1),"")</f>
        <v>H</v>
      </c>
      <c r="O168" s="3">
        <v>100</v>
      </c>
      <c r="P168" s="3" t="str">
        <f>IFERROR(MID(VLOOKUP($B168,Seqs!$A:$B,2,0),Q168,1),"")</f>
        <v>Y</v>
      </c>
      <c r="Q168" s="3">
        <v>102</v>
      </c>
      <c r="R168" s="3" t="str">
        <f>IFERROR(MID(VLOOKUP($B168,Seqs!$A:$B,2,0),S168,1),"")</f>
        <v>F</v>
      </c>
      <c r="S168" s="3">
        <v>105</v>
      </c>
      <c r="T168" s="3" t="str">
        <f>IFERROR(MID(VLOOKUP($B168,Seqs!$A:$B,2,0),U168,1),"")</f>
        <v>G</v>
      </c>
      <c r="U168" s="3">
        <v>106</v>
      </c>
      <c r="V168" s="3" t="str">
        <f>IFERROR(MID(VLOOKUP($B168,Seqs!$A:$B,2,0),W168,1),"")</f>
        <v>K</v>
      </c>
      <c r="W168" s="3">
        <v>141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G</v>
      </c>
      <c r="AC168" s="9">
        <v>149</v>
      </c>
      <c r="AD168" s="3" t="str">
        <f>IFERROR(MID(VLOOKUP($B168,Seqs!$A:$B,2,0),AE168,1),"")</f>
        <v>V</v>
      </c>
      <c r="AE168" s="3">
        <v>173</v>
      </c>
      <c r="AF168" s="3" t="str">
        <f>IFERROR(MID(VLOOKUP($B168,Seqs!$A:$B,2,0),AG168,1),"")</f>
        <v>C</v>
      </c>
      <c r="AG168" s="3">
        <v>187</v>
      </c>
      <c r="AH168" s="3" t="str">
        <f>IFERROR(MID(VLOOKUP($B168,Seqs!$A:$B,2,0),AI168,1),"")</f>
        <v>I</v>
      </c>
      <c r="AI168" s="3">
        <v>189</v>
      </c>
      <c r="AJ168" s="3" t="str">
        <f>IFERROR(MID(VLOOKUP($B168,Seqs!$A:$B,2,0),AK168,1),"")</f>
        <v>N</v>
      </c>
      <c r="AK168" s="3">
        <v>199</v>
      </c>
      <c r="AL168" s="3" t="str">
        <f>IFERROR(MID(VLOOKUP($B168,Seqs!$A:$B,2,0),AM168,1),"")</f>
        <v>A</v>
      </c>
      <c r="AM168" s="3">
        <v>233</v>
      </c>
      <c r="AN168" s="3" t="str">
        <f>IFERROR(MID(VLOOKUP($B168,Seqs!$A:$B,2,0),AO168,1),"")</f>
        <v>A</v>
      </c>
      <c r="AO168" s="3">
        <v>241</v>
      </c>
      <c r="AP168" s="3" t="str">
        <f>IFERROR(MID(VLOOKUP($B168,Seqs!$A:$B,2,0),AQ168,1),"")</f>
        <v>H</v>
      </c>
      <c r="AQ168" s="3">
        <v>278</v>
      </c>
      <c r="AR168" s="3" t="str">
        <f>IFERROR(MID(VLOOKUP($B168,Seqs!$A:$B,2,0),AS168,1),"")</f>
        <v>G</v>
      </c>
      <c r="AS168" s="3">
        <v>284</v>
      </c>
      <c r="AT168" s="3" t="str">
        <f>IFERROR(MID(VLOOKUP($B168,Seqs!$A:$B,2,0),AU168,1),"")</f>
        <v>M</v>
      </c>
      <c r="AU168" s="3">
        <v>309</v>
      </c>
      <c r="AV168" s="3" t="str">
        <f>IFERROR(MID(VLOOKUP($B168,Seqs!$A:$B,2,0),AW168,1),"")</f>
        <v>N</v>
      </c>
      <c r="AW168" s="3">
        <v>310</v>
      </c>
      <c r="AX168" s="3" t="str">
        <f>IFERROR(MID(VLOOKUP($B168,Seqs!$A:$B,2,0),AY168,1),"")</f>
        <v>C</v>
      </c>
      <c r="AY168" s="3">
        <v>322</v>
      </c>
      <c r="AZ168" s="79" t="str">
        <f>VLOOKUP(B168,Classification!A:D,2,0)</f>
        <v>A</v>
      </c>
      <c r="BA168" s="96" t="str">
        <f>VLOOKUP(B168,Classification!A:D,4,0)</f>
        <v>Opsins</v>
      </c>
      <c r="BB168" s="27" t="b">
        <f t="shared" si="1284"/>
        <v>1</v>
      </c>
      <c r="BC168" s="23">
        <f t="shared" si="1145"/>
        <v>249</v>
      </c>
      <c r="BD168" s="57" t="s">
        <v>1383</v>
      </c>
      <c r="BE168" s="3" t="s">
        <v>1381</v>
      </c>
      <c r="BF168" s="121">
        <v>2.65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1146"/>
        <v>33</v>
      </c>
      <c r="BW168" s="73">
        <f t="shared" si="1147"/>
        <v>66</v>
      </c>
      <c r="BX168" s="74">
        <f t="shared" si="1148"/>
        <v>70</v>
      </c>
      <c r="BY168" s="73">
        <f t="shared" si="1149"/>
        <v>102</v>
      </c>
      <c r="BZ168" s="74">
        <f t="shared" si="1150"/>
        <v>106</v>
      </c>
      <c r="CA168" s="73" t="str">
        <f t="shared" si="1151"/>
        <v>-</v>
      </c>
      <c r="CB168" s="74">
        <f t="shared" si="1152"/>
        <v>149</v>
      </c>
      <c r="CC168" s="73">
        <f t="shared" si="1153"/>
        <v>187</v>
      </c>
      <c r="CD168" s="74">
        <f t="shared" si="1154"/>
        <v>199</v>
      </c>
      <c r="CE168" s="73">
        <f t="shared" si="1155"/>
        <v>241</v>
      </c>
      <c r="CF168" s="74">
        <f t="shared" si="1156"/>
        <v>284</v>
      </c>
      <c r="CG168" s="73">
        <f t="shared" si="1157"/>
        <v>310</v>
      </c>
      <c r="CH168" s="72">
        <f t="shared" si="1158"/>
        <v>65</v>
      </c>
      <c r="CI168" s="73">
        <f t="shared" si="1159"/>
        <v>69</v>
      </c>
      <c r="CJ168" s="74">
        <f t="shared" si="1160"/>
        <v>100</v>
      </c>
      <c r="CK168" s="74">
        <f t="shared" si="1161"/>
        <v>105</v>
      </c>
      <c r="CL168" s="74">
        <f t="shared" si="1162"/>
        <v>141</v>
      </c>
      <c r="CM168" s="74" t="str">
        <f t="shared" si="1163"/>
        <v>-</v>
      </c>
      <c r="CN168" s="74">
        <f t="shared" si="1164"/>
        <v>173</v>
      </c>
      <c r="CO168" s="74">
        <f t="shared" si="1165"/>
        <v>189</v>
      </c>
      <c r="CP168" s="74">
        <f t="shared" si="1166"/>
        <v>233</v>
      </c>
      <c r="CQ168" s="74">
        <f t="shared" si="1167"/>
        <v>278</v>
      </c>
      <c r="CR168" s="74">
        <f t="shared" si="1168"/>
        <v>309</v>
      </c>
      <c r="CS168" s="74">
        <f t="shared" si="1169"/>
        <v>322</v>
      </c>
      <c r="CT168" s="23">
        <f t="shared" si="1170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283"/>
        <v>opsd_bovin_1U19</v>
      </c>
      <c r="B169" s="3" t="s">
        <v>920</v>
      </c>
      <c r="C169" s="3" t="s">
        <v>53</v>
      </c>
      <c r="D169" s="3" t="str">
        <f>IFERROR(MID(VLOOKUP($B169,Seqs!$A:$B,2,0),E169,1),"")</f>
        <v>E</v>
      </c>
      <c r="E169" s="107">
        <v>33</v>
      </c>
      <c r="F169" s="3" t="str">
        <f>IFERROR(MID(VLOOKUP($B169,Seqs!$A:$B,2,0),G169,1),"")</f>
        <v>H</v>
      </c>
      <c r="G169" s="3">
        <v>65</v>
      </c>
      <c r="H169" s="3" t="str">
        <f>IFERROR(MID(VLOOKUP($B169,Seqs!$A:$B,2,0),I169,1),"")</f>
        <v>K</v>
      </c>
      <c r="I169" s="23">
        <v>66</v>
      </c>
      <c r="J169" s="3" t="str">
        <f>IFERROR(MID(VLOOKUP($B169,Seqs!$A:$B,2,0),K169,1),"")</f>
        <v>R</v>
      </c>
      <c r="K169" s="23">
        <v>69</v>
      </c>
      <c r="L169" s="3" t="str">
        <f>IFERROR(MID(VLOOKUP($B169,Seqs!$A:$B,2,0),M169,1),"")</f>
        <v>T</v>
      </c>
      <c r="M169" s="3">
        <v>70</v>
      </c>
      <c r="N169" s="3" t="str">
        <f>IFERROR(MID(VLOOKUP($B169,Seqs!$A:$B,2,0),O169,1),"")</f>
        <v>H</v>
      </c>
      <c r="O169" s="3">
        <v>100</v>
      </c>
      <c r="P169" s="3" t="str">
        <f>IFERROR(MID(VLOOKUP($B169,Seqs!$A:$B,2,0),Q169,1),"")</f>
        <v>Y</v>
      </c>
      <c r="Q169" s="3">
        <v>102</v>
      </c>
      <c r="R169" s="3" t="str">
        <f>IFERROR(MID(VLOOKUP($B169,Seqs!$A:$B,2,0),S169,1),"")</f>
        <v>F</v>
      </c>
      <c r="S169" s="3">
        <v>105</v>
      </c>
      <c r="T169" s="3" t="str">
        <f>IFERROR(MID(VLOOKUP($B169,Seqs!$A:$B,2,0),U169,1),"")</f>
        <v>G</v>
      </c>
      <c r="U169" s="3">
        <v>106</v>
      </c>
      <c r="V169" s="3" t="str">
        <f>IFERROR(MID(VLOOKUP($B169,Seqs!$A:$B,2,0),W169,1),"")</f>
        <v>K</v>
      </c>
      <c r="W169" s="3">
        <v>141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G</v>
      </c>
      <c r="AC169" s="9">
        <v>149</v>
      </c>
      <c r="AD169" s="3" t="str">
        <f>IFERROR(MID(VLOOKUP($B169,Seqs!$A:$B,2,0),AE169,1),"")</f>
        <v>V</v>
      </c>
      <c r="AE169" s="3">
        <v>173</v>
      </c>
      <c r="AF169" s="3" t="str">
        <f>IFERROR(MID(VLOOKUP($B169,Seqs!$A:$B,2,0),AG169,1),"")</f>
        <v>C</v>
      </c>
      <c r="AG169" s="3">
        <v>187</v>
      </c>
      <c r="AH169" s="3" t="str">
        <f>IFERROR(MID(VLOOKUP($B169,Seqs!$A:$B,2,0),AI169,1),"")</f>
        <v>I</v>
      </c>
      <c r="AI169" s="3">
        <v>189</v>
      </c>
      <c r="AJ169" s="3" t="str">
        <f>IFERROR(MID(VLOOKUP($B169,Seqs!$A:$B,2,0),AK169,1),"")</f>
        <v>N</v>
      </c>
      <c r="AK169" s="3">
        <v>199</v>
      </c>
      <c r="AL169" s="3" t="str">
        <f>IFERROR(MID(VLOOKUP($B169,Seqs!$A:$B,2,0),AM169,1),"")</f>
        <v>Q</v>
      </c>
      <c r="AM169" s="3">
        <v>225</v>
      </c>
      <c r="AN169" s="3" t="str">
        <f>IFERROR(MID(VLOOKUP($B169,Seqs!$A:$B,2,0),AO169,1),"")</f>
        <v>T</v>
      </c>
      <c r="AO169" s="3">
        <v>243</v>
      </c>
      <c r="AP169" s="3" t="str">
        <f>IFERROR(MID(VLOOKUP($B169,Seqs!$A:$B,2,0),AQ169,1),"")</f>
        <v>H</v>
      </c>
      <c r="AQ169" s="3">
        <v>278</v>
      </c>
      <c r="AR169" s="3" t="str">
        <f>IFERROR(MID(VLOOKUP($B169,Seqs!$A:$B,2,0),AS169,1),"")</f>
        <v>G</v>
      </c>
      <c r="AS169" s="3">
        <v>284</v>
      </c>
      <c r="AT169" s="3" t="str">
        <f>IFERROR(MID(VLOOKUP($B169,Seqs!$A:$B,2,0),AU169,1),"")</f>
        <v>M</v>
      </c>
      <c r="AU169" s="3">
        <v>309</v>
      </c>
      <c r="AV169" s="3" t="str">
        <f>IFERROR(MID(VLOOKUP($B169,Seqs!$A:$B,2,0),AW169,1),"")</f>
        <v>N</v>
      </c>
      <c r="AW169" s="3">
        <v>310</v>
      </c>
      <c r="AX169" s="3" t="str">
        <f>IFERROR(MID(VLOOKUP($B169,Seqs!$A:$B,2,0),AY169,1),"")</f>
        <v>C</v>
      </c>
      <c r="AY169" s="3">
        <v>322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1284"/>
        <v>1</v>
      </c>
      <c r="BC169" s="23">
        <f t="shared" si="1145"/>
        <v>239</v>
      </c>
      <c r="BD169" s="76" t="s">
        <v>23</v>
      </c>
      <c r="BE169" s="3" t="s">
        <v>1381</v>
      </c>
      <c r="BF169" s="121">
        <v>2.2000000000000002</v>
      </c>
      <c r="BG169" s="50" t="s">
        <v>1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1146"/>
        <v>33</v>
      </c>
      <c r="BW169" s="73">
        <f t="shared" si="1147"/>
        <v>66</v>
      </c>
      <c r="BX169" s="74">
        <f t="shared" si="1148"/>
        <v>70</v>
      </c>
      <c r="BY169" s="73">
        <f t="shared" si="1149"/>
        <v>102</v>
      </c>
      <c r="BZ169" s="74">
        <f t="shared" si="1150"/>
        <v>106</v>
      </c>
      <c r="CA169" s="73" t="str">
        <f t="shared" si="1151"/>
        <v>-</v>
      </c>
      <c r="CB169" s="74">
        <f t="shared" si="1152"/>
        <v>149</v>
      </c>
      <c r="CC169" s="73">
        <f t="shared" si="1153"/>
        <v>187</v>
      </c>
      <c r="CD169" s="74">
        <f t="shared" si="1154"/>
        <v>199</v>
      </c>
      <c r="CE169" s="73">
        <f t="shared" si="1155"/>
        <v>243</v>
      </c>
      <c r="CF169" s="74">
        <f t="shared" si="1156"/>
        <v>284</v>
      </c>
      <c r="CG169" s="73">
        <f t="shared" si="1157"/>
        <v>310</v>
      </c>
      <c r="CH169" s="72">
        <f t="shared" si="1158"/>
        <v>65</v>
      </c>
      <c r="CI169" s="73">
        <f t="shared" si="1159"/>
        <v>69</v>
      </c>
      <c r="CJ169" s="74">
        <f t="shared" si="1160"/>
        <v>100</v>
      </c>
      <c r="CK169" s="74">
        <f t="shared" si="1161"/>
        <v>105</v>
      </c>
      <c r="CL169" s="74">
        <f t="shared" si="1162"/>
        <v>141</v>
      </c>
      <c r="CM169" s="74" t="str">
        <f t="shared" si="1163"/>
        <v>-</v>
      </c>
      <c r="CN169" s="74">
        <f t="shared" si="1164"/>
        <v>173</v>
      </c>
      <c r="CO169" s="74">
        <f t="shared" si="1165"/>
        <v>189</v>
      </c>
      <c r="CP169" s="74">
        <f t="shared" si="1166"/>
        <v>225</v>
      </c>
      <c r="CQ169" s="74">
        <f t="shared" si="1167"/>
        <v>278</v>
      </c>
      <c r="CR169" s="74">
        <f t="shared" si="1168"/>
        <v>309</v>
      </c>
      <c r="CS169" s="74">
        <f t="shared" si="1169"/>
        <v>322</v>
      </c>
      <c r="CT169" s="23">
        <f t="shared" si="1170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283"/>
        <v>opsd_bovin_2X72</v>
      </c>
      <c r="B170" s="2" t="s">
        <v>920</v>
      </c>
      <c r="C170" s="3" t="s">
        <v>1376</v>
      </c>
      <c r="D170" s="3" t="str">
        <f>IFERROR(MID(VLOOKUP($B170,Seqs!$A:$B,2,0),E170,1),"")</f>
        <v>E</v>
      </c>
      <c r="E170" s="107">
        <v>33</v>
      </c>
      <c r="F170" s="3" t="str">
        <f>IFERROR(MID(VLOOKUP($B170,Seqs!$A:$B,2,0),G170,1),"")</f>
        <v>H</v>
      </c>
      <c r="G170" s="3">
        <v>65</v>
      </c>
      <c r="H170" s="3" t="str">
        <f>IFERROR(MID(VLOOKUP($B170,Seqs!$A:$B,2,0),I170,1),"")</f>
        <v>K</v>
      </c>
      <c r="I170" s="23">
        <v>66</v>
      </c>
      <c r="J170" s="3" t="str">
        <f>IFERROR(MID(VLOOKUP($B170,Seqs!$A:$B,2,0),K170,1),"")</f>
        <v>R</v>
      </c>
      <c r="K170" s="23">
        <v>69</v>
      </c>
      <c r="L170" s="3" t="str">
        <f>IFERROR(MID(VLOOKUP($B170,Seqs!$A:$B,2,0),M170,1),"")</f>
        <v>T</v>
      </c>
      <c r="M170" s="3">
        <v>70</v>
      </c>
      <c r="N170" s="3" t="str">
        <f>IFERROR(MID(VLOOKUP($B170,Seqs!$A:$B,2,0),O170,1),"")</f>
        <v>H</v>
      </c>
      <c r="O170" s="3">
        <v>100</v>
      </c>
      <c r="P170" s="3" t="str">
        <f>IFERROR(MID(VLOOKUP($B170,Seqs!$A:$B,2,0),Q170,1),"")</f>
        <v>Y</v>
      </c>
      <c r="Q170" s="3">
        <v>102</v>
      </c>
      <c r="R170" s="3" t="str">
        <f>IFERROR(MID(VLOOKUP($B170,Seqs!$A:$B,2,0),S170,1),"")</f>
        <v>F</v>
      </c>
      <c r="S170" s="3">
        <v>105</v>
      </c>
      <c r="T170" s="3" t="str">
        <f>IFERROR(MID(VLOOKUP($B170,Seqs!$A:$B,2,0),U170,1),"")</f>
        <v>G</v>
      </c>
      <c r="U170" s="3">
        <v>106</v>
      </c>
      <c r="V170" s="3" t="str">
        <f>IFERROR(MID(VLOOKUP($B170,Seqs!$A:$B,2,0),W170,1),"")</f>
        <v>K</v>
      </c>
      <c r="W170" s="3">
        <v>141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G</v>
      </c>
      <c r="AC170" s="9">
        <v>149</v>
      </c>
      <c r="AD170" s="3" t="str">
        <f>IFERROR(MID(VLOOKUP($B170,Seqs!$A:$B,2,0),AE170,1),"")</f>
        <v>V</v>
      </c>
      <c r="AE170" s="3">
        <v>173</v>
      </c>
      <c r="AF170" s="3" t="str">
        <f>IFERROR(MID(VLOOKUP($B170,Seqs!$A:$B,2,0),AG170,1),"")</f>
        <v>C</v>
      </c>
      <c r="AG170" s="3">
        <v>187</v>
      </c>
      <c r="AH170" s="3" t="str">
        <f>IFERROR(MID(VLOOKUP($B170,Seqs!$A:$B,2,0),AI170,1),"")</f>
        <v>I</v>
      </c>
      <c r="AI170" s="3">
        <v>189</v>
      </c>
      <c r="AJ170" s="3" t="str">
        <f>IFERROR(MID(VLOOKUP($B170,Seqs!$A:$B,2,0),AK170,1),"")</f>
        <v>N</v>
      </c>
      <c r="AK170" s="3">
        <v>199</v>
      </c>
      <c r="AL170" s="3" t="str">
        <f>IFERROR(MID(VLOOKUP($B170,Seqs!$A:$B,2,0),AM170,1),"")</f>
        <v>Q</v>
      </c>
      <c r="AM170" s="3">
        <v>237</v>
      </c>
      <c r="AN170" s="3" t="str">
        <f>IFERROR(MID(VLOOKUP($B170,Seqs!$A:$B,2,0),AO170,1),"")</f>
        <v>A</v>
      </c>
      <c r="AO170" s="3">
        <v>241</v>
      </c>
      <c r="AP170" s="3" t="str">
        <f>IFERROR(MID(VLOOKUP($B170,Seqs!$A:$B,2,0),AQ170,1),"")</f>
        <v>H</v>
      </c>
      <c r="AQ170" s="3">
        <v>278</v>
      </c>
      <c r="AR170" s="3" t="str">
        <f>IFERROR(MID(VLOOKUP($B170,Seqs!$A:$B,2,0),AS170,1),"")</f>
        <v>G</v>
      </c>
      <c r="AS170" s="3">
        <v>284</v>
      </c>
      <c r="AT170" s="3" t="str">
        <f>IFERROR(MID(VLOOKUP($B170,Seqs!$A:$B,2,0),AU170,1),"")</f>
        <v>M</v>
      </c>
      <c r="AU170" s="3">
        <v>309</v>
      </c>
      <c r="AV170" s="3" t="str">
        <f>IFERROR(MID(VLOOKUP($B170,Seqs!$A:$B,2,0),AW170,1),"")</f>
        <v>N</v>
      </c>
      <c r="AW170" s="3">
        <v>310</v>
      </c>
      <c r="AX170" s="3" t="str">
        <f>IFERROR(MID(VLOOKUP($B170,Seqs!$A:$B,2,0),AY170,1),"")</f>
        <v>C</v>
      </c>
      <c r="AY170" s="3">
        <v>322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ref="BB170" si="1341"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 t="shared" ref="BC170" si="1342">_xlfn.AGGREGATE(9,6,CH170:CS170)-_xlfn.AGGREGATE(9,6,BV170:CG170)+12</f>
        <v>253</v>
      </c>
      <c r="BD170" s="57" t="s">
        <v>23</v>
      </c>
      <c r="BE170" s="3" t="s">
        <v>1297</v>
      </c>
      <c r="BF170" s="121">
        <v>3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ref="BV170" si="1343">E170</f>
        <v>33</v>
      </c>
      <c r="BW170" s="73">
        <f t="shared" ref="BW170" si="1344">I170</f>
        <v>66</v>
      </c>
      <c r="BX170" s="74">
        <f t="shared" ref="BX170" si="1345">M170</f>
        <v>70</v>
      </c>
      <c r="BY170" s="73">
        <f t="shared" ref="BY170" si="1346">Q170</f>
        <v>102</v>
      </c>
      <c r="BZ170" s="74">
        <f t="shared" ref="BZ170" si="1347">U170</f>
        <v>106</v>
      </c>
      <c r="CA170" s="73" t="str">
        <f t="shared" ref="CA170" si="1348">Y170</f>
        <v>-</v>
      </c>
      <c r="CB170" s="74">
        <f t="shared" ref="CB170" si="1349">AC170</f>
        <v>149</v>
      </c>
      <c r="CC170" s="73">
        <f t="shared" ref="CC170" si="1350">AG170</f>
        <v>187</v>
      </c>
      <c r="CD170" s="74">
        <f t="shared" ref="CD170" si="1351">AK170</f>
        <v>199</v>
      </c>
      <c r="CE170" s="73">
        <f t="shared" ref="CE170" si="1352">AO170</f>
        <v>241</v>
      </c>
      <c r="CF170" s="74">
        <f t="shared" ref="CF170" si="1353">AS170</f>
        <v>284</v>
      </c>
      <c r="CG170" s="73">
        <f t="shared" ref="CG170" si="1354">AW170</f>
        <v>310</v>
      </c>
      <c r="CH170" s="72">
        <f t="shared" ref="CH170" si="1355">G170</f>
        <v>65</v>
      </c>
      <c r="CI170" s="73">
        <f t="shared" ref="CI170" si="1356">K170</f>
        <v>69</v>
      </c>
      <c r="CJ170" s="74">
        <f t="shared" ref="CJ170" si="1357">O170</f>
        <v>100</v>
      </c>
      <c r="CK170" s="74">
        <f t="shared" ref="CK170" si="1358">S170</f>
        <v>105</v>
      </c>
      <c r="CL170" s="74">
        <f t="shared" ref="CL170" si="1359">W170</f>
        <v>141</v>
      </c>
      <c r="CM170" s="74" t="str">
        <f t="shared" ref="CM170" si="1360">AA170</f>
        <v>-</v>
      </c>
      <c r="CN170" s="74">
        <f t="shared" ref="CN170" si="1361">AE170</f>
        <v>173</v>
      </c>
      <c r="CO170" s="74">
        <f t="shared" ref="CO170" si="1362">AI170</f>
        <v>189</v>
      </c>
      <c r="CP170" s="74">
        <f t="shared" ref="CP170" si="1363">AM170</f>
        <v>237</v>
      </c>
      <c r="CQ170" s="74">
        <f t="shared" ref="CQ170" si="1364">AQ170</f>
        <v>278</v>
      </c>
      <c r="CR170" s="74">
        <f t="shared" ref="CR170" si="1365">AU170</f>
        <v>309</v>
      </c>
      <c r="CS170" s="74">
        <f t="shared" ref="CS170" si="1366">AY170</f>
        <v>322</v>
      </c>
      <c r="CT170" s="23">
        <f t="shared" ref="CT170" si="1367">M170-K170</f>
        <v>1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 t="shared" si="1283"/>
        <v>opsd_bovin_3DQB</v>
      </c>
      <c r="B171" s="3" t="s">
        <v>920</v>
      </c>
      <c r="C171" s="3" t="s">
        <v>54</v>
      </c>
      <c r="D171" s="3" t="str">
        <f>IFERROR(MID(VLOOKUP($B171,Seqs!$A:$B,2,0),E171,1),"")</f>
        <v>E</v>
      </c>
      <c r="E171" s="107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9" t="str">
        <f>VLOOKUP(B171,Classification!A:D,2,0)</f>
        <v>A</v>
      </c>
      <c r="BA171" s="96" t="str">
        <f>VLOOKUP(B171,Classification!A:D,4,0)</f>
        <v>Opsins</v>
      </c>
      <c r="BB171" s="27" t="b">
        <f t="shared" si="1284"/>
        <v>1</v>
      </c>
      <c r="BC171" s="23">
        <f>_xlfn.AGGREGATE(9,6,CH171:CS171)-_xlfn.AGGREGATE(9,6,BV171:CG171)+12</f>
        <v>253</v>
      </c>
      <c r="BD171" s="76" t="s">
        <v>23</v>
      </c>
      <c r="BE171" s="3" t="s">
        <v>1297</v>
      </c>
      <c r="BF171" s="121">
        <v>3.2</v>
      </c>
      <c r="BG171" s="50" t="s">
        <v>1384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>E171</f>
        <v>33</v>
      </c>
      <c r="BW171" s="73">
        <f>I171</f>
        <v>66</v>
      </c>
      <c r="BX171" s="74">
        <f>M171</f>
        <v>70</v>
      </c>
      <c r="BY171" s="73">
        <f>Q171</f>
        <v>102</v>
      </c>
      <c r="BZ171" s="74">
        <f>U171</f>
        <v>106</v>
      </c>
      <c r="CA171" s="73" t="str">
        <f>Y171</f>
        <v>-</v>
      </c>
      <c r="CB171" s="74">
        <f>AC171</f>
        <v>149</v>
      </c>
      <c r="CC171" s="73">
        <f>AG171</f>
        <v>187</v>
      </c>
      <c r="CD171" s="74">
        <f>AK171</f>
        <v>199</v>
      </c>
      <c r="CE171" s="73">
        <f>AO171</f>
        <v>241</v>
      </c>
      <c r="CF171" s="74">
        <f>AS171</f>
        <v>284</v>
      </c>
      <c r="CG171" s="73">
        <f>AW171</f>
        <v>310</v>
      </c>
      <c r="CH171" s="72">
        <f>G171</f>
        <v>65</v>
      </c>
      <c r="CI171" s="73">
        <f>K171</f>
        <v>69</v>
      </c>
      <c r="CJ171" s="74">
        <f>O171</f>
        <v>100</v>
      </c>
      <c r="CK171" s="74">
        <f>S171</f>
        <v>105</v>
      </c>
      <c r="CL171" s="74">
        <f>W171</f>
        <v>141</v>
      </c>
      <c r="CM171" s="74" t="str">
        <f>AA171</f>
        <v>-</v>
      </c>
      <c r="CN171" s="74">
        <f>AE171</f>
        <v>173</v>
      </c>
      <c r="CO171" s="74">
        <f>AI171</f>
        <v>189</v>
      </c>
      <c r="CP171" s="74">
        <f>AM171</f>
        <v>237</v>
      </c>
      <c r="CQ171" s="74">
        <f>AQ171</f>
        <v>278</v>
      </c>
      <c r="CR171" s="74">
        <f>AU171</f>
        <v>309</v>
      </c>
      <c r="CS171" s="74">
        <f>AY171</f>
        <v>322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1283"/>
        <v>opsd_bovin_3PQR</v>
      </c>
      <c r="B172" s="3" t="s">
        <v>920</v>
      </c>
      <c r="C172" s="3" t="s">
        <v>1033</v>
      </c>
      <c r="D172" s="3" t="str">
        <f>IFERROR(MID(VLOOKUP($B172,Seqs!$A:$B,2,0),E172,1),"")</f>
        <v>E</v>
      </c>
      <c r="E172" s="107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Q</v>
      </c>
      <c r="AM172" s="3">
        <v>237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9" t="str">
        <f>VLOOKUP(B172,Classification!A:D,2,0)</f>
        <v>A</v>
      </c>
      <c r="BA172" s="96" t="str">
        <f>VLOOKUP(B172,Classification!A:D,4,0)</f>
        <v>Opsins</v>
      </c>
      <c r="BB172" s="27" t="b">
        <f t="shared" si="1284"/>
        <v>1</v>
      </c>
      <c r="BC172" s="23">
        <f>_xlfn.AGGREGATE(9,6,CH172:CS172)-_xlfn.AGGREGATE(9,6,BV172:CG172)+12</f>
        <v>253</v>
      </c>
      <c r="BD172" s="4" t="s">
        <v>23</v>
      </c>
      <c r="BE172" s="3" t="s">
        <v>1297</v>
      </c>
      <c r="BF172" s="121">
        <v>2.85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>E172</f>
        <v>33</v>
      </c>
      <c r="BW172" s="73">
        <f>I172</f>
        <v>66</v>
      </c>
      <c r="BX172" s="74">
        <f>M172</f>
        <v>70</v>
      </c>
      <c r="BY172" s="73">
        <f>Q172</f>
        <v>102</v>
      </c>
      <c r="BZ172" s="74">
        <f>U172</f>
        <v>106</v>
      </c>
      <c r="CA172" s="73" t="str">
        <f>Y172</f>
        <v>-</v>
      </c>
      <c r="CB172" s="74">
        <f>AC172</f>
        <v>149</v>
      </c>
      <c r="CC172" s="73">
        <f>AG172</f>
        <v>187</v>
      </c>
      <c r="CD172" s="74">
        <f>AK172</f>
        <v>199</v>
      </c>
      <c r="CE172" s="73">
        <f>AO172</f>
        <v>241</v>
      </c>
      <c r="CF172" s="74">
        <f>AS172</f>
        <v>284</v>
      </c>
      <c r="CG172" s="73">
        <f>AW172</f>
        <v>310</v>
      </c>
      <c r="CH172" s="72">
        <f>G172</f>
        <v>65</v>
      </c>
      <c r="CI172" s="73">
        <f>K172</f>
        <v>69</v>
      </c>
      <c r="CJ172" s="74">
        <f>O172</f>
        <v>100</v>
      </c>
      <c r="CK172" s="74">
        <f>S172</f>
        <v>105</v>
      </c>
      <c r="CL172" s="74">
        <f>W172</f>
        <v>141</v>
      </c>
      <c r="CM172" s="74" t="str">
        <f>AA172</f>
        <v>-</v>
      </c>
      <c r="CN172" s="74">
        <f>AE172</f>
        <v>173</v>
      </c>
      <c r="CO172" s="74">
        <f>AI172</f>
        <v>189</v>
      </c>
      <c r="CP172" s="74">
        <f>AM172</f>
        <v>237</v>
      </c>
      <c r="CQ172" s="74">
        <f>AQ172</f>
        <v>278</v>
      </c>
      <c r="CR172" s="74">
        <f>AU172</f>
        <v>309</v>
      </c>
      <c r="CS172" s="74">
        <f>AY172</f>
        <v>322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283"/>
        <v>opsd_bovin_4A4M</v>
      </c>
      <c r="B173" s="2" t="s">
        <v>920</v>
      </c>
      <c r="C173" s="3" t="s">
        <v>1377</v>
      </c>
      <c r="D173" s="3" t="str">
        <f>IFERROR(MID(VLOOKUP($B173,Seqs!$A:$B,2,0),E173,1),"")</f>
        <v>E</v>
      </c>
      <c r="E173" s="107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237</v>
      </c>
      <c r="AN173" s="3" t="str">
        <f>IFERROR(MID(VLOOKUP($B173,Seqs!$A:$B,2,0),AO173,1),"")</f>
        <v>A</v>
      </c>
      <c r="AO173" s="3">
        <v>241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9" t="str">
        <f>VLOOKUP(B173,Classification!A:D,2,0)</f>
        <v>A</v>
      </c>
      <c r="BA173" s="96" t="str">
        <f>VLOOKUP(B173,Classification!A:D,4,0)</f>
        <v>Opsins</v>
      </c>
      <c r="BB173" s="27" t="b">
        <f t="shared" ref="BB173" si="1368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253</v>
      </c>
      <c r="BD173" s="4" t="s">
        <v>23</v>
      </c>
      <c r="BE173" s="3" t="s">
        <v>1297</v>
      </c>
      <c r="BF173" s="121">
        <v>3.3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>E173</f>
        <v>33</v>
      </c>
      <c r="BW173" s="73">
        <f>I173</f>
        <v>66</v>
      </c>
      <c r="BX173" s="74">
        <f>M173</f>
        <v>70</v>
      </c>
      <c r="BY173" s="73">
        <f>Q173</f>
        <v>102</v>
      </c>
      <c r="BZ173" s="74">
        <f>U173</f>
        <v>106</v>
      </c>
      <c r="CA173" s="73" t="str">
        <f>Y173</f>
        <v>-</v>
      </c>
      <c r="CB173" s="74">
        <f>AC173</f>
        <v>149</v>
      </c>
      <c r="CC173" s="73">
        <f>AG173</f>
        <v>187</v>
      </c>
      <c r="CD173" s="74">
        <f>AK173</f>
        <v>199</v>
      </c>
      <c r="CE173" s="73">
        <f>AO173</f>
        <v>241</v>
      </c>
      <c r="CF173" s="74">
        <f>AS173</f>
        <v>284</v>
      </c>
      <c r="CG173" s="73">
        <f>AW173</f>
        <v>310</v>
      </c>
      <c r="CH173" s="72">
        <f>G173</f>
        <v>65</v>
      </c>
      <c r="CI173" s="73">
        <f>K173</f>
        <v>69</v>
      </c>
      <c r="CJ173" s="74">
        <f>O173</f>
        <v>100</v>
      </c>
      <c r="CK173" s="74">
        <f>S173</f>
        <v>105</v>
      </c>
      <c r="CL173" s="74">
        <f>W173</f>
        <v>141</v>
      </c>
      <c r="CM173" s="74" t="str">
        <f>AA173</f>
        <v>-</v>
      </c>
      <c r="CN173" s="74">
        <f>AE173</f>
        <v>173</v>
      </c>
      <c r="CO173" s="74">
        <f>AI173</f>
        <v>189</v>
      </c>
      <c r="CP173" s="74">
        <f>AM173</f>
        <v>237</v>
      </c>
      <c r="CQ173" s="74">
        <f>AQ173</f>
        <v>278</v>
      </c>
      <c r="CR173" s="74">
        <f>AU173</f>
        <v>309</v>
      </c>
      <c r="CS173" s="74">
        <f>AY173</f>
        <v>322</v>
      </c>
      <c r="CT173" s="23">
        <f>M173-K173</f>
        <v>1</v>
      </c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  <c r="ALU173" s="6"/>
      <c r="ALV173" s="6"/>
      <c r="ALW173" s="6"/>
      <c r="ALX173" s="6"/>
      <c r="ALY173" s="6"/>
      <c r="ALZ173" s="6"/>
      <c r="AMA173" s="6"/>
      <c r="AMB173" s="6"/>
      <c r="AMC173" s="6"/>
      <c r="AMD173" s="6"/>
      <c r="AME173" s="6"/>
      <c r="AMF173" s="6"/>
      <c r="AMG173" s="6"/>
      <c r="AMH173" s="6"/>
      <c r="AMI173" s="6"/>
      <c r="AMJ173" s="6"/>
      <c r="AMK173" s="6"/>
      <c r="AML173" s="6"/>
      <c r="AMM173" s="6"/>
      <c r="AMN173" s="6"/>
      <c r="AMO173" s="6"/>
      <c r="AMP173" s="6"/>
    </row>
    <row r="174" spans="1:1030" x14ac:dyDescent="0.2">
      <c r="A174" s="3" t="str">
        <f t="shared" si="1283"/>
        <v>opsd_bovin_4J4Q</v>
      </c>
      <c r="B174" s="3" t="s">
        <v>920</v>
      </c>
      <c r="C174" s="3" t="s">
        <v>1044</v>
      </c>
      <c r="D174" s="3" t="str">
        <f>IFERROR(MID(VLOOKUP($B174,Seqs!$A:$B,2,0),E174,1),"")</f>
        <v>E</v>
      </c>
      <c r="E174" s="107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9" t="str">
        <f>VLOOKUP(B174,Classification!A:D,2,0)</f>
        <v>A</v>
      </c>
      <c r="BA174" s="96" t="str">
        <f>VLOOKUP(B174,Classification!A:D,4,0)</f>
        <v>Opsins</v>
      </c>
      <c r="BB174" s="27" t="b">
        <f t="shared" si="1284"/>
        <v>1</v>
      </c>
      <c r="BC174" s="23">
        <f t="shared" ref="BC174:BC213" si="1369">_xlfn.AGGREGATE(9,6,CH174:CS174)-_xlfn.AGGREGATE(9,6,BV174:CG174)+12</f>
        <v>253</v>
      </c>
      <c r="BD174" s="4" t="s">
        <v>23</v>
      </c>
      <c r="BE174" s="3" t="s">
        <v>1297</v>
      </c>
      <c r="BF174" s="121">
        <v>2.65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ref="BV174:BV213" si="1370">E174</f>
        <v>33</v>
      </c>
      <c r="BW174" s="73">
        <f t="shared" ref="BW174:BW213" si="1371">I174</f>
        <v>66</v>
      </c>
      <c r="BX174" s="74">
        <f t="shared" ref="BX174:BX213" si="1372">M174</f>
        <v>70</v>
      </c>
      <c r="BY174" s="73">
        <f t="shared" ref="BY174:BY213" si="1373">Q174</f>
        <v>102</v>
      </c>
      <c r="BZ174" s="74">
        <f t="shared" ref="BZ174:BZ213" si="1374">U174</f>
        <v>106</v>
      </c>
      <c r="CA174" s="73" t="str">
        <f t="shared" ref="CA174:CA213" si="1375">Y174</f>
        <v>-</v>
      </c>
      <c r="CB174" s="74">
        <f t="shared" ref="CB174:CB213" si="1376">AC174</f>
        <v>149</v>
      </c>
      <c r="CC174" s="73">
        <f t="shared" ref="CC174:CC213" si="1377">AG174</f>
        <v>187</v>
      </c>
      <c r="CD174" s="74">
        <f t="shared" ref="CD174:CD213" si="1378">AK174</f>
        <v>199</v>
      </c>
      <c r="CE174" s="73">
        <f t="shared" ref="CE174:CE213" si="1379">AO174</f>
        <v>241</v>
      </c>
      <c r="CF174" s="74">
        <f t="shared" ref="CF174:CF213" si="1380">AS174</f>
        <v>284</v>
      </c>
      <c r="CG174" s="73">
        <f t="shared" ref="CG174:CG213" si="1381">AW174</f>
        <v>310</v>
      </c>
      <c r="CH174" s="72">
        <f t="shared" ref="CH174:CH213" si="1382">G174</f>
        <v>65</v>
      </c>
      <c r="CI174" s="73">
        <f t="shared" ref="CI174:CI213" si="1383">K174</f>
        <v>69</v>
      </c>
      <c r="CJ174" s="74">
        <f t="shared" ref="CJ174:CJ213" si="1384">O174</f>
        <v>100</v>
      </c>
      <c r="CK174" s="74">
        <f t="shared" ref="CK174:CK213" si="1385">S174</f>
        <v>105</v>
      </c>
      <c r="CL174" s="74">
        <f t="shared" ref="CL174:CL213" si="1386">W174</f>
        <v>141</v>
      </c>
      <c r="CM174" s="74" t="str">
        <f t="shared" ref="CM174:CM213" si="1387">AA174</f>
        <v>-</v>
      </c>
      <c r="CN174" s="74">
        <f t="shared" ref="CN174:CN213" si="1388">AE174</f>
        <v>173</v>
      </c>
      <c r="CO174" s="74">
        <f t="shared" ref="CO174:CO213" si="1389">AI174</f>
        <v>189</v>
      </c>
      <c r="CP174" s="74">
        <f t="shared" ref="CP174:CP213" si="1390">AM174</f>
        <v>237</v>
      </c>
      <c r="CQ174" s="74">
        <f t="shared" ref="CQ174:CQ213" si="1391">AQ174</f>
        <v>278</v>
      </c>
      <c r="CR174" s="74">
        <f t="shared" ref="CR174:CR213" si="1392">AU174</f>
        <v>309</v>
      </c>
      <c r="CS174" s="74">
        <f t="shared" ref="CS174:CS213" si="1393">AY174</f>
        <v>322</v>
      </c>
      <c r="CT174" s="23">
        <f t="shared" ref="CT174:CT213" si="1394"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1283"/>
        <v>opsd_bovin_5DYS</v>
      </c>
      <c r="B175" s="3" t="s">
        <v>920</v>
      </c>
      <c r="C175" s="3" t="s">
        <v>1363</v>
      </c>
      <c r="D175" s="3" t="str">
        <f>IFERROR(MID(VLOOKUP($B175,Seqs!$A:$B,2,0),E175,1),"")</f>
        <v>E</v>
      </c>
      <c r="E175" s="107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9" t="str">
        <f>VLOOKUP(B175,Classification!A:D,2,0)</f>
        <v>A</v>
      </c>
      <c r="BA175" s="96" t="str">
        <f>VLOOKUP(B175,Classification!A:D,4,0)</f>
        <v>Opsins</v>
      </c>
      <c r="BB175" s="27" t="b">
        <f t="shared" si="1284"/>
        <v>1</v>
      </c>
      <c r="BC175" s="23">
        <f t="shared" si="1369"/>
        <v>253</v>
      </c>
      <c r="BD175" s="5" t="s">
        <v>1382</v>
      </c>
      <c r="BE175" s="3" t="s">
        <v>1297</v>
      </c>
      <c r="BF175" s="121">
        <v>2.2999999999999998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1370"/>
        <v>33</v>
      </c>
      <c r="BW175" s="73">
        <f t="shared" si="1371"/>
        <v>66</v>
      </c>
      <c r="BX175" s="74">
        <f t="shared" si="1372"/>
        <v>70</v>
      </c>
      <c r="BY175" s="73">
        <f t="shared" si="1373"/>
        <v>102</v>
      </c>
      <c r="BZ175" s="74">
        <f t="shared" si="1374"/>
        <v>106</v>
      </c>
      <c r="CA175" s="73" t="str">
        <f t="shared" si="1375"/>
        <v>-</v>
      </c>
      <c r="CB175" s="74">
        <f t="shared" si="1376"/>
        <v>149</v>
      </c>
      <c r="CC175" s="73">
        <f t="shared" si="1377"/>
        <v>187</v>
      </c>
      <c r="CD175" s="74">
        <f t="shared" si="1378"/>
        <v>199</v>
      </c>
      <c r="CE175" s="73">
        <f t="shared" si="1379"/>
        <v>241</v>
      </c>
      <c r="CF175" s="74">
        <f t="shared" si="1380"/>
        <v>284</v>
      </c>
      <c r="CG175" s="73">
        <f t="shared" si="1381"/>
        <v>310</v>
      </c>
      <c r="CH175" s="72">
        <f t="shared" si="1382"/>
        <v>65</v>
      </c>
      <c r="CI175" s="73">
        <f t="shared" si="1383"/>
        <v>69</v>
      </c>
      <c r="CJ175" s="74">
        <f t="shared" si="1384"/>
        <v>100</v>
      </c>
      <c r="CK175" s="74">
        <f t="shared" si="1385"/>
        <v>105</v>
      </c>
      <c r="CL175" s="74">
        <f t="shared" si="1386"/>
        <v>141</v>
      </c>
      <c r="CM175" s="74" t="str">
        <f t="shared" si="1387"/>
        <v>-</v>
      </c>
      <c r="CN175" s="74">
        <f t="shared" si="1388"/>
        <v>173</v>
      </c>
      <c r="CO175" s="74">
        <f t="shared" si="1389"/>
        <v>189</v>
      </c>
      <c r="CP175" s="74">
        <f t="shared" si="1390"/>
        <v>237</v>
      </c>
      <c r="CQ175" s="74">
        <f t="shared" si="1391"/>
        <v>278</v>
      </c>
      <c r="CR175" s="74">
        <f t="shared" si="1392"/>
        <v>309</v>
      </c>
      <c r="CS175" s="74">
        <f t="shared" si="1393"/>
        <v>322</v>
      </c>
      <c r="CT175" s="23">
        <f t="shared" si="139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ref="A176:A224" si="1395">CONCATENATE(B176,"_",C176)</f>
        <v>opsd_bovin_5EN0</v>
      </c>
      <c r="B176" s="3" t="s">
        <v>920</v>
      </c>
      <c r="C176" s="3" t="s">
        <v>1364</v>
      </c>
      <c r="D176" s="3" t="str">
        <f>IFERROR(MID(VLOOKUP($B176,Seqs!$A:$B,2,0),E176,1),"")</f>
        <v>E</v>
      </c>
      <c r="E176" s="107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9" t="str">
        <f>VLOOKUP(B176,Classification!A:D,2,0)</f>
        <v>A</v>
      </c>
      <c r="BA176" s="96" t="str">
        <f>VLOOKUP(B176,Classification!A:D,4,0)</f>
        <v>Opsins</v>
      </c>
      <c r="BB176" s="27" t="b">
        <f t="shared" ref="BB176:BB224" si="1396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 t="shared" si="1369"/>
        <v>253</v>
      </c>
      <c r="BD176" s="4" t="s">
        <v>23</v>
      </c>
      <c r="BE176" s="3" t="s">
        <v>1297</v>
      </c>
      <c r="BF176" s="121">
        <v>2.81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1370"/>
        <v>33</v>
      </c>
      <c r="BW176" s="73">
        <f t="shared" si="1371"/>
        <v>66</v>
      </c>
      <c r="BX176" s="74">
        <f t="shared" si="1372"/>
        <v>70</v>
      </c>
      <c r="BY176" s="73">
        <f t="shared" si="1373"/>
        <v>102</v>
      </c>
      <c r="BZ176" s="74">
        <f t="shared" si="1374"/>
        <v>106</v>
      </c>
      <c r="CA176" s="73" t="str">
        <f t="shared" si="1375"/>
        <v>-</v>
      </c>
      <c r="CB176" s="74">
        <f t="shared" si="1376"/>
        <v>149</v>
      </c>
      <c r="CC176" s="73">
        <f t="shared" si="1377"/>
        <v>187</v>
      </c>
      <c r="CD176" s="74">
        <f t="shared" si="1378"/>
        <v>199</v>
      </c>
      <c r="CE176" s="73">
        <f t="shared" si="1379"/>
        <v>241</v>
      </c>
      <c r="CF176" s="74">
        <f t="shared" si="1380"/>
        <v>284</v>
      </c>
      <c r="CG176" s="73">
        <f t="shared" si="1381"/>
        <v>310</v>
      </c>
      <c r="CH176" s="72">
        <f t="shared" si="1382"/>
        <v>65</v>
      </c>
      <c r="CI176" s="73">
        <f t="shared" si="1383"/>
        <v>69</v>
      </c>
      <c r="CJ176" s="74">
        <f t="shared" si="1384"/>
        <v>100</v>
      </c>
      <c r="CK176" s="74">
        <f t="shared" si="1385"/>
        <v>105</v>
      </c>
      <c r="CL176" s="74">
        <f t="shared" si="1386"/>
        <v>141</v>
      </c>
      <c r="CM176" s="74" t="str">
        <f t="shared" si="1387"/>
        <v>-</v>
      </c>
      <c r="CN176" s="74">
        <f t="shared" si="1388"/>
        <v>173</v>
      </c>
      <c r="CO176" s="74">
        <f t="shared" si="1389"/>
        <v>189</v>
      </c>
      <c r="CP176" s="74">
        <f t="shared" si="1390"/>
        <v>237</v>
      </c>
      <c r="CQ176" s="74">
        <f t="shared" si="1391"/>
        <v>278</v>
      </c>
      <c r="CR176" s="74">
        <f t="shared" si="1392"/>
        <v>309</v>
      </c>
      <c r="CS176" s="74">
        <f t="shared" si="1393"/>
        <v>322</v>
      </c>
      <c r="CT176" s="23">
        <f t="shared" si="139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ref="A177" si="1397">CONCATENATE(B177,"_",C177)</f>
        <v>opsd_bovin_5TE3</v>
      </c>
      <c r="B177" s="3" t="s">
        <v>920</v>
      </c>
      <c r="C177" s="3" t="s">
        <v>1407</v>
      </c>
      <c r="D177" s="3" t="str">
        <f>IFERROR(MID(VLOOKUP($B177,Seqs!$A:$B,2,0),E177,1),"")</f>
        <v>E</v>
      </c>
      <c r="E177" s="107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3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9" t="str">
        <f>VLOOKUP(B177,Classification!A:D,2,0)</f>
        <v>A</v>
      </c>
      <c r="BA177" s="96" t="str">
        <f>VLOOKUP(B177,Classification!A:D,4,0)</f>
        <v>Opsins</v>
      </c>
      <c r="BB177" s="27" t="b">
        <f t="shared" ref="BB177" si="1398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1399">_xlfn.AGGREGATE(9,6,CH177:CS177)-_xlfn.AGGREGATE(9,6,BV177:CG177)+12</f>
        <v>253</v>
      </c>
      <c r="BD177" s="2" t="s">
        <v>23</v>
      </c>
      <c r="BE177" s="3" t="s">
        <v>1297</v>
      </c>
      <c r="BF177" s="121">
        <v>2.7</v>
      </c>
      <c r="BG177" s="50" t="s">
        <v>1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ref="BV177" si="1400">E177</f>
        <v>33</v>
      </c>
      <c r="BW177" s="73">
        <f t="shared" ref="BW177" si="1401">I177</f>
        <v>66</v>
      </c>
      <c r="BX177" s="74">
        <f t="shared" ref="BX177" si="1402">M177</f>
        <v>70</v>
      </c>
      <c r="BY177" s="73">
        <f t="shared" ref="BY177" si="1403">Q177</f>
        <v>102</v>
      </c>
      <c r="BZ177" s="74">
        <f t="shared" ref="BZ177" si="1404">U177</f>
        <v>106</v>
      </c>
      <c r="CA177" s="73" t="str">
        <f t="shared" ref="CA177" si="1405">Y177</f>
        <v>-</v>
      </c>
      <c r="CB177" s="74">
        <f t="shared" ref="CB177" si="1406">AC177</f>
        <v>149</v>
      </c>
      <c r="CC177" s="73">
        <f t="shared" ref="CC177" si="1407">AG177</f>
        <v>187</v>
      </c>
      <c r="CD177" s="74">
        <f t="shared" ref="CD177" si="1408">AK177</f>
        <v>199</v>
      </c>
      <c r="CE177" s="73">
        <f t="shared" ref="CE177" si="1409">AO177</f>
        <v>241</v>
      </c>
      <c r="CF177" s="74">
        <f t="shared" ref="CF177" si="1410">AS177</f>
        <v>284</v>
      </c>
      <c r="CG177" s="73">
        <f t="shared" ref="CG177" si="1411">AW177</f>
        <v>310</v>
      </c>
      <c r="CH177" s="72">
        <f t="shared" ref="CH177" si="1412">G177</f>
        <v>65</v>
      </c>
      <c r="CI177" s="73">
        <f t="shared" ref="CI177" si="1413">K177</f>
        <v>69</v>
      </c>
      <c r="CJ177" s="74">
        <f t="shared" ref="CJ177" si="1414">O177</f>
        <v>100</v>
      </c>
      <c r="CK177" s="74">
        <f t="shared" ref="CK177" si="1415">S177</f>
        <v>105</v>
      </c>
      <c r="CL177" s="74">
        <f t="shared" ref="CL177" si="1416">W177</f>
        <v>141</v>
      </c>
      <c r="CM177" s="74" t="str">
        <f t="shared" ref="CM177" si="1417">AA177</f>
        <v>-</v>
      </c>
      <c r="CN177" s="74">
        <f t="shared" ref="CN177" si="1418">AE177</f>
        <v>173</v>
      </c>
      <c r="CO177" s="74">
        <f t="shared" ref="CO177" si="1419">AI177</f>
        <v>189</v>
      </c>
      <c r="CP177" s="74">
        <f t="shared" ref="CP177" si="1420">AM177</f>
        <v>237</v>
      </c>
      <c r="CQ177" s="74">
        <f t="shared" ref="CQ177" si="1421">AQ177</f>
        <v>278</v>
      </c>
      <c r="CR177" s="74">
        <f t="shared" ref="CR177" si="1422">AU177</f>
        <v>309</v>
      </c>
      <c r="CS177" s="74">
        <f t="shared" ref="CS177" si="1423">AY177</f>
        <v>322</v>
      </c>
      <c r="CT177" s="23">
        <f t="shared" ref="CT177" si="1424"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425">CONCATENATE(B178,"_",C178)</f>
        <v>opsd_bovin_5TE5</v>
      </c>
      <c r="B178" s="3" t="s">
        <v>920</v>
      </c>
      <c r="C178" s="3" t="s">
        <v>1408</v>
      </c>
      <c r="D178" s="3" t="str">
        <f>IFERROR(MID(VLOOKUP($B178,Seqs!$A:$B,2,0),E178,1),"")</f>
        <v>Q</v>
      </c>
      <c r="E178" s="3">
        <v>36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G</v>
      </c>
      <c r="O178" s="3">
        <v>101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3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S</v>
      </c>
      <c r="AK178" s="3">
        <v>202</v>
      </c>
      <c r="AL178" s="3" t="str">
        <f>IFERROR(MID(VLOOKUP($B178,Seqs!$A:$B,2,0),AM178,1),"")</f>
        <v>L</v>
      </c>
      <c r="AM178" s="3">
        <v>226</v>
      </c>
      <c r="AN178" s="3" t="str">
        <f>IFERROR(MID(VLOOKUP($B178,Seqs!$A:$B,2,0),AO178,1),"")</f>
        <v>T</v>
      </c>
      <c r="AO178" s="3">
        <v>243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P</v>
      </c>
      <c r="AS178" s="3">
        <v>285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323</v>
      </c>
      <c r="AZ178" s="79" t="str">
        <f>VLOOKUP(B178,Classification!A:D,2,0)</f>
        <v>A</v>
      </c>
      <c r="BA178" s="96" t="str">
        <f>VLOOKUP(B178,Classification!A:D,4,0)</f>
        <v>Opsins</v>
      </c>
      <c r="BB178" s="27" t="b">
        <f t="shared" ref="BB178" si="1426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427">_xlfn.AGGREGATE(9,6,CH178:CS178)-_xlfn.AGGREGATE(9,6,BV178:CG178)+12</f>
        <v>235</v>
      </c>
      <c r="BD178" s="2" t="s">
        <v>23</v>
      </c>
      <c r="BE178" s="3" t="s">
        <v>1381</v>
      </c>
      <c r="BF178" s="121">
        <v>4.01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ref="BV178" si="1428">E178</f>
        <v>36</v>
      </c>
      <c r="BW178" s="73">
        <f t="shared" ref="BW178" si="1429">I178</f>
        <v>66</v>
      </c>
      <c r="BX178" s="74">
        <f t="shared" ref="BX178" si="1430">M178</f>
        <v>70</v>
      </c>
      <c r="BY178" s="73">
        <f t="shared" ref="BY178" si="1431">Q178</f>
        <v>102</v>
      </c>
      <c r="BZ178" s="74">
        <f t="shared" ref="BZ178" si="1432">U178</f>
        <v>106</v>
      </c>
      <c r="CA178" s="73" t="str">
        <f t="shared" ref="CA178" si="1433">Y178</f>
        <v>-</v>
      </c>
      <c r="CB178" s="74">
        <f t="shared" ref="CB178" si="1434">AC178</f>
        <v>149</v>
      </c>
      <c r="CC178" s="73">
        <f t="shared" ref="CC178" si="1435">AG178</f>
        <v>187</v>
      </c>
      <c r="CD178" s="74">
        <f t="shared" ref="CD178" si="1436">AK178</f>
        <v>202</v>
      </c>
      <c r="CE178" s="73">
        <f t="shared" ref="CE178" si="1437">AO178</f>
        <v>243</v>
      </c>
      <c r="CF178" s="74">
        <f t="shared" ref="CF178" si="1438">AS178</f>
        <v>285</v>
      </c>
      <c r="CG178" s="73">
        <f t="shared" ref="CG178" si="1439">AW178</f>
        <v>310</v>
      </c>
      <c r="CH178" s="72">
        <f t="shared" ref="CH178" si="1440">G178</f>
        <v>65</v>
      </c>
      <c r="CI178" s="73">
        <f t="shared" ref="CI178" si="1441">K178</f>
        <v>69</v>
      </c>
      <c r="CJ178" s="74">
        <f t="shared" ref="CJ178" si="1442">O178</f>
        <v>101</v>
      </c>
      <c r="CK178" s="74">
        <f t="shared" ref="CK178" si="1443">S178</f>
        <v>105</v>
      </c>
      <c r="CL178" s="74">
        <f t="shared" ref="CL178" si="1444">W178</f>
        <v>141</v>
      </c>
      <c r="CM178" s="74" t="str">
        <f t="shared" ref="CM178" si="1445">AA178</f>
        <v>-</v>
      </c>
      <c r="CN178" s="74">
        <f t="shared" ref="CN178" si="1446">AE178</f>
        <v>173</v>
      </c>
      <c r="CO178" s="74">
        <f t="shared" ref="CO178" si="1447">AI178</f>
        <v>189</v>
      </c>
      <c r="CP178" s="74">
        <f t="shared" ref="CP178" si="1448">AM178</f>
        <v>226</v>
      </c>
      <c r="CQ178" s="74">
        <f t="shared" ref="CQ178" si="1449">AQ178</f>
        <v>278</v>
      </c>
      <c r="CR178" s="74">
        <f t="shared" ref="CR178" si="1450">AU178</f>
        <v>309</v>
      </c>
      <c r="CS178" s="74">
        <f t="shared" ref="CS178" si="1451">AY178</f>
        <v>323</v>
      </c>
      <c r="CT178" s="23">
        <f t="shared" ref="CT178" si="1452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ref="A179" si="1453">CONCATENATE(B179,"_",C179)</f>
        <v>opsd_bovin_5WKT</v>
      </c>
      <c r="B179" s="9" t="s">
        <v>920</v>
      </c>
      <c r="C179" s="9" t="s">
        <v>1462</v>
      </c>
      <c r="D179" s="9" t="str">
        <f>IFERROR(MID(VLOOKUP($B179,Seqs!$A:$B,2,0),E179,1),"")</f>
        <v>E</v>
      </c>
      <c r="E179" s="9">
        <v>33</v>
      </c>
      <c r="F179" s="9" t="str">
        <f>IFERROR(MID(VLOOKUP($B179,Seqs!$A:$B,2,0),G179,1),"")</f>
        <v>Q</v>
      </c>
      <c r="G179" s="9">
        <v>64</v>
      </c>
      <c r="H179" s="9" t="str">
        <f>IFERROR(MID(VLOOKUP($B179,Seqs!$A:$B,2,0),I179,1),"")</f>
        <v>K</v>
      </c>
      <c r="I179" s="111">
        <v>66</v>
      </c>
      <c r="J179" s="9" t="str">
        <f>IFERROR(MID(VLOOKUP($B179,Seqs!$A:$B,2,0),K179,1),"")</f>
        <v>R</v>
      </c>
      <c r="K179" s="111">
        <v>69</v>
      </c>
      <c r="L179" s="9" t="str">
        <f>IFERROR(MID(VLOOKUP($B179,Seqs!$A:$B,2,0),M179,1),"")</f>
        <v>N</v>
      </c>
      <c r="M179" s="9">
        <v>73</v>
      </c>
      <c r="N179" s="9" t="str">
        <f>IFERROR(MID(VLOOKUP($B179,Seqs!$A:$B,2,0),O179,1),"")</f>
        <v>G</v>
      </c>
      <c r="O179" s="9">
        <v>101</v>
      </c>
      <c r="P179" s="9" t="str">
        <f>IFERROR(MID(VLOOKUP($B179,Seqs!$A:$B,2,0),Q179,1),"")</f>
        <v>Y</v>
      </c>
      <c r="Q179" s="9">
        <v>102</v>
      </c>
      <c r="R179" s="9" t="str">
        <f>IFERROR(MID(VLOOKUP($B179,Seqs!$A:$B,2,0),S179,1),"")</f>
        <v>G</v>
      </c>
      <c r="S179" s="9">
        <v>106</v>
      </c>
      <c r="T179" s="9" t="str">
        <f>IFERROR(MID(VLOOKUP($B179,Seqs!$A:$B,2,0),U179,1),"")</f>
        <v>P</v>
      </c>
      <c r="U179" s="9">
        <v>107</v>
      </c>
      <c r="V179" s="9" t="str">
        <f>IFERROR(MID(VLOOKUP($B179,Seqs!$A:$B,2,0),W179,1),"")</f>
        <v>K</v>
      </c>
      <c r="W179" s="9">
        <v>141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G</v>
      </c>
      <c r="AC179" s="9">
        <v>149</v>
      </c>
      <c r="AD179" s="9" t="str">
        <f>IFERROR(MID(VLOOKUP($B179,Seqs!$A:$B,2,0),AE179,1),"")</f>
        <v>V</v>
      </c>
      <c r="AE179" s="9">
        <v>173</v>
      </c>
      <c r="AF179" s="9" t="str">
        <f>IFERROR(MID(VLOOKUP($B179,Seqs!$A:$B,2,0),AG179,1),"")</f>
        <v>C</v>
      </c>
      <c r="AG179" s="9">
        <v>187</v>
      </c>
      <c r="AH179" s="9" t="str">
        <f>IFERROR(MID(VLOOKUP($B179,Seqs!$A:$B,2,0),AI179,1),"")</f>
        <v>I</v>
      </c>
      <c r="AI179" s="9">
        <v>189</v>
      </c>
      <c r="AJ179" s="9" t="str">
        <f>IFERROR(MID(VLOOKUP($B179,Seqs!$A:$B,2,0),AK179,1),"")</f>
        <v>N</v>
      </c>
      <c r="AK179" s="9">
        <v>199</v>
      </c>
      <c r="AL179" s="9" t="str">
        <f>IFERROR(MID(VLOOKUP($B179,Seqs!$A:$B,2,0),AM179,1),"")</f>
        <v>Q</v>
      </c>
      <c r="AM179" s="9">
        <v>236</v>
      </c>
      <c r="AN179" s="9" t="str">
        <f>IFERROR(MID(VLOOKUP($B179,Seqs!$A:$B,2,0),AO179,1),"")</f>
        <v>S</v>
      </c>
      <c r="AO179" s="9">
        <v>240</v>
      </c>
      <c r="AP179" s="9" t="str">
        <f>IFERROR(MID(VLOOKUP($B179,Seqs!$A:$B,2,0),AQ179,1),"")</f>
        <v>H</v>
      </c>
      <c r="AQ179" s="9">
        <v>278</v>
      </c>
      <c r="AR179" s="9" t="str">
        <f>IFERROR(MID(VLOOKUP($B179,Seqs!$A:$B,2,0),AS179,1),"")</f>
        <v>G</v>
      </c>
      <c r="AS179" s="9">
        <v>284</v>
      </c>
      <c r="AT179" s="9" t="str">
        <f>IFERROR(MID(VLOOKUP($B179,Seqs!$A:$B,2,0),AU179,1),"")</f>
        <v>M</v>
      </c>
      <c r="AU179" s="9">
        <v>309</v>
      </c>
      <c r="AV179" s="9" t="str">
        <f>IFERROR(MID(VLOOKUP($B179,Seqs!$A:$B,2,0),AW179,1),"")</f>
        <v>N</v>
      </c>
      <c r="AW179" s="9">
        <v>310</v>
      </c>
      <c r="AX179" s="9" t="str">
        <f>IFERROR(MID(VLOOKUP($B179,Seqs!$A:$B,2,0),AY179,1),"")</f>
        <v>C</v>
      </c>
      <c r="AY179" s="9">
        <v>322</v>
      </c>
      <c r="AZ179" s="112" t="str">
        <f>VLOOKUP(B179,Classification!A:D,2,0)</f>
        <v>A</v>
      </c>
      <c r="BA179" s="100" t="str">
        <f>VLOOKUP(B179,Classification!A:D,4,0)</f>
        <v>Opsins</v>
      </c>
      <c r="BB179" s="37" t="b">
        <f t="shared" ref="BB179" si="145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11">
        <f t="shared" ref="BC179" si="1455">_xlfn.AGGREGATE(9,6,CH179:CS179)-_xlfn.AGGREGATE(9,6,BV179:CG179)+12</f>
        <v>250</v>
      </c>
      <c r="BD179" s="41" t="s">
        <v>23</v>
      </c>
      <c r="BE179" s="9" t="s">
        <v>1297</v>
      </c>
      <c r="BF179" s="122">
        <v>3.2</v>
      </c>
      <c r="BG179" s="52" t="s">
        <v>1</v>
      </c>
      <c r="BH179" s="52" t="s">
        <v>1</v>
      </c>
      <c r="BJ179" s="113" t="s">
        <v>1293</v>
      </c>
      <c r="BK179" s="114" t="s">
        <v>1293</v>
      </c>
      <c r="BL179" s="114" t="s">
        <v>1293</v>
      </c>
      <c r="BM179" s="114" t="s">
        <v>1293</v>
      </c>
      <c r="BN179" s="114" t="s">
        <v>1293</v>
      </c>
      <c r="BO179" s="114" t="s">
        <v>1293</v>
      </c>
      <c r="BP179" s="114" t="s">
        <v>1293</v>
      </c>
      <c r="BQ179" s="114" t="s">
        <v>1293</v>
      </c>
      <c r="BR179" s="114" t="s">
        <v>1293</v>
      </c>
      <c r="BS179" s="114" t="s">
        <v>1293</v>
      </c>
      <c r="BT179" s="114" t="s">
        <v>1293</v>
      </c>
      <c r="BU179" s="114" t="s">
        <v>1293</v>
      </c>
      <c r="BV179" s="113">
        <f t="shared" ref="BV179" si="1456">E179</f>
        <v>33</v>
      </c>
      <c r="BW179" s="115">
        <f t="shared" ref="BW179" si="1457">I179</f>
        <v>66</v>
      </c>
      <c r="BX179" s="116">
        <f t="shared" ref="BX179" si="1458">M179</f>
        <v>73</v>
      </c>
      <c r="BY179" s="115">
        <f t="shared" ref="BY179" si="1459">Q179</f>
        <v>102</v>
      </c>
      <c r="BZ179" s="116">
        <f t="shared" ref="BZ179" si="1460">U179</f>
        <v>107</v>
      </c>
      <c r="CA179" s="115" t="str">
        <f t="shared" ref="CA179" si="1461">Y179</f>
        <v>-</v>
      </c>
      <c r="CB179" s="116">
        <f t="shared" ref="CB179" si="1462">AC179</f>
        <v>149</v>
      </c>
      <c r="CC179" s="115">
        <f t="shared" ref="CC179" si="1463">AG179</f>
        <v>187</v>
      </c>
      <c r="CD179" s="116">
        <f t="shared" ref="CD179" si="1464">AK179</f>
        <v>199</v>
      </c>
      <c r="CE179" s="115">
        <f t="shared" ref="CE179" si="1465">AO179</f>
        <v>240</v>
      </c>
      <c r="CF179" s="116">
        <f t="shared" ref="CF179" si="1466">AS179</f>
        <v>284</v>
      </c>
      <c r="CG179" s="115">
        <f t="shared" ref="CG179" si="1467">AW179</f>
        <v>310</v>
      </c>
      <c r="CH179" s="113">
        <f t="shared" ref="CH179" si="1468">G179</f>
        <v>64</v>
      </c>
      <c r="CI179" s="115">
        <f t="shared" ref="CI179" si="1469">K179</f>
        <v>69</v>
      </c>
      <c r="CJ179" s="116">
        <f t="shared" ref="CJ179" si="1470">O179</f>
        <v>101</v>
      </c>
      <c r="CK179" s="116">
        <f t="shared" ref="CK179" si="1471">S179</f>
        <v>106</v>
      </c>
      <c r="CL179" s="116">
        <f t="shared" ref="CL179" si="1472">W179</f>
        <v>141</v>
      </c>
      <c r="CM179" s="116" t="str">
        <f t="shared" ref="CM179" si="1473">AA179</f>
        <v>-</v>
      </c>
      <c r="CN179" s="116">
        <f t="shared" ref="CN179" si="1474">AE179</f>
        <v>173</v>
      </c>
      <c r="CO179" s="116">
        <f t="shared" ref="CO179" si="1475">AI179</f>
        <v>189</v>
      </c>
      <c r="CP179" s="116">
        <f t="shared" ref="CP179" si="1476">AM179</f>
        <v>236</v>
      </c>
      <c r="CQ179" s="116">
        <f t="shared" ref="CQ179" si="1477">AQ179</f>
        <v>278</v>
      </c>
      <c r="CR179" s="116">
        <f t="shared" ref="CR179" si="1478">AU179</f>
        <v>309</v>
      </c>
      <c r="CS179" s="116">
        <f t="shared" ref="CS179" si="1479">AY179</f>
        <v>322</v>
      </c>
      <c r="CT179" s="111">
        <f t="shared" ref="CT179" si="1480">M179-K179</f>
        <v>4</v>
      </c>
    </row>
    <row r="180" spans="1:1030" x14ac:dyDescent="0.2">
      <c r="A180" s="3" t="str">
        <f t="shared" si="1395"/>
        <v>opsd_human__wt</v>
      </c>
      <c r="B180" s="3" t="s">
        <v>339</v>
      </c>
      <c r="C180" s="3" t="s">
        <v>100</v>
      </c>
      <c r="D180" s="3" t="str">
        <f>IFERROR(MID(VLOOKUP($B180,Seqs!$A:$B,2,0),E180,1),"")</f>
        <v>P</v>
      </c>
      <c r="E180" s="3">
        <v>34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>P</v>
      </c>
      <c r="Y180" s="3">
        <v>142</v>
      </c>
      <c r="Z180" s="3" t="str">
        <f>IFERROR(MID(VLOOKUP($B180,Seqs!$A:$B,2,0),AA180,1),"")</f>
        <v>F</v>
      </c>
      <c r="AA180" s="3">
        <v>148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A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9" t="str">
        <f>VLOOKUP(B180,Classification!A:D,2,0)</f>
        <v>A</v>
      </c>
      <c r="BA180" s="96" t="str">
        <f>VLOOKUP(B180,Classification!A:D,4,0)</f>
        <v>Opsins</v>
      </c>
      <c r="BB180" s="27" t="b">
        <f t="shared" si="1396"/>
        <v>1</v>
      </c>
      <c r="BC180" s="23">
        <f t="shared" si="1369"/>
        <v>258</v>
      </c>
      <c r="BD180" s="57" t="s">
        <v>1379</v>
      </c>
      <c r="BE180" s="3" t="s">
        <v>23</v>
      </c>
      <c r="BF180" s="121" t="s">
        <v>23</v>
      </c>
      <c r="BG180" s="50" t="s">
        <v>1379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1370"/>
        <v>34</v>
      </c>
      <c r="BW180" s="73">
        <f t="shared" si="1371"/>
        <v>66</v>
      </c>
      <c r="BX180" s="74">
        <f t="shared" si="1372"/>
        <v>70</v>
      </c>
      <c r="BY180" s="73">
        <f t="shared" si="1373"/>
        <v>102</v>
      </c>
      <c r="BZ180" s="74">
        <f t="shared" si="1374"/>
        <v>106</v>
      </c>
      <c r="CA180" s="73">
        <f t="shared" si="1375"/>
        <v>142</v>
      </c>
      <c r="CB180" s="74">
        <f t="shared" si="1376"/>
        <v>149</v>
      </c>
      <c r="CC180" s="73">
        <f t="shared" si="1377"/>
        <v>187</v>
      </c>
      <c r="CD180" s="74">
        <f t="shared" si="1378"/>
        <v>199</v>
      </c>
      <c r="CE180" s="73">
        <f t="shared" si="1379"/>
        <v>241</v>
      </c>
      <c r="CF180" s="74">
        <f t="shared" si="1380"/>
        <v>284</v>
      </c>
      <c r="CG180" s="73">
        <f t="shared" si="1381"/>
        <v>310</v>
      </c>
      <c r="CH180" s="72">
        <f t="shared" si="1382"/>
        <v>65</v>
      </c>
      <c r="CI180" s="73">
        <f t="shared" si="1383"/>
        <v>69</v>
      </c>
      <c r="CJ180" s="74">
        <f t="shared" si="1384"/>
        <v>100</v>
      </c>
      <c r="CK180" s="74">
        <f t="shared" si="1385"/>
        <v>105</v>
      </c>
      <c r="CL180" s="74">
        <f t="shared" si="1386"/>
        <v>141</v>
      </c>
      <c r="CM180" s="74">
        <f t="shared" si="1387"/>
        <v>148</v>
      </c>
      <c r="CN180" s="74">
        <f t="shared" si="1388"/>
        <v>173</v>
      </c>
      <c r="CO180" s="74">
        <f t="shared" si="1389"/>
        <v>189</v>
      </c>
      <c r="CP180" s="74">
        <f t="shared" si="1390"/>
        <v>237</v>
      </c>
      <c r="CQ180" s="74">
        <f t="shared" si="1391"/>
        <v>278</v>
      </c>
      <c r="CR180" s="74">
        <f t="shared" si="1392"/>
        <v>309</v>
      </c>
      <c r="CS180" s="74">
        <f t="shared" si="1393"/>
        <v>322</v>
      </c>
      <c r="CT180" s="23">
        <f t="shared" si="1394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395"/>
        <v>opsd_human_4ZWJ</v>
      </c>
      <c r="B181" s="3" t="s">
        <v>339</v>
      </c>
      <c r="C181" s="3" t="s">
        <v>55</v>
      </c>
      <c r="D181" s="3" t="str">
        <f>IFERROR(MID(VLOOKUP($B181,Seqs!$A:$B,2,0),E181,1),"")</f>
        <v>P</v>
      </c>
      <c r="E181" s="3">
        <v>34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>P</v>
      </c>
      <c r="Y181" s="3">
        <v>142</v>
      </c>
      <c r="Z181" s="3" t="str">
        <f>IFERROR(MID(VLOOKUP($B181,Seqs!$A:$B,2,0),AA181,1),"")</f>
        <v>F</v>
      </c>
      <c r="AA181" s="3">
        <v>148</v>
      </c>
      <c r="AB181" s="3" t="str">
        <f>IFERROR(MID(VLOOKUP($B181,Seqs!$A:$B,2,0),AC181,1),"")</f>
        <v>G</v>
      </c>
      <c r="AC181" s="9">
        <v>149</v>
      </c>
      <c r="AD181" s="3" t="str">
        <f>IFERROR(MID(VLOOKUP($B181,Seqs!$A:$B,2,0),AE181,1),"")</f>
        <v>A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9" t="str">
        <f>VLOOKUP(B181,Classification!A:D,2,0)</f>
        <v>A</v>
      </c>
      <c r="BA181" s="96" t="str">
        <f>VLOOKUP(B181,Classification!A:D,4,0)</f>
        <v>Opsins</v>
      </c>
      <c r="BB181" s="27" t="b">
        <f t="shared" si="1396"/>
        <v>1</v>
      </c>
      <c r="BC181" s="23">
        <f t="shared" si="1369"/>
        <v>258</v>
      </c>
      <c r="BD181" s="2" t="s">
        <v>1382</v>
      </c>
      <c r="BE181" s="3" t="s">
        <v>1297</v>
      </c>
      <c r="BF181" s="121">
        <v>3.3</v>
      </c>
      <c r="BG181" s="50" t="s">
        <v>1384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1370"/>
        <v>34</v>
      </c>
      <c r="BW181" s="73">
        <f t="shared" si="1371"/>
        <v>66</v>
      </c>
      <c r="BX181" s="74">
        <f t="shared" si="1372"/>
        <v>70</v>
      </c>
      <c r="BY181" s="73">
        <f t="shared" si="1373"/>
        <v>102</v>
      </c>
      <c r="BZ181" s="74">
        <f t="shared" si="1374"/>
        <v>106</v>
      </c>
      <c r="CA181" s="73">
        <f t="shared" si="1375"/>
        <v>142</v>
      </c>
      <c r="CB181" s="74">
        <f t="shared" si="1376"/>
        <v>149</v>
      </c>
      <c r="CC181" s="73">
        <f t="shared" si="1377"/>
        <v>187</v>
      </c>
      <c r="CD181" s="74">
        <f t="shared" si="1378"/>
        <v>199</v>
      </c>
      <c r="CE181" s="73">
        <f t="shared" si="1379"/>
        <v>241</v>
      </c>
      <c r="CF181" s="74">
        <f t="shared" si="1380"/>
        <v>284</v>
      </c>
      <c r="CG181" s="73">
        <f t="shared" si="1381"/>
        <v>310</v>
      </c>
      <c r="CH181" s="72">
        <f t="shared" si="1382"/>
        <v>65</v>
      </c>
      <c r="CI181" s="73">
        <f t="shared" si="1383"/>
        <v>69</v>
      </c>
      <c r="CJ181" s="74">
        <f t="shared" si="1384"/>
        <v>100</v>
      </c>
      <c r="CK181" s="74">
        <f t="shared" si="1385"/>
        <v>105</v>
      </c>
      <c r="CL181" s="74">
        <f t="shared" si="1386"/>
        <v>141</v>
      </c>
      <c r="CM181" s="74">
        <f t="shared" si="1387"/>
        <v>148</v>
      </c>
      <c r="CN181" s="74">
        <f t="shared" si="1388"/>
        <v>173</v>
      </c>
      <c r="CO181" s="74">
        <f t="shared" si="1389"/>
        <v>189</v>
      </c>
      <c r="CP181" s="74">
        <f t="shared" si="1390"/>
        <v>237</v>
      </c>
      <c r="CQ181" s="74">
        <f t="shared" si="1391"/>
        <v>278</v>
      </c>
      <c r="CR181" s="74">
        <f t="shared" si="1392"/>
        <v>309</v>
      </c>
      <c r="CS181" s="74">
        <f t="shared" si="1393"/>
        <v>322</v>
      </c>
      <c r="CT181" s="23">
        <f t="shared" si="1394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395"/>
        <v>opsd_human_5DGY</v>
      </c>
      <c r="B182" s="3" t="s">
        <v>339</v>
      </c>
      <c r="C182" s="3" t="s">
        <v>1445</v>
      </c>
      <c r="D182" s="3" t="str">
        <f>IFERROR(MID(VLOOKUP($B182,Seqs!$A:$B,2,0),E182,1),"")</f>
        <v>P</v>
      </c>
      <c r="E182" s="3">
        <v>34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3">
        <v>148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A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9" t="str">
        <f>VLOOKUP(B182,Classification!A:D,2,0)</f>
        <v>A</v>
      </c>
      <c r="BA182" s="96" t="str">
        <f>VLOOKUP(B182,Classification!A:D,4,0)</f>
        <v>Opsins</v>
      </c>
      <c r="BB182" s="27" t="b">
        <f t="shared" si="1396"/>
        <v>1</v>
      </c>
      <c r="BC182" s="23">
        <f t="shared" si="1369"/>
        <v>258</v>
      </c>
      <c r="BD182" s="2" t="s">
        <v>23</v>
      </c>
      <c r="BE182" s="3" t="s">
        <v>1297</v>
      </c>
      <c r="BF182" s="121">
        <v>7.7</v>
      </c>
      <c r="BG182" s="50" t="s">
        <v>1444</v>
      </c>
      <c r="BH182" s="50" t="s">
        <v>1444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1370"/>
        <v>34</v>
      </c>
      <c r="BW182" s="73">
        <f t="shared" si="1371"/>
        <v>66</v>
      </c>
      <c r="BX182" s="74">
        <f t="shared" si="1372"/>
        <v>70</v>
      </c>
      <c r="BY182" s="73">
        <f t="shared" si="1373"/>
        <v>102</v>
      </c>
      <c r="BZ182" s="74">
        <f t="shared" si="1374"/>
        <v>106</v>
      </c>
      <c r="CA182" s="73">
        <f t="shared" si="1375"/>
        <v>142</v>
      </c>
      <c r="CB182" s="74">
        <f t="shared" si="1376"/>
        <v>149</v>
      </c>
      <c r="CC182" s="73">
        <f t="shared" si="1377"/>
        <v>187</v>
      </c>
      <c r="CD182" s="74">
        <f t="shared" si="1378"/>
        <v>199</v>
      </c>
      <c r="CE182" s="73">
        <f t="shared" si="1379"/>
        <v>241</v>
      </c>
      <c r="CF182" s="74">
        <f t="shared" si="1380"/>
        <v>284</v>
      </c>
      <c r="CG182" s="73">
        <f t="shared" si="1381"/>
        <v>310</v>
      </c>
      <c r="CH182" s="72">
        <f t="shared" si="1382"/>
        <v>65</v>
      </c>
      <c r="CI182" s="73">
        <f t="shared" si="1383"/>
        <v>69</v>
      </c>
      <c r="CJ182" s="74">
        <f t="shared" si="1384"/>
        <v>100</v>
      </c>
      <c r="CK182" s="74">
        <f t="shared" si="1385"/>
        <v>105</v>
      </c>
      <c r="CL182" s="74">
        <f t="shared" si="1386"/>
        <v>141</v>
      </c>
      <c r="CM182" s="74">
        <f t="shared" si="1387"/>
        <v>148</v>
      </c>
      <c r="CN182" s="74">
        <f t="shared" si="1388"/>
        <v>173</v>
      </c>
      <c r="CO182" s="74">
        <f t="shared" si="1389"/>
        <v>189</v>
      </c>
      <c r="CP182" s="74">
        <f t="shared" si="1390"/>
        <v>237</v>
      </c>
      <c r="CQ182" s="74">
        <f t="shared" si="1391"/>
        <v>278</v>
      </c>
      <c r="CR182" s="74">
        <f t="shared" si="1392"/>
        <v>309</v>
      </c>
      <c r="CS182" s="74">
        <f t="shared" si="1393"/>
        <v>322</v>
      </c>
      <c r="CT182" s="23">
        <f t="shared" si="1394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ref="A183" si="1481">CONCATENATE(B183,"_",C183)</f>
        <v>opsd_human_5W0P</v>
      </c>
      <c r="B183" s="3" t="s">
        <v>339</v>
      </c>
      <c r="C183" s="3" t="s">
        <v>1443</v>
      </c>
      <c r="D183" s="3" t="str">
        <f>IFERROR(MID(VLOOKUP($B183,Seqs!$A:$B,2,0),E183,1),"")</f>
        <v>P</v>
      </c>
      <c r="E183" s="3">
        <v>34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>P</v>
      </c>
      <c r="Y183" s="3">
        <v>142</v>
      </c>
      <c r="Z183" s="3" t="str">
        <f>IFERROR(MID(VLOOKUP($B183,Seqs!$A:$B,2,0),AA183,1),"")</f>
        <v>F</v>
      </c>
      <c r="AA183" s="3">
        <v>148</v>
      </c>
      <c r="AB183" s="3" t="str">
        <f>IFERROR(MID(VLOOKUP($B183,Seqs!$A:$B,2,0),AC183,1),"")</f>
        <v>G</v>
      </c>
      <c r="AC183" s="3">
        <v>149</v>
      </c>
      <c r="AD183" s="3" t="str">
        <f>IFERROR(MID(VLOOKUP($B183,Seqs!$A:$B,2,0),AE183,1),"")</f>
        <v>A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Q</v>
      </c>
      <c r="AM183" s="3">
        <v>237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9" t="str">
        <f>VLOOKUP(B183,Classification!A:D,2,0)</f>
        <v>A</v>
      </c>
      <c r="BA183" s="96" t="str">
        <f>VLOOKUP(B183,Classification!A:D,4,0)</f>
        <v>Opsins</v>
      </c>
      <c r="BB183" s="27" t="b">
        <f t="shared" ref="BB183" si="1482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483">_xlfn.AGGREGATE(9,6,CH183:CS183)-_xlfn.AGGREGATE(9,6,BV183:CG183)+12</f>
        <v>258</v>
      </c>
      <c r="BD183" s="2" t="s">
        <v>23</v>
      </c>
      <c r="BE183" s="3" t="s">
        <v>1297</v>
      </c>
      <c r="BF183" s="121">
        <v>3.01</v>
      </c>
      <c r="BG183" s="50" t="s">
        <v>1444</v>
      </c>
      <c r="BH183" s="50" t="s">
        <v>1444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ref="BV183" si="1484">E183</f>
        <v>34</v>
      </c>
      <c r="BW183" s="73">
        <f t="shared" ref="BW183" si="1485">I183</f>
        <v>66</v>
      </c>
      <c r="BX183" s="74">
        <f t="shared" ref="BX183" si="1486">M183</f>
        <v>70</v>
      </c>
      <c r="BY183" s="73">
        <f t="shared" ref="BY183" si="1487">Q183</f>
        <v>102</v>
      </c>
      <c r="BZ183" s="74">
        <f t="shared" ref="BZ183" si="1488">U183</f>
        <v>106</v>
      </c>
      <c r="CA183" s="73">
        <f t="shared" ref="CA183" si="1489">Y183</f>
        <v>142</v>
      </c>
      <c r="CB183" s="74">
        <f t="shared" ref="CB183" si="1490">AC183</f>
        <v>149</v>
      </c>
      <c r="CC183" s="73">
        <f t="shared" ref="CC183" si="1491">AG183</f>
        <v>187</v>
      </c>
      <c r="CD183" s="74">
        <f t="shared" ref="CD183" si="1492">AK183</f>
        <v>199</v>
      </c>
      <c r="CE183" s="73">
        <f t="shared" ref="CE183" si="1493">AO183</f>
        <v>241</v>
      </c>
      <c r="CF183" s="74">
        <f t="shared" ref="CF183" si="1494">AS183</f>
        <v>284</v>
      </c>
      <c r="CG183" s="73">
        <f t="shared" ref="CG183" si="1495">AW183</f>
        <v>310</v>
      </c>
      <c r="CH183" s="72">
        <f t="shared" ref="CH183" si="1496">G183</f>
        <v>65</v>
      </c>
      <c r="CI183" s="73">
        <f t="shared" ref="CI183" si="1497">K183</f>
        <v>69</v>
      </c>
      <c r="CJ183" s="74">
        <f t="shared" ref="CJ183" si="1498">O183</f>
        <v>100</v>
      </c>
      <c r="CK183" s="74">
        <f t="shared" ref="CK183" si="1499">S183</f>
        <v>105</v>
      </c>
      <c r="CL183" s="74">
        <f t="shared" ref="CL183" si="1500">W183</f>
        <v>141</v>
      </c>
      <c r="CM183" s="74">
        <f t="shared" ref="CM183" si="1501">AA183</f>
        <v>148</v>
      </c>
      <c r="CN183" s="74">
        <f t="shared" ref="CN183" si="1502">AE183</f>
        <v>173</v>
      </c>
      <c r="CO183" s="74">
        <f t="shared" ref="CO183" si="1503">AI183</f>
        <v>189</v>
      </c>
      <c r="CP183" s="74">
        <f t="shared" ref="CP183" si="1504">AM183</f>
        <v>237</v>
      </c>
      <c r="CQ183" s="74">
        <f t="shared" ref="CQ183" si="1505">AQ183</f>
        <v>278</v>
      </c>
      <c r="CR183" s="74">
        <f t="shared" ref="CR183" si="1506">AU183</f>
        <v>309</v>
      </c>
      <c r="CS183" s="74">
        <f t="shared" ref="CS183" si="1507">AY183</f>
        <v>322</v>
      </c>
      <c r="CT183" s="23">
        <f t="shared" ref="CT183" si="1508"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395"/>
        <v>opsd_todpa__wt</v>
      </c>
      <c r="B184" s="3" t="s">
        <v>922</v>
      </c>
      <c r="C184" s="3" t="s">
        <v>100</v>
      </c>
      <c r="D184" s="3" t="str">
        <f>IFERROR(MID(VLOOKUP($B184,Seqs!$A:$B,2,0),E184,1),"")</f>
        <v>D</v>
      </c>
      <c r="E184" s="3">
        <v>31</v>
      </c>
      <c r="F184" s="3" t="str">
        <f>IFERROR(MID(VLOOKUP($B184,Seqs!$A:$B,2,0),G184,1),"")</f>
        <v>T</v>
      </c>
      <c r="G184" s="3">
        <v>62</v>
      </c>
      <c r="H184" s="3" t="str">
        <f>IFERROR(MID(VLOOKUP($B184,Seqs!$A:$B,2,0),I184,1),"")</f>
        <v>K</v>
      </c>
      <c r="I184" s="23">
        <v>63</v>
      </c>
      <c r="J184" s="3" t="str">
        <f>IFERROR(MID(VLOOKUP($B184,Seqs!$A:$B,2,0),K184,1),"")</f>
        <v>Q</v>
      </c>
      <c r="K184" s="23">
        <v>66</v>
      </c>
      <c r="L184" s="3" t="str">
        <f>IFERROR(MID(VLOOKUP($B184,Seqs!$A:$B,2,0),M184,1),"")</f>
        <v>T</v>
      </c>
      <c r="M184" s="3">
        <v>67</v>
      </c>
      <c r="N184" s="3" t="str">
        <f>IFERROR(MID(VLOOKUP($B184,Seqs!$A:$B,2,0),O184,1),"")</f>
        <v>K</v>
      </c>
      <c r="O184" s="3">
        <v>99</v>
      </c>
      <c r="P184" s="3" t="str">
        <f>IFERROR(MID(VLOOKUP($B184,Seqs!$A:$B,2,0),Q184,1),"")</f>
        <v>K</v>
      </c>
      <c r="Q184" s="3">
        <v>100</v>
      </c>
      <c r="R184" s="3" t="str">
        <f>IFERROR(MID(VLOOKUP($B184,Seqs!$A:$B,2,0),S184,1),"")</f>
        <v>F</v>
      </c>
      <c r="S184" s="3">
        <v>103</v>
      </c>
      <c r="T184" s="3" t="str">
        <f>IFERROR(MID(VLOOKUP($B184,Seqs!$A:$B,2,0),U184,1),"")</f>
        <v>G</v>
      </c>
      <c r="U184" s="3">
        <v>104</v>
      </c>
      <c r="V184" s="3" t="str">
        <f>IFERROR(MID(VLOOKUP($B184,Seqs!$A:$B,2,0),W184,1),"")</f>
        <v>R</v>
      </c>
      <c r="W184" s="3">
        <v>139</v>
      </c>
      <c r="X184" s="3" t="str">
        <f>IFERROR(MID(VLOOKUP($B184,Seqs!$A:$B,2,0),Y184,1),"")</f>
        <v>P</v>
      </c>
      <c r="Y184" s="3">
        <v>140</v>
      </c>
      <c r="Z184" s="3" t="str">
        <f>IFERROR(MID(VLOOKUP($B184,Seqs!$A:$B,2,0),AA184,1),"")</f>
        <v>M</v>
      </c>
      <c r="AA184" s="3">
        <v>147</v>
      </c>
      <c r="AB184" s="3" t="str">
        <f>IFERROR(MID(VLOOKUP($B184,Seqs!$A:$B,2,0),AC184,1),"")</f>
        <v>S</v>
      </c>
      <c r="AC184" s="9">
        <v>148</v>
      </c>
      <c r="AD184" s="3" t="str">
        <f>IFERROR(MID(VLOOKUP($B184,Seqs!$A:$B,2,0),AE184,1),"")</f>
        <v>F</v>
      </c>
      <c r="AE184" s="3">
        <v>172</v>
      </c>
      <c r="AF184" s="3" t="str">
        <f>IFERROR(MID(VLOOKUP($B184,Seqs!$A:$B,2,0),AG184,1),"")</f>
        <v>C</v>
      </c>
      <c r="AG184" s="3">
        <v>186</v>
      </c>
      <c r="AH184" s="3" t="str">
        <f>IFERROR(MID(VLOOKUP($B184,Seqs!$A:$B,2,0),AI184,1),"")</f>
        <v>F</v>
      </c>
      <c r="AI184" s="3">
        <v>188</v>
      </c>
      <c r="AJ184" s="3" t="str">
        <f>IFERROR(MID(VLOOKUP($B184,Seqs!$A:$B,2,0),AK184,1),"")</f>
        <v>D</v>
      </c>
      <c r="AK184" s="3">
        <v>194</v>
      </c>
      <c r="AL184" s="3" t="str">
        <f>IFERROR(MID(VLOOKUP($B184,Seqs!$A:$B,2,0),AM184,1),"")</f>
        <v>K</v>
      </c>
      <c r="AM184" s="3">
        <v>239</v>
      </c>
      <c r="AN184" s="3" t="str">
        <f>IFERROR(MID(VLOOKUP($B184,Seqs!$A:$B,2,0),AO184,1),"")</f>
        <v>K</v>
      </c>
      <c r="AO184" s="3">
        <v>244</v>
      </c>
      <c r="AP184" s="3" t="str">
        <f>IFERROR(MID(VLOOKUP($B184,Seqs!$A:$B,2,0),AQ184,1),"")</f>
        <v>G</v>
      </c>
      <c r="AQ184" s="3">
        <v>287</v>
      </c>
      <c r="AR184" s="3" t="str">
        <f>IFERROR(MID(VLOOKUP($B184,Seqs!$A:$B,2,0),AS184,1),"")</f>
        <v>T</v>
      </c>
      <c r="AS184" s="3">
        <v>293</v>
      </c>
      <c r="AT184" s="3" t="str">
        <f>IFERROR(MID(VLOOKUP($B184,Seqs!$A:$B,2,0),AU184,1),"")</f>
        <v>S</v>
      </c>
      <c r="AU184" s="3">
        <v>318</v>
      </c>
      <c r="AV184" s="3" t="str">
        <f>IFERROR(MID(VLOOKUP($B184,Seqs!$A:$B,2,0),AW184,1),"")</f>
        <v>H</v>
      </c>
      <c r="AW184" s="3">
        <v>319</v>
      </c>
      <c r="AX184" s="3" t="str">
        <f>IFERROR(MID(VLOOKUP($B184,Seqs!$A:$B,2,0),AY184,1),"")</f>
        <v>F</v>
      </c>
      <c r="AY184" s="3">
        <v>330</v>
      </c>
      <c r="AZ184" s="79" t="str">
        <f>VLOOKUP(B184,Classification!A:D,2,0)</f>
        <v>A</v>
      </c>
      <c r="BA184" s="96" t="str">
        <f>VLOOKUP(B184,Classification!A:D,4,0)</f>
        <v>Opsins</v>
      </c>
      <c r="BB184" s="27" t="b">
        <f t="shared" si="1396"/>
        <v>1</v>
      </c>
      <c r="BC184" s="23">
        <f t="shared" si="1369"/>
        <v>273</v>
      </c>
      <c r="BD184" s="57" t="s">
        <v>1379</v>
      </c>
      <c r="BE184" s="3" t="s">
        <v>23</v>
      </c>
      <c r="BF184" s="121" t="s">
        <v>23</v>
      </c>
      <c r="BG184" s="50" t="s">
        <v>1379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370"/>
        <v>31</v>
      </c>
      <c r="BW184" s="73">
        <f t="shared" si="1371"/>
        <v>63</v>
      </c>
      <c r="BX184" s="74">
        <f t="shared" si="1372"/>
        <v>67</v>
      </c>
      <c r="BY184" s="73">
        <f t="shared" si="1373"/>
        <v>100</v>
      </c>
      <c r="BZ184" s="74">
        <f t="shared" si="1374"/>
        <v>104</v>
      </c>
      <c r="CA184" s="73">
        <f t="shared" si="1375"/>
        <v>140</v>
      </c>
      <c r="CB184" s="74">
        <f t="shared" si="1376"/>
        <v>148</v>
      </c>
      <c r="CC184" s="73">
        <f t="shared" si="1377"/>
        <v>186</v>
      </c>
      <c r="CD184" s="74">
        <f t="shared" si="1378"/>
        <v>194</v>
      </c>
      <c r="CE184" s="73">
        <f t="shared" si="1379"/>
        <v>244</v>
      </c>
      <c r="CF184" s="74">
        <f t="shared" si="1380"/>
        <v>293</v>
      </c>
      <c r="CG184" s="73">
        <f t="shared" si="1381"/>
        <v>319</v>
      </c>
      <c r="CH184" s="72">
        <f t="shared" si="1382"/>
        <v>62</v>
      </c>
      <c r="CI184" s="73">
        <f t="shared" si="1383"/>
        <v>66</v>
      </c>
      <c r="CJ184" s="74">
        <f t="shared" si="1384"/>
        <v>99</v>
      </c>
      <c r="CK184" s="74">
        <f t="shared" si="1385"/>
        <v>103</v>
      </c>
      <c r="CL184" s="74">
        <f t="shared" si="1386"/>
        <v>139</v>
      </c>
      <c r="CM184" s="74">
        <f t="shared" si="1387"/>
        <v>147</v>
      </c>
      <c r="CN184" s="74">
        <f t="shared" si="1388"/>
        <v>172</v>
      </c>
      <c r="CO184" s="74">
        <f t="shared" si="1389"/>
        <v>188</v>
      </c>
      <c r="CP184" s="74">
        <f t="shared" si="1390"/>
        <v>239</v>
      </c>
      <c r="CQ184" s="74">
        <f t="shared" si="1391"/>
        <v>287</v>
      </c>
      <c r="CR184" s="74">
        <f t="shared" si="1392"/>
        <v>318</v>
      </c>
      <c r="CS184" s="74">
        <f t="shared" si="1393"/>
        <v>330</v>
      </c>
      <c r="CT184" s="23">
        <f t="shared" si="1394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395"/>
        <v>opsd_todpa_2Z73</v>
      </c>
      <c r="B185" s="3" t="s">
        <v>922</v>
      </c>
      <c r="C185" s="3" t="s">
        <v>97</v>
      </c>
      <c r="D185" s="3" t="str">
        <f>IFERROR(MID(VLOOKUP($B185,Seqs!$A:$B,2,0),E185,1),"")</f>
        <v>D</v>
      </c>
      <c r="E185" s="3">
        <v>31</v>
      </c>
      <c r="F185" s="3" t="str">
        <f>IFERROR(MID(VLOOKUP($B185,Seqs!$A:$B,2,0),G185,1),"")</f>
        <v>T</v>
      </c>
      <c r="G185" s="3">
        <v>62</v>
      </c>
      <c r="H185" s="3" t="str">
        <f>IFERROR(MID(VLOOKUP($B185,Seqs!$A:$B,2,0),I185,1),"")</f>
        <v>K</v>
      </c>
      <c r="I185" s="23">
        <v>63</v>
      </c>
      <c r="J185" s="3" t="str">
        <f>IFERROR(MID(VLOOKUP($B185,Seqs!$A:$B,2,0),K185,1),"")</f>
        <v>Q</v>
      </c>
      <c r="K185" s="23">
        <v>66</v>
      </c>
      <c r="L185" s="3" t="str">
        <f>IFERROR(MID(VLOOKUP($B185,Seqs!$A:$B,2,0),M185,1),"")</f>
        <v>T</v>
      </c>
      <c r="M185" s="3">
        <v>67</v>
      </c>
      <c r="N185" s="3" t="str">
        <f>IFERROR(MID(VLOOKUP($B185,Seqs!$A:$B,2,0),O185,1),"")</f>
        <v>K</v>
      </c>
      <c r="O185" s="3">
        <v>99</v>
      </c>
      <c r="P185" s="3" t="str">
        <f>IFERROR(MID(VLOOKUP($B185,Seqs!$A:$B,2,0),Q185,1),"")</f>
        <v>K</v>
      </c>
      <c r="Q185" s="3">
        <v>100</v>
      </c>
      <c r="R185" s="3" t="str">
        <f>IFERROR(MID(VLOOKUP($B185,Seqs!$A:$B,2,0),S185,1),"")</f>
        <v>F</v>
      </c>
      <c r="S185" s="3">
        <v>103</v>
      </c>
      <c r="T185" s="3" t="str">
        <f>IFERROR(MID(VLOOKUP($B185,Seqs!$A:$B,2,0),U185,1),"")</f>
        <v>G</v>
      </c>
      <c r="U185" s="3">
        <v>104</v>
      </c>
      <c r="V185" s="3" t="str">
        <f>IFERROR(MID(VLOOKUP($B185,Seqs!$A:$B,2,0),W185,1),"")</f>
        <v>R</v>
      </c>
      <c r="W185" s="3">
        <v>139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148</v>
      </c>
      <c r="AD185" s="3" t="str">
        <f>IFERROR(MID(VLOOKUP($B185,Seqs!$A:$B,2,0),AE185,1),"")</f>
        <v>F</v>
      </c>
      <c r="AE185" s="3">
        <v>172</v>
      </c>
      <c r="AF185" s="3" t="str">
        <f>IFERROR(MID(VLOOKUP($B185,Seqs!$A:$B,2,0),AG185,1),"")</f>
        <v>C</v>
      </c>
      <c r="AG185" s="3">
        <v>186</v>
      </c>
      <c r="AH185" s="3" t="str">
        <f>IFERROR(MID(VLOOKUP($B185,Seqs!$A:$B,2,0),AI185,1),"")</f>
        <v>F</v>
      </c>
      <c r="AI185" s="3">
        <v>188</v>
      </c>
      <c r="AJ185" s="3" t="str">
        <f>IFERROR(MID(VLOOKUP($B185,Seqs!$A:$B,2,0),AK185,1),"")</f>
        <v>D</v>
      </c>
      <c r="AK185" s="3">
        <v>194</v>
      </c>
      <c r="AL185" s="3" t="str">
        <f>IFERROR(MID(VLOOKUP($B185,Seqs!$A:$B,2,0),AM185,1),"")</f>
        <v>K</v>
      </c>
      <c r="AM185" s="3">
        <v>239</v>
      </c>
      <c r="AN185" s="3" t="str">
        <f>IFERROR(MID(VLOOKUP($B185,Seqs!$A:$B,2,0),AO185,1),"")</f>
        <v>K</v>
      </c>
      <c r="AO185" s="3">
        <v>244</v>
      </c>
      <c r="AP185" s="3" t="str">
        <f>IFERROR(MID(VLOOKUP($B185,Seqs!$A:$B,2,0),AQ185,1),"")</f>
        <v>G</v>
      </c>
      <c r="AQ185" s="3">
        <v>287</v>
      </c>
      <c r="AR185" s="3" t="str">
        <f>IFERROR(MID(VLOOKUP($B185,Seqs!$A:$B,2,0),AS185,1),"")</f>
        <v>T</v>
      </c>
      <c r="AS185" s="3">
        <v>293</v>
      </c>
      <c r="AT185" s="3" t="str">
        <f>IFERROR(MID(VLOOKUP($B185,Seqs!$A:$B,2,0),AU185,1),"")</f>
        <v>S</v>
      </c>
      <c r="AU185" s="3">
        <v>318</v>
      </c>
      <c r="AV185" s="3" t="str">
        <f>IFERROR(MID(VLOOKUP($B185,Seqs!$A:$B,2,0),AW185,1),"")</f>
        <v>H</v>
      </c>
      <c r="AW185" s="3">
        <v>319</v>
      </c>
      <c r="AX185" s="3" t="str">
        <f>IFERROR(MID(VLOOKUP($B185,Seqs!$A:$B,2,0),AY185,1),"")</f>
        <v>F</v>
      </c>
      <c r="AY185" s="3">
        <v>330</v>
      </c>
      <c r="AZ185" s="79" t="str">
        <f>VLOOKUP(B185,Classification!A:D,2,0)</f>
        <v>A</v>
      </c>
      <c r="BA185" s="96" t="str">
        <f>VLOOKUP(B185,Classification!A:D,4,0)</f>
        <v>Opsins</v>
      </c>
      <c r="BB185" s="27" t="b">
        <f t="shared" si="1396"/>
        <v>1</v>
      </c>
      <c r="BC185" s="23">
        <f t="shared" si="1369"/>
        <v>266</v>
      </c>
      <c r="BD185" s="2" t="s">
        <v>1383</v>
      </c>
      <c r="BE185" s="3" t="s">
        <v>1381</v>
      </c>
      <c r="BF185" s="121">
        <v>2.5</v>
      </c>
      <c r="BG185" s="50" t="s">
        <v>1384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1370"/>
        <v>31</v>
      </c>
      <c r="BW185" s="73">
        <f t="shared" si="1371"/>
        <v>63</v>
      </c>
      <c r="BX185" s="74">
        <f t="shared" si="1372"/>
        <v>67</v>
      </c>
      <c r="BY185" s="73">
        <f t="shared" si="1373"/>
        <v>100</v>
      </c>
      <c r="BZ185" s="74">
        <f t="shared" si="1374"/>
        <v>104</v>
      </c>
      <c r="CA185" s="73" t="str">
        <f t="shared" si="1375"/>
        <v>-</v>
      </c>
      <c r="CB185" s="74">
        <f t="shared" si="1376"/>
        <v>148</v>
      </c>
      <c r="CC185" s="73">
        <f t="shared" si="1377"/>
        <v>186</v>
      </c>
      <c r="CD185" s="74">
        <f t="shared" si="1378"/>
        <v>194</v>
      </c>
      <c r="CE185" s="73">
        <f t="shared" si="1379"/>
        <v>244</v>
      </c>
      <c r="CF185" s="74">
        <f t="shared" si="1380"/>
        <v>293</v>
      </c>
      <c r="CG185" s="73">
        <f t="shared" si="1381"/>
        <v>319</v>
      </c>
      <c r="CH185" s="72">
        <f t="shared" si="1382"/>
        <v>62</v>
      </c>
      <c r="CI185" s="73">
        <f t="shared" si="1383"/>
        <v>66</v>
      </c>
      <c r="CJ185" s="74">
        <f t="shared" si="1384"/>
        <v>99</v>
      </c>
      <c r="CK185" s="74">
        <f t="shared" si="1385"/>
        <v>103</v>
      </c>
      <c r="CL185" s="74">
        <f t="shared" si="1386"/>
        <v>139</v>
      </c>
      <c r="CM185" s="74" t="str">
        <f t="shared" si="1387"/>
        <v>-</v>
      </c>
      <c r="CN185" s="74">
        <f t="shared" si="1388"/>
        <v>172</v>
      </c>
      <c r="CO185" s="74">
        <f t="shared" si="1389"/>
        <v>188</v>
      </c>
      <c r="CP185" s="74">
        <f t="shared" si="1390"/>
        <v>239</v>
      </c>
      <c r="CQ185" s="74">
        <f t="shared" si="1391"/>
        <v>287</v>
      </c>
      <c r="CR185" s="74">
        <f t="shared" si="1392"/>
        <v>318</v>
      </c>
      <c r="CS185" s="74">
        <f t="shared" si="1393"/>
        <v>330</v>
      </c>
      <c r="CT185" s="23">
        <f t="shared" si="1394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2"/>
    </row>
    <row r="186" spans="1:1030" x14ac:dyDescent="0.2">
      <c r="A186" s="3" t="str">
        <f t="shared" si="1395"/>
        <v>ox1r_human__wt</v>
      </c>
      <c r="B186" s="3" t="s">
        <v>1175</v>
      </c>
      <c r="C186" s="3" t="s">
        <v>100</v>
      </c>
      <c r="D186" s="3" t="str">
        <f>IFERROR(MID(VLOOKUP($B186,Seqs!$A:$B,2,0),E186,1),"")</f>
        <v>E</v>
      </c>
      <c r="E186" s="3">
        <v>46</v>
      </c>
      <c r="F186" s="3" t="str">
        <f>IFERROR(MID(VLOOKUP($B186,Seqs!$A:$B,2,0),G186,1),"")</f>
        <v>N</v>
      </c>
      <c r="G186" s="3">
        <v>74</v>
      </c>
      <c r="H186" s="3" t="str">
        <f>IFERROR(MID(VLOOKUP($B186,Seqs!$A:$B,2,0),I186,1),"")</f>
        <v>H</v>
      </c>
      <c r="I186" s="23">
        <v>75</v>
      </c>
      <c r="J186" s="3" t="str">
        <f>IFERROR(MID(VLOOKUP($B186,Seqs!$A:$B,2,0),K186,1),"")</f>
        <v>R</v>
      </c>
      <c r="K186" s="23">
        <v>78</v>
      </c>
      <c r="L186" s="3" t="str">
        <f>IFERROR(MID(VLOOKUP($B186,Seqs!$A:$B,2,0),M186,1),"")</f>
        <v>T</v>
      </c>
      <c r="M186" s="3">
        <v>79</v>
      </c>
      <c r="N186" s="3" t="str">
        <f>IFERROR(MID(VLOOKUP($B186,Seqs!$A:$B,2,0),O186,1),"")</f>
        <v>T</v>
      </c>
      <c r="O186" s="3">
        <v>109</v>
      </c>
      <c r="P186" s="3" t="str">
        <f>IFERROR(MID(VLOOKUP($B186,Seqs!$A:$B,2,0),Q186,1),"")</f>
        <v>S</v>
      </c>
      <c r="Q186" s="3">
        <v>111</v>
      </c>
      <c r="R186" s="3" t="str">
        <f>IFERROR(MID(VLOOKUP($B186,Seqs!$A:$B,2,0),S186,1),"")</f>
        <v>F</v>
      </c>
      <c r="S186" s="3">
        <v>114</v>
      </c>
      <c r="T186" s="3" t="str">
        <f>IFERROR(MID(VLOOKUP($B186,Seqs!$A:$B,2,0),U186,1),"")</f>
        <v>G</v>
      </c>
      <c r="U186" s="3">
        <v>115</v>
      </c>
      <c r="V186" s="3" t="str">
        <f>IFERROR(MID(VLOOKUP($B186,Seqs!$A:$B,2,0),W186,1),"")</f>
        <v>H</v>
      </c>
      <c r="W186" s="3">
        <v>150</v>
      </c>
      <c r="X186" s="3" t="str">
        <f>IFERROR(MID(VLOOKUP($B186,Seqs!$A:$B,2,0),Y186,1),"")</f>
        <v>P</v>
      </c>
      <c r="Y186" s="3">
        <v>151</v>
      </c>
      <c r="Z186" s="3" t="str">
        <f>IFERROR(MID(VLOOKUP($B186,Seqs!$A:$B,2,0),AA186,1),"")</f>
        <v>F</v>
      </c>
      <c r="AA186" s="75">
        <v>154</v>
      </c>
      <c r="AB186" s="3" t="str">
        <f>IFERROR(MID(VLOOKUP($B186,Seqs!$A:$B,2,0),AC186,1),"")</f>
        <v>T</v>
      </c>
      <c r="AC186" s="9">
        <v>157</v>
      </c>
      <c r="AD186" s="3" t="str">
        <f>IFERROR(MID(VLOOKUP($B186,Seqs!$A:$B,2,0),AE186,1),"")</f>
        <v>M</v>
      </c>
      <c r="AE186" s="3">
        <v>183</v>
      </c>
      <c r="AF186" s="3" t="str">
        <f>IFERROR(MID(VLOOKUP($B186,Seqs!$A:$B,2,0),AG186,1),"")</f>
        <v>C</v>
      </c>
      <c r="AG186" s="3">
        <v>202</v>
      </c>
      <c r="AH186" s="3" t="str">
        <f>IFERROR(MID(VLOOKUP($B186,Seqs!$A:$B,2,0),AI186,1),"")</f>
        <v>E</v>
      </c>
      <c r="AI186" s="3">
        <v>204</v>
      </c>
      <c r="AJ186" s="3" t="str">
        <f>IFERROR(MID(VLOOKUP($B186,Seqs!$A:$B,2,0),AK186,1),"")</f>
        <v>D</v>
      </c>
      <c r="AK186" s="3">
        <v>209</v>
      </c>
      <c r="AL186" s="3" t="str">
        <f>IFERROR(MID(VLOOKUP($B186,Seqs!$A:$B,2,0),AM186,1),"")</f>
        <v>P</v>
      </c>
      <c r="AM186" s="3">
        <v>248</v>
      </c>
      <c r="AN186" s="3" t="str">
        <f>IFERROR(MID(VLOOKUP($B186,Seqs!$A:$B,2,0),AO186,1),"")</f>
        <v>F</v>
      </c>
      <c r="AO186" s="3">
        <v>283</v>
      </c>
      <c r="AP186" s="3" t="str">
        <f>IFERROR(MID(VLOOKUP($B186,Seqs!$A:$B,2,0),AQ186,1),"")</f>
        <v>F</v>
      </c>
      <c r="AQ186" s="3">
        <v>324</v>
      </c>
      <c r="AR186" s="3" t="str">
        <f>IFERROR(MID(VLOOKUP($B186,Seqs!$A:$B,2,0),AS186,1),"")</f>
        <v>R</v>
      </c>
      <c r="AS186" s="3">
        <v>333</v>
      </c>
      <c r="AT186" s="3" t="str">
        <f>IFERROR(MID(VLOOKUP($B186,Seqs!$A:$B,2,0),AU186,1),"")</f>
        <v>L</v>
      </c>
      <c r="AU186" s="3">
        <v>361</v>
      </c>
      <c r="AV186" s="3" t="str">
        <f>IFERROR(MID(VLOOKUP($B186,Seqs!$A:$B,2,0),AW186,1),"")</f>
        <v>S</v>
      </c>
      <c r="AW186" s="3">
        <v>362</v>
      </c>
      <c r="AX186" s="3" t="str">
        <f>IFERROR(MID(VLOOKUP($B186,Seqs!$A:$B,2,0),AY186,1),"")</f>
        <v>F</v>
      </c>
      <c r="AY186" s="3">
        <v>373</v>
      </c>
      <c r="AZ186" s="79" t="str">
        <f>VLOOKUP(B186,Classification!A:D,2,0)</f>
        <v>A</v>
      </c>
      <c r="BA186" s="96" t="str">
        <f>VLOOKUP(B186,Classification!A:D,4,0)</f>
        <v>Orexin</v>
      </c>
      <c r="BB186" s="27" t="b">
        <f t="shared" si="1396"/>
        <v>1</v>
      </c>
      <c r="BC186" s="23">
        <f t="shared" si="1369"/>
        <v>261</v>
      </c>
      <c r="BD186" s="57" t="s">
        <v>1379</v>
      </c>
      <c r="BE186" s="3" t="s">
        <v>23</v>
      </c>
      <c r="BF186" s="121" t="s">
        <v>23</v>
      </c>
      <c r="BG186" s="50" t="s">
        <v>1379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1370"/>
        <v>46</v>
      </c>
      <c r="BW186" s="73">
        <f t="shared" si="1371"/>
        <v>75</v>
      </c>
      <c r="BX186" s="74">
        <f t="shared" si="1372"/>
        <v>79</v>
      </c>
      <c r="BY186" s="73">
        <f t="shared" si="1373"/>
        <v>111</v>
      </c>
      <c r="BZ186" s="74">
        <f t="shared" si="1374"/>
        <v>115</v>
      </c>
      <c r="CA186" s="73">
        <f t="shared" si="1375"/>
        <v>151</v>
      </c>
      <c r="CB186" s="74">
        <f t="shared" si="1376"/>
        <v>157</v>
      </c>
      <c r="CC186" s="73">
        <f t="shared" si="1377"/>
        <v>202</v>
      </c>
      <c r="CD186" s="74">
        <f t="shared" si="1378"/>
        <v>209</v>
      </c>
      <c r="CE186" s="73">
        <f t="shared" si="1379"/>
        <v>283</v>
      </c>
      <c r="CF186" s="74">
        <f t="shared" si="1380"/>
        <v>333</v>
      </c>
      <c r="CG186" s="73">
        <f t="shared" si="1381"/>
        <v>362</v>
      </c>
      <c r="CH186" s="72">
        <f t="shared" si="1382"/>
        <v>74</v>
      </c>
      <c r="CI186" s="73">
        <f t="shared" si="1383"/>
        <v>78</v>
      </c>
      <c r="CJ186" s="74">
        <f t="shared" si="1384"/>
        <v>109</v>
      </c>
      <c r="CK186" s="74">
        <f t="shared" si="1385"/>
        <v>114</v>
      </c>
      <c r="CL186" s="74">
        <f t="shared" si="1386"/>
        <v>150</v>
      </c>
      <c r="CM186" s="74">
        <f t="shared" si="1387"/>
        <v>154</v>
      </c>
      <c r="CN186" s="74">
        <f t="shared" si="1388"/>
        <v>183</v>
      </c>
      <c r="CO186" s="74">
        <f t="shared" si="1389"/>
        <v>204</v>
      </c>
      <c r="CP186" s="74">
        <f t="shared" si="1390"/>
        <v>248</v>
      </c>
      <c r="CQ186" s="74">
        <f t="shared" si="1391"/>
        <v>324</v>
      </c>
      <c r="CR186" s="74">
        <f t="shared" si="1392"/>
        <v>361</v>
      </c>
      <c r="CS186" s="74">
        <f t="shared" si="1393"/>
        <v>373</v>
      </c>
      <c r="CT186" s="23">
        <f t="shared" si="1394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395"/>
        <v>ox1r_human_4ZJ8</v>
      </c>
      <c r="B187" s="3" t="s">
        <v>1175</v>
      </c>
      <c r="C187" s="3" t="s">
        <v>90</v>
      </c>
      <c r="D187" s="3" t="str">
        <f>IFERROR(MID(VLOOKUP($B187,Seqs!$A:$B,2,0),E187,1),"")</f>
        <v>E</v>
      </c>
      <c r="E187" s="3">
        <v>46</v>
      </c>
      <c r="F187" s="3" t="str">
        <f>IFERROR(MID(VLOOKUP($B187,Seqs!$A:$B,2,0),G187,1),"")</f>
        <v>N</v>
      </c>
      <c r="G187" s="3">
        <v>74</v>
      </c>
      <c r="H187" s="3" t="str">
        <f>IFERROR(MID(VLOOKUP($B187,Seqs!$A:$B,2,0),I187,1),"")</f>
        <v>H</v>
      </c>
      <c r="I187" s="23">
        <v>75</v>
      </c>
      <c r="J187" s="3" t="str">
        <f>IFERROR(MID(VLOOKUP($B187,Seqs!$A:$B,2,0),K187,1),"")</f>
        <v>R</v>
      </c>
      <c r="K187" s="23">
        <v>78</v>
      </c>
      <c r="L187" s="3" t="str">
        <f>IFERROR(MID(VLOOKUP($B187,Seqs!$A:$B,2,0),M187,1),"")</f>
        <v>T</v>
      </c>
      <c r="M187" s="3">
        <v>79</v>
      </c>
      <c r="N187" s="3" t="str">
        <f>IFERROR(MID(VLOOKUP($B187,Seqs!$A:$B,2,0),O187,1),"")</f>
        <v>T</v>
      </c>
      <c r="O187" s="3">
        <v>109</v>
      </c>
      <c r="P187" s="3" t="str">
        <f>IFERROR(MID(VLOOKUP($B187,Seqs!$A:$B,2,0),Q187,1),"")</f>
        <v>S</v>
      </c>
      <c r="Q187" s="3">
        <v>111</v>
      </c>
      <c r="R187" s="3" t="str">
        <f>IFERROR(MID(VLOOKUP($B187,Seqs!$A:$B,2,0),S187,1),"")</f>
        <v>F</v>
      </c>
      <c r="S187" s="3">
        <v>114</v>
      </c>
      <c r="T187" s="3" t="str">
        <f>IFERROR(MID(VLOOKUP($B187,Seqs!$A:$B,2,0),U187,1),"")</f>
        <v>G</v>
      </c>
      <c r="U187" s="3">
        <v>115</v>
      </c>
      <c r="V187" s="3" t="str">
        <f>IFERROR(MID(VLOOKUP($B187,Seqs!$A:$B,2,0),W187,1),"")</f>
        <v>H</v>
      </c>
      <c r="W187" s="3">
        <v>150</v>
      </c>
      <c r="X187" s="3" t="str">
        <f>IFERROR(MID(VLOOKUP($B187,Seqs!$A:$B,2,0),Y187,1),"")</f>
        <v>P</v>
      </c>
      <c r="Y187" s="3">
        <v>151</v>
      </c>
      <c r="Z187" s="3" t="str">
        <f>IFERROR(MID(VLOOKUP($B187,Seqs!$A:$B,2,0),AA187,1),"")</f>
        <v>F</v>
      </c>
      <c r="AA187" s="3">
        <v>154</v>
      </c>
      <c r="AB187" s="3" t="str">
        <f>IFERROR(MID(VLOOKUP($B187,Seqs!$A:$B,2,0),AC187,1),"")</f>
        <v>T</v>
      </c>
      <c r="AC187" s="9">
        <v>157</v>
      </c>
      <c r="AD187" s="3" t="str">
        <f>IFERROR(MID(VLOOKUP($B187,Seqs!$A:$B,2,0),AE187,1),"")</f>
        <v>M</v>
      </c>
      <c r="AE187" s="3">
        <v>183</v>
      </c>
      <c r="AF187" s="3" t="str">
        <f>IFERROR(MID(VLOOKUP($B187,Seqs!$A:$B,2,0),AG187,1),"")</f>
        <v>C</v>
      </c>
      <c r="AG187" s="3">
        <v>202</v>
      </c>
      <c r="AH187" s="3" t="str">
        <f>IFERROR(MID(VLOOKUP($B187,Seqs!$A:$B,2,0),AI187,1),"")</f>
        <v>E</v>
      </c>
      <c r="AI187" s="3">
        <v>204</v>
      </c>
      <c r="AJ187" s="3" t="str">
        <f>IFERROR(MID(VLOOKUP($B187,Seqs!$A:$B,2,0),AK187,1),"")</f>
        <v>D</v>
      </c>
      <c r="AK187" s="3">
        <v>209</v>
      </c>
      <c r="AL187" s="3" t="str">
        <f>IFERROR(MID(VLOOKUP($B187,Seqs!$A:$B,2,0),AM187,1),"")</f>
        <v>L</v>
      </c>
      <c r="AM187" s="3">
        <v>242</v>
      </c>
      <c r="AN187" s="3" t="str">
        <f>IFERROR(MID(VLOOKUP($B187,Seqs!$A:$B,2,0),AO187,1),"")</f>
        <v>K</v>
      </c>
      <c r="AO187" s="3">
        <v>288</v>
      </c>
      <c r="AP187" s="3" t="str">
        <f>IFERROR(MID(VLOOKUP($B187,Seqs!$A:$B,2,0),AQ187,1),"")</f>
        <v>F</v>
      </c>
      <c r="AQ187" s="3">
        <v>324</v>
      </c>
      <c r="AR187" s="3" t="str">
        <f>IFERROR(MID(VLOOKUP($B187,Seqs!$A:$B,2,0),AS187,1),"")</f>
        <v>R</v>
      </c>
      <c r="AS187" s="3">
        <v>333</v>
      </c>
      <c r="AT187" s="3" t="str">
        <f>IFERROR(MID(VLOOKUP($B187,Seqs!$A:$B,2,0),AU187,1),"")</f>
        <v>L</v>
      </c>
      <c r="AU187" s="3">
        <v>361</v>
      </c>
      <c r="AV187" s="3" t="str">
        <f>IFERROR(MID(VLOOKUP($B187,Seqs!$A:$B,2,0),AW187,1),"")</f>
        <v>S</v>
      </c>
      <c r="AW187" s="3">
        <v>362</v>
      </c>
      <c r="AX187" s="3" t="str">
        <f>IFERROR(MID(VLOOKUP($B187,Seqs!$A:$B,2,0),AY187,1),"")</f>
        <v>F</v>
      </c>
      <c r="AY187" s="3">
        <v>373</v>
      </c>
      <c r="AZ187" s="79" t="str">
        <f>VLOOKUP(B187,Classification!A:D,2,0)</f>
        <v>A</v>
      </c>
      <c r="BA187" s="96" t="str">
        <f>VLOOKUP(B187,Classification!A:D,4,0)</f>
        <v>Orexin</v>
      </c>
      <c r="BB187" s="27" t="b">
        <f t="shared" si="1396"/>
        <v>1</v>
      </c>
      <c r="BC187" s="23">
        <f t="shared" si="1369"/>
        <v>250</v>
      </c>
      <c r="BD187" s="4" t="s">
        <v>1383</v>
      </c>
      <c r="BE187" s="3" t="s">
        <v>1381</v>
      </c>
      <c r="BF187" s="121">
        <v>2.75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1370"/>
        <v>46</v>
      </c>
      <c r="BW187" s="73">
        <f t="shared" si="1371"/>
        <v>75</v>
      </c>
      <c r="BX187" s="74">
        <f t="shared" si="1372"/>
        <v>79</v>
      </c>
      <c r="BY187" s="73">
        <f t="shared" si="1373"/>
        <v>111</v>
      </c>
      <c r="BZ187" s="74">
        <f t="shared" si="1374"/>
        <v>115</v>
      </c>
      <c r="CA187" s="73">
        <f t="shared" si="1375"/>
        <v>151</v>
      </c>
      <c r="CB187" s="74">
        <f t="shared" si="1376"/>
        <v>157</v>
      </c>
      <c r="CC187" s="73">
        <f t="shared" si="1377"/>
        <v>202</v>
      </c>
      <c r="CD187" s="74">
        <f t="shared" si="1378"/>
        <v>209</v>
      </c>
      <c r="CE187" s="73">
        <f t="shared" si="1379"/>
        <v>288</v>
      </c>
      <c r="CF187" s="74">
        <f t="shared" si="1380"/>
        <v>333</v>
      </c>
      <c r="CG187" s="73">
        <f t="shared" si="1381"/>
        <v>362</v>
      </c>
      <c r="CH187" s="72">
        <f t="shared" si="1382"/>
        <v>74</v>
      </c>
      <c r="CI187" s="73">
        <f t="shared" si="1383"/>
        <v>78</v>
      </c>
      <c r="CJ187" s="74">
        <f t="shared" si="1384"/>
        <v>109</v>
      </c>
      <c r="CK187" s="74">
        <f t="shared" si="1385"/>
        <v>114</v>
      </c>
      <c r="CL187" s="74">
        <f t="shared" si="1386"/>
        <v>150</v>
      </c>
      <c r="CM187" s="74">
        <f t="shared" si="1387"/>
        <v>154</v>
      </c>
      <c r="CN187" s="74">
        <f t="shared" si="1388"/>
        <v>183</v>
      </c>
      <c r="CO187" s="74">
        <f t="shared" si="1389"/>
        <v>204</v>
      </c>
      <c r="CP187" s="74">
        <f t="shared" si="1390"/>
        <v>242</v>
      </c>
      <c r="CQ187" s="74">
        <f t="shared" si="1391"/>
        <v>324</v>
      </c>
      <c r="CR187" s="74">
        <f t="shared" si="1392"/>
        <v>361</v>
      </c>
      <c r="CS187" s="74">
        <f t="shared" si="1393"/>
        <v>373</v>
      </c>
      <c r="CT187" s="23">
        <f t="shared" si="1394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2"/>
    </row>
    <row r="188" spans="1:1030" x14ac:dyDescent="0.2">
      <c r="A188" s="3" t="str">
        <f t="shared" si="1395"/>
        <v>ox1r_human_4ZJC</v>
      </c>
      <c r="B188" s="3" t="s">
        <v>1175</v>
      </c>
      <c r="C188" s="3" t="s">
        <v>91</v>
      </c>
      <c r="D188" s="3" t="str">
        <f>IFERROR(MID(VLOOKUP($B188,Seqs!$A:$B,2,0),E188,1),"")</f>
        <v>E</v>
      </c>
      <c r="E188" s="3">
        <v>46</v>
      </c>
      <c r="F188" s="3" t="str">
        <f>IFERROR(MID(VLOOKUP($B188,Seqs!$A:$B,2,0),G188,1),"")</f>
        <v>N</v>
      </c>
      <c r="G188" s="3">
        <v>74</v>
      </c>
      <c r="H188" s="3" t="str">
        <f>IFERROR(MID(VLOOKUP($B188,Seqs!$A:$B,2,0),I188,1),"")</f>
        <v>H</v>
      </c>
      <c r="I188" s="23">
        <v>75</v>
      </c>
      <c r="J188" s="3" t="str">
        <f>IFERROR(MID(VLOOKUP($B188,Seqs!$A:$B,2,0),K188,1),"")</f>
        <v>R</v>
      </c>
      <c r="K188" s="23">
        <v>78</v>
      </c>
      <c r="L188" s="3" t="str">
        <f>IFERROR(MID(VLOOKUP($B188,Seqs!$A:$B,2,0),M188,1),"")</f>
        <v>T</v>
      </c>
      <c r="M188" s="3">
        <v>79</v>
      </c>
      <c r="N188" s="3" t="str">
        <f>IFERROR(MID(VLOOKUP($B188,Seqs!$A:$B,2,0),O188,1),"")</f>
        <v>T</v>
      </c>
      <c r="O188" s="3">
        <v>109</v>
      </c>
      <c r="P188" s="3" t="str">
        <f>IFERROR(MID(VLOOKUP($B188,Seqs!$A:$B,2,0),Q188,1),"")</f>
        <v>S</v>
      </c>
      <c r="Q188" s="3">
        <v>111</v>
      </c>
      <c r="R188" s="3" t="str">
        <f>IFERROR(MID(VLOOKUP($B188,Seqs!$A:$B,2,0),S188,1),"")</f>
        <v>F</v>
      </c>
      <c r="S188" s="3">
        <v>114</v>
      </c>
      <c r="T188" s="3" t="str">
        <f>IFERROR(MID(VLOOKUP($B188,Seqs!$A:$B,2,0),U188,1),"")</f>
        <v>G</v>
      </c>
      <c r="U188" s="3">
        <v>115</v>
      </c>
      <c r="V188" s="3" t="str">
        <f>IFERROR(MID(VLOOKUP($B188,Seqs!$A:$B,2,0),W188,1),"")</f>
        <v>H</v>
      </c>
      <c r="W188" s="3">
        <v>150</v>
      </c>
      <c r="X188" s="3" t="str">
        <f>IFERROR(MID(VLOOKUP($B188,Seqs!$A:$B,2,0),Y188,1),"")</f>
        <v>P</v>
      </c>
      <c r="Y188" s="3">
        <v>151</v>
      </c>
      <c r="Z188" s="3" t="str">
        <f>IFERROR(MID(VLOOKUP($B188,Seqs!$A:$B,2,0),AA188,1),"")</f>
        <v>F</v>
      </c>
      <c r="AA188" s="3">
        <v>154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M</v>
      </c>
      <c r="AE188" s="3">
        <v>183</v>
      </c>
      <c r="AF188" s="3" t="str">
        <f>IFERROR(MID(VLOOKUP($B188,Seqs!$A:$B,2,0),AG188,1),"")</f>
        <v>C</v>
      </c>
      <c r="AG188" s="3">
        <v>202</v>
      </c>
      <c r="AH188" s="3" t="str">
        <f>IFERROR(MID(VLOOKUP($B188,Seqs!$A:$B,2,0),AI188,1),"")</f>
        <v>E</v>
      </c>
      <c r="AI188" s="3">
        <v>204</v>
      </c>
      <c r="AJ188" s="3" t="str">
        <f>IFERROR(MID(VLOOKUP($B188,Seqs!$A:$B,2,0),AK188,1),"")</f>
        <v>D</v>
      </c>
      <c r="AK188" s="3">
        <v>209</v>
      </c>
      <c r="AL188" s="3" t="str">
        <f>IFERROR(MID(VLOOKUP($B188,Seqs!$A:$B,2,0),AM188,1),"")</f>
        <v>L</v>
      </c>
      <c r="AM188" s="3">
        <v>242</v>
      </c>
      <c r="AN188" s="3" t="str">
        <f>IFERROR(MID(VLOOKUP($B188,Seqs!$A:$B,2,0),AO188,1),"")</f>
        <v>K</v>
      </c>
      <c r="AO188" s="3">
        <v>288</v>
      </c>
      <c r="AP188" s="3" t="str">
        <f>IFERROR(MID(VLOOKUP($B188,Seqs!$A:$B,2,0),AQ188,1),"")</f>
        <v>F</v>
      </c>
      <c r="AQ188" s="3">
        <v>324</v>
      </c>
      <c r="AR188" s="3" t="str">
        <f>IFERROR(MID(VLOOKUP($B188,Seqs!$A:$B,2,0),AS188,1),"")</f>
        <v>R</v>
      </c>
      <c r="AS188" s="3">
        <v>333</v>
      </c>
      <c r="AT188" s="3" t="str">
        <f>IFERROR(MID(VLOOKUP($B188,Seqs!$A:$B,2,0),AU188,1),"")</f>
        <v>L</v>
      </c>
      <c r="AU188" s="3">
        <v>361</v>
      </c>
      <c r="AV188" s="3" t="str">
        <f>IFERROR(MID(VLOOKUP($B188,Seqs!$A:$B,2,0),AW188,1),"")</f>
        <v>S</v>
      </c>
      <c r="AW188" s="3">
        <v>362</v>
      </c>
      <c r="AX188" s="3" t="str">
        <f>IFERROR(MID(VLOOKUP($B188,Seqs!$A:$B,2,0),AY188,1),"")</f>
        <v>F</v>
      </c>
      <c r="AY188" s="3">
        <v>373</v>
      </c>
      <c r="AZ188" s="79" t="str">
        <f>VLOOKUP(B188,Classification!A:D,2,0)</f>
        <v>A</v>
      </c>
      <c r="BA188" s="96" t="str">
        <f>VLOOKUP(B188,Classification!A:D,4,0)</f>
        <v>Orexin</v>
      </c>
      <c r="BB188" s="27" t="b">
        <f t="shared" si="1396"/>
        <v>1</v>
      </c>
      <c r="BC188" s="23">
        <f t="shared" si="1369"/>
        <v>250</v>
      </c>
      <c r="BD188" s="2" t="s">
        <v>23</v>
      </c>
      <c r="BE188" s="3" t="s">
        <v>1381</v>
      </c>
      <c r="BF188" s="121">
        <v>2.83</v>
      </c>
      <c r="BG188" s="50" t="s">
        <v>1384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370"/>
        <v>46</v>
      </c>
      <c r="BW188" s="73">
        <f t="shared" si="1371"/>
        <v>75</v>
      </c>
      <c r="BX188" s="74">
        <f t="shared" si="1372"/>
        <v>79</v>
      </c>
      <c r="BY188" s="73">
        <f t="shared" si="1373"/>
        <v>111</v>
      </c>
      <c r="BZ188" s="74">
        <f t="shared" si="1374"/>
        <v>115</v>
      </c>
      <c r="CA188" s="73">
        <f t="shared" si="1375"/>
        <v>151</v>
      </c>
      <c r="CB188" s="74">
        <f t="shared" si="1376"/>
        <v>157</v>
      </c>
      <c r="CC188" s="73">
        <f t="shared" si="1377"/>
        <v>202</v>
      </c>
      <c r="CD188" s="74">
        <f t="shared" si="1378"/>
        <v>209</v>
      </c>
      <c r="CE188" s="73">
        <f t="shared" si="1379"/>
        <v>288</v>
      </c>
      <c r="CF188" s="74">
        <f t="shared" si="1380"/>
        <v>333</v>
      </c>
      <c r="CG188" s="73">
        <f t="shared" si="1381"/>
        <v>362</v>
      </c>
      <c r="CH188" s="72">
        <f t="shared" si="1382"/>
        <v>74</v>
      </c>
      <c r="CI188" s="73">
        <f t="shared" si="1383"/>
        <v>78</v>
      </c>
      <c r="CJ188" s="74">
        <f t="shared" si="1384"/>
        <v>109</v>
      </c>
      <c r="CK188" s="74">
        <f t="shared" si="1385"/>
        <v>114</v>
      </c>
      <c r="CL188" s="74">
        <f t="shared" si="1386"/>
        <v>150</v>
      </c>
      <c r="CM188" s="74">
        <f t="shared" si="1387"/>
        <v>154</v>
      </c>
      <c r="CN188" s="74">
        <f t="shared" si="1388"/>
        <v>183</v>
      </c>
      <c r="CO188" s="74">
        <f t="shared" si="1389"/>
        <v>204</v>
      </c>
      <c r="CP188" s="74">
        <f t="shared" si="1390"/>
        <v>242</v>
      </c>
      <c r="CQ188" s="74">
        <f t="shared" si="1391"/>
        <v>324</v>
      </c>
      <c r="CR188" s="74">
        <f t="shared" si="1392"/>
        <v>361</v>
      </c>
      <c r="CS188" s="74">
        <f t="shared" si="1393"/>
        <v>373</v>
      </c>
      <c r="CT188" s="23">
        <f t="shared" si="1394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2"/>
    </row>
    <row r="189" spans="1:1030" x14ac:dyDescent="0.2">
      <c r="A189" s="3" t="str">
        <f t="shared" si="1395"/>
        <v>ox2r_human__wt</v>
      </c>
      <c r="B189" s="3" t="s">
        <v>1176</v>
      </c>
      <c r="C189" s="3" t="s">
        <v>100</v>
      </c>
      <c r="D189" s="3" t="str">
        <f>IFERROR(MID(VLOOKUP($B189,Seqs!$A:$B,2,0),E189,1),"")</f>
        <v>Y</v>
      </c>
      <c r="E189" s="3">
        <v>53</v>
      </c>
      <c r="F189" s="3" t="str">
        <f>IFERROR(MID(VLOOKUP($B189,Seqs!$A:$B,2,0),G189,1),"")</f>
        <v>N</v>
      </c>
      <c r="G189" s="3">
        <v>82</v>
      </c>
      <c r="H189" s="3" t="str">
        <f>IFERROR(MID(VLOOKUP($B189,Seqs!$A:$B,2,0),I189,1),"")</f>
        <v>H</v>
      </c>
      <c r="I189" s="23">
        <v>83</v>
      </c>
      <c r="J189" s="3" t="str">
        <f>IFERROR(MID(VLOOKUP($B189,Seqs!$A:$B,2,0),K189,1),"")</f>
        <v>R</v>
      </c>
      <c r="K189" s="23">
        <v>86</v>
      </c>
      <c r="L189" s="3" t="str">
        <f>IFERROR(MID(VLOOKUP($B189,Seqs!$A:$B,2,0),M189,1),"")</f>
        <v>T</v>
      </c>
      <c r="M189" s="3">
        <v>87</v>
      </c>
      <c r="N189" s="3" t="str">
        <f>IFERROR(MID(VLOOKUP($B189,Seqs!$A:$B,2,0),O189,1),"")</f>
        <v>E</v>
      </c>
      <c r="O189" s="107">
        <v>118</v>
      </c>
      <c r="P189" s="3" t="str">
        <f>IFERROR(MID(VLOOKUP($B189,Seqs!$A:$B,2,0),Q189,1),"")</f>
        <v>T</v>
      </c>
      <c r="Q189" s="3">
        <v>119</v>
      </c>
      <c r="R189" s="3" t="str">
        <f>IFERROR(MID(VLOOKUP($B189,Seqs!$A:$B,2,0),S189,1),"")</f>
        <v>F</v>
      </c>
      <c r="S189" s="3">
        <v>122</v>
      </c>
      <c r="T189" s="3" t="str">
        <f>IFERROR(MID(VLOOKUP($B189,Seqs!$A:$B,2,0),U189,1),"")</f>
        <v>G</v>
      </c>
      <c r="U189" s="3">
        <v>123</v>
      </c>
      <c r="V189" s="3" t="str">
        <f>IFERROR(MID(VLOOKUP($B189,Seqs!$A:$B,2,0),W189,1),"")</f>
        <v>H</v>
      </c>
      <c r="W189" s="3">
        <v>158</v>
      </c>
      <c r="X189" s="3" t="str">
        <f>IFERROR(MID(VLOOKUP($B189,Seqs!$A:$B,2,0),Y189,1),"")</f>
        <v>P</v>
      </c>
      <c r="Y189" s="3">
        <v>159</v>
      </c>
      <c r="Z189" s="3" t="str">
        <f>IFERROR(MID(VLOOKUP($B189,Seqs!$A:$B,2,0),AA189,1),"")</f>
        <v>F</v>
      </c>
      <c r="AA189" s="75">
        <v>162</v>
      </c>
      <c r="AB189" s="3" t="str">
        <f>IFERROR(MID(VLOOKUP($B189,Seqs!$A:$B,2,0),AC189,1),"")</f>
        <v>T</v>
      </c>
      <c r="AC189" s="9">
        <v>165</v>
      </c>
      <c r="AD189" s="3" t="str">
        <f>IFERROR(MID(VLOOKUP($B189,Seqs!$A:$B,2,0),AE189,1),"")</f>
        <v>M</v>
      </c>
      <c r="AE189" s="3">
        <v>191</v>
      </c>
      <c r="AF189" s="3" t="str">
        <f>IFERROR(MID(VLOOKUP($B189,Seqs!$A:$B,2,0),AG189,1),"")</f>
        <v>C</v>
      </c>
      <c r="AG189" s="3">
        <v>210</v>
      </c>
      <c r="AH189" s="3" t="str">
        <f>IFERROR(MID(VLOOKUP($B189,Seqs!$A:$B,2,0),AI189,1),"")</f>
        <v>E</v>
      </c>
      <c r="AI189" s="3">
        <v>212</v>
      </c>
      <c r="AJ189" s="3" t="str">
        <f>IFERROR(MID(VLOOKUP($B189,Seqs!$A:$B,2,0),AK189,1),"")</f>
        <v>I</v>
      </c>
      <c r="AK189" s="107">
        <v>218</v>
      </c>
      <c r="AL189" s="3" t="str">
        <f>IFERROR(MID(VLOOKUP($B189,Seqs!$A:$B,2,0),AM189,1),"")</f>
        <v>P</v>
      </c>
      <c r="AM189" s="3">
        <v>256</v>
      </c>
      <c r="AN189" s="3" t="str">
        <f>IFERROR(MID(VLOOKUP($B189,Seqs!$A:$B,2,0),AO189,1),"")</f>
        <v>V</v>
      </c>
      <c r="AO189" s="3">
        <v>289</v>
      </c>
      <c r="AP189" s="3" t="str">
        <f>IFERROR(MID(VLOOKUP($B189,Seqs!$A:$B,2,0),AQ189,1),"")</f>
        <v>F</v>
      </c>
      <c r="AQ189" s="3">
        <v>330</v>
      </c>
      <c r="AR189" s="3" t="str">
        <f>IFERROR(MID(VLOOKUP($B189,Seqs!$A:$B,2,0),AS189,1),"")</f>
        <v>D</v>
      </c>
      <c r="AS189" s="107">
        <v>338</v>
      </c>
      <c r="AT189" s="3" t="str">
        <f>IFERROR(MID(VLOOKUP($B189,Seqs!$A:$B,2,0),AU189,1),"")</f>
        <v>L</v>
      </c>
      <c r="AU189" s="3">
        <v>367</v>
      </c>
      <c r="AV189" s="3" t="str">
        <f>IFERROR(MID(VLOOKUP($B189,Seqs!$A:$B,2,0),AW189,1),"")</f>
        <v>S</v>
      </c>
      <c r="AW189" s="3">
        <v>368</v>
      </c>
      <c r="AX189" s="3" t="str">
        <f>IFERROR(MID(VLOOKUP($B189,Seqs!$A:$B,2,0),AY189,1),"")</f>
        <v>F</v>
      </c>
      <c r="AY189" s="3">
        <v>379</v>
      </c>
      <c r="AZ189" s="79" t="str">
        <f>VLOOKUP(B189,Classification!A:D,2,0)</f>
        <v>A</v>
      </c>
      <c r="BA189" s="96" t="str">
        <f>VLOOKUP(B189,Classification!A:D,4,0)</f>
        <v>Orexin</v>
      </c>
      <c r="BB189" s="27" t="b">
        <f t="shared" si="1396"/>
        <v>1</v>
      </c>
      <c r="BC189" s="23">
        <f t="shared" si="1369"/>
        <v>263</v>
      </c>
      <c r="BD189" s="57" t="s">
        <v>1379</v>
      </c>
      <c r="BE189" s="3" t="s">
        <v>23</v>
      </c>
      <c r="BF189" s="121" t="s">
        <v>23</v>
      </c>
      <c r="BG189" s="50" t="s">
        <v>1379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1370"/>
        <v>53</v>
      </c>
      <c r="BW189" s="73">
        <f t="shared" si="1371"/>
        <v>83</v>
      </c>
      <c r="BX189" s="74">
        <f t="shared" si="1372"/>
        <v>87</v>
      </c>
      <c r="BY189" s="73">
        <f t="shared" si="1373"/>
        <v>119</v>
      </c>
      <c r="BZ189" s="74">
        <f t="shared" si="1374"/>
        <v>123</v>
      </c>
      <c r="CA189" s="73">
        <f t="shared" si="1375"/>
        <v>159</v>
      </c>
      <c r="CB189" s="74">
        <f t="shared" si="1376"/>
        <v>165</v>
      </c>
      <c r="CC189" s="73">
        <f t="shared" si="1377"/>
        <v>210</v>
      </c>
      <c r="CD189" s="74">
        <f t="shared" si="1378"/>
        <v>218</v>
      </c>
      <c r="CE189" s="73">
        <f t="shared" si="1379"/>
        <v>289</v>
      </c>
      <c r="CF189" s="74">
        <f t="shared" si="1380"/>
        <v>338</v>
      </c>
      <c r="CG189" s="73">
        <f t="shared" si="1381"/>
        <v>368</v>
      </c>
      <c r="CH189" s="72">
        <f t="shared" si="1382"/>
        <v>82</v>
      </c>
      <c r="CI189" s="73">
        <f t="shared" si="1383"/>
        <v>86</v>
      </c>
      <c r="CJ189" s="74">
        <f t="shared" si="1384"/>
        <v>118</v>
      </c>
      <c r="CK189" s="74">
        <f t="shared" si="1385"/>
        <v>122</v>
      </c>
      <c r="CL189" s="74">
        <f t="shared" si="1386"/>
        <v>158</v>
      </c>
      <c r="CM189" s="74">
        <f t="shared" si="1387"/>
        <v>162</v>
      </c>
      <c r="CN189" s="74">
        <f t="shared" si="1388"/>
        <v>191</v>
      </c>
      <c r="CO189" s="74">
        <f t="shared" si="1389"/>
        <v>212</v>
      </c>
      <c r="CP189" s="74">
        <f t="shared" si="1390"/>
        <v>256</v>
      </c>
      <c r="CQ189" s="74">
        <f t="shared" si="1391"/>
        <v>330</v>
      </c>
      <c r="CR189" s="74">
        <f t="shared" si="1392"/>
        <v>367</v>
      </c>
      <c r="CS189" s="74">
        <f t="shared" si="1393"/>
        <v>379</v>
      </c>
      <c r="CT189" s="23">
        <f t="shared" si="1394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1395"/>
        <v>ox2r_human_4S0V</v>
      </c>
      <c r="B190" s="3" t="s">
        <v>1176</v>
      </c>
      <c r="C190" s="3" t="s">
        <v>92</v>
      </c>
      <c r="D190" s="3" t="str">
        <f>IFERROR(MID(VLOOKUP($B190,Seqs!$A:$B,2,0),E190,1),"")</f>
        <v>Y</v>
      </c>
      <c r="E190" s="3">
        <v>53</v>
      </c>
      <c r="F190" s="3" t="str">
        <f>IFERROR(MID(VLOOKUP($B190,Seqs!$A:$B,2,0),G190,1),"")</f>
        <v>N</v>
      </c>
      <c r="G190" s="3">
        <v>82</v>
      </c>
      <c r="H190" s="3" t="str">
        <f>IFERROR(MID(VLOOKUP($B190,Seqs!$A:$B,2,0),I190,1),"")</f>
        <v>H</v>
      </c>
      <c r="I190" s="23">
        <v>83</v>
      </c>
      <c r="J190" s="3" t="str">
        <f>IFERROR(MID(VLOOKUP($B190,Seqs!$A:$B,2,0),K190,1),"")</f>
        <v>R</v>
      </c>
      <c r="K190" s="23">
        <v>86</v>
      </c>
      <c r="L190" s="3" t="str">
        <f>IFERROR(MID(VLOOKUP($B190,Seqs!$A:$B,2,0),M190,1),"")</f>
        <v>T</v>
      </c>
      <c r="M190" s="3">
        <v>87</v>
      </c>
      <c r="N190" s="3" t="str">
        <f>IFERROR(MID(VLOOKUP($B190,Seqs!$A:$B,2,0),O190,1),"")</f>
        <v>E</v>
      </c>
      <c r="O190" s="107">
        <v>118</v>
      </c>
      <c r="P190" s="3" t="str">
        <f>IFERROR(MID(VLOOKUP($B190,Seqs!$A:$B,2,0),Q190,1),"")</f>
        <v>T</v>
      </c>
      <c r="Q190" s="3">
        <v>119</v>
      </c>
      <c r="R190" s="3" t="str">
        <f>IFERROR(MID(VLOOKUP($B190,Seqs!$A:$B,2,0),S190,1),"")</f>
        <v>F</v>
      </c>
      <c r="S190" s="3">
        <v>122</v>
      </c>
      <c r="T190" s="3" t="str">
        <f>IFERROR(MID(VLOOKUP($B190,Seqs!$A:$B,2,0),U190,1),"")</f>
        <v>G</v>
      </c>
      <c r="U190" s="3">
        <v>123</v>
      </c>
      <c r="V190" s="3" t="str">
        <f>IFERROR(MID(VLOOKUP($B190,Seqs!$A:$B,2,0),W190,1),"")</f>
        <v>H</v>
      </c>
      <c r="W190" s="3">
        <v>158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165</v>
      </c>
      <c r="AD190" s="3" t="str">
        <f>IFERROR(MID(VLOOKUP($B190,Seqs!$A:$B,2,0),AE190,1),"")</f>
        <v>M</v>
      </c>
      <c r="AE190" s="3">
        <v>191</v>
      </c>
      <c r="AF190" s="3" t="str">
        <f>IFERROR(MID(VLOOKUP($B190,Seqs!$A:$B,2,0),AG190,1),"")</f>
        <v>C</v>
      </c>
      <c r="AG190" s="3">
        <v>210</v>
      </c>
      <c r="AH190" s="3" t="str">
        <f>IFERROR(MID(VLOOKUP($B190,Seqs!$A:$B,2,0),AI190,1),"")</f>
        <v>E</v>
      </c>
      <c r="AI190" s="3">
        <v>212</v>
      </c>
      <c r="AJ190" s="3" t="str">
        <f>IFERROR(MID(VLOOKUP($B190,Seqs!$A:$B,2,0),AK190,1),"")</f>
        <v>I</v>
      </c>
      <c r="AK190" s="107">
        <v>218</v>
      </c>
      <c r="AL190" s="3" t="str">
        <f>IFERROR(MID(VLOOKUP($B190,Seqs!$A:$B,2,0),AM190,1),"")</f>
        <v>C</v>
      </c>
      <c r="AM190" s="107">
        <v>252</v>
      </c>
      <c r="AN190" s="3" t="str">
        <f>IFERROR(MID(VLOOKUP($B190,Seqs!$A:$B,2,0),AO190,1),"")</f>
        <v>K</v>
      </c>
      <c r="AO190" s="3">
        <v>294</v>
      </c>
      <c r="AP190" s="3" t="str">
        <f>IFERROR(MID(VLOOKUP($B190,Seqs!$A:$B,2,0),AQ190,1),"")</f>
        <v>F</v>
      </c>
      <c r="AQ190" s="3">
        <v>330</v>
      </c>
      <c r="AR190" s="3" t="str">
        <f>IFERROR(MID(VLOOKUP($B190,Seqs!$A:$B,2,0),AS190,1),"")</f>
        <v>R</v>
      </c>
      <c r="AS190" s="3">
        <v>339</v>
      </c>
      <c r="AT190" s="3" t="str">
        <f>IFERROR(MID(VLOOKUP($B190,Seqs!$A:$B,2,0),AU190,1),"")</f>
        <v>L</v>
      </c>
      <c r="AU190" s="3">
        <v>367</v>
      </c>
      <c r="AV190" s="3" t="str">
        <f>IFERROR(MID(VLOOKUP($B190,Seqs!$A:$B,2,0),AW190,1),"")</f>
        <v>S</v>
      </c>
      <c r="AW190" s="3">
        <v>368</v>
      </c>
      <c r="AX190" s="3" t="str">
        <f>IFERROR(MID(VLOOKUP($B190,Seqs!$A:$B,2,0),AY190,1),"")</f>
        <v>F</v>
      </c>
      <c r="AY190" s="3">
        <v>379</v>
      </c>
      <c r="AZ190" s="79" t="str">
        <f>VLOOKUP(B190,Classification!A:D,2,0)</f>
        <v>A</v>
      </c>
      <c r="BA190" s="96" t="str">
        <f>VLOOKUP(B190,Classification!A:D,4,0)</f>
        <v>Orexin</v>
      </c>
      <c r="BB190" s="27" t="b">
        <f t="shared" si="1396"/>
        <v>1</v>
      </c>
      <c r="BC190" s="23">
        <f t="shared" si="1369"/>
        <v>250</v>
      </c>
      <c r="BD190" s="2" t="s">
        <v>23</v>
      </c>
      <c r="BE190" s="3" t="s">
        <v>1381</v>
      </c>
      <c r="BF190" s="121">
        <v>2.5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1370"/>
        <v>53</v>
      </c>
      <c r="BW190" s="73">
        <f t="shared" si="1371"/>
        <v>83</v>
      </c>
      <c r="BX190" s="74">
        <f t="shared" si="1372"/>
        <v>87</v>
      </c>
      <c r="BY190" s="73">
        <f t="shared" si="1373"/>
        <v>119</v>
      </c>
      <c r="BZ190" s="74">
        <f t="shared" si="1374"/>
        <v>123</v>
      </c>
      <c r="CA190" s="73" t="str">
        <f t="shared" si="1375"/>
        <v>-</v>
      </c>
      <c r="CB190" s="74">
        <f t="shared" si="1376"/>
        <v>165</v>
      </c>
      <c r="CC190" s="73">
        <f t="shared" si="1377"/>
        <v>210</v>
      </c>
      <c r="CD190" s="74">
        <f t="shared" si="1378"/>
        <v>218</v>
      </c>
      <c r="CE190" s="73">
        <f t="shared" si="1379"/>
        <v>294</v>
      </c>
      <c r="CF190" s="74">
        <f t="shared" si="1380"/>
        <v>339</v>
      </c>
      <c r="CG190" s="73">
        <f t="shared" si="1381"/>
        <v>368</v>
      </c>
      <c r="CH190" s="72">
        <f t="shared" si="1382"/>
        <v>82</v>
      </c>
      <c r="CI190" s="73">
        <f t="shared" si="1383"/>
        <v>86</v>
      </c>
      <c r="CJ190" s="74">
        <f t="shared" si="1384"/>
        <v>118</v>
      </c>
      <c r="CK190" s="74">
        <f t="shared" si="1385"/>
        <v>122</v>
      </c>
      <c r="CL190" s="74">
        <f t="shared" si="1386"/>
        <v>158</v>
      </c>
      <c r="CM190" s="74" t="str">
        <f t="shared" si="1387"/>
        <v>-</v>
      </c>
      <c r="CN190" s="74">
        <f t="shared" si="1388"/>
        <v>191</v>
      </c>
      <c r="CO190" s="74">
        <f t="shared" si="1389"/>
        <v>212</v>
      </c>
      <c r="CP190" s="74">
        <f t="shared" si="1390"/>
        <v>252</v>
      </c>
      <c r="CQ190" s="74">
        <f t="shared" si="1391"/>
        <v>330</v>
      </c>
      <c r="CR190" s="74">
        <f t="shared" si="1392"/>
        <v>367</v>
      </c>
      <c r="CS190" s="74">
        <f t="shared" si="1393"/>
        <v>379</v>
      </c>
      <c r="CT190" s="23">
        <f t="shared" si="1394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s="12" customFormat="1" x14ac:dyDescent="0.2">
      <c r="A191" s="9" t="str">
        <f t="shared" ref="A191" si="1509">CONCATENATE(B191,"_",C191)</f>
        <v>ox2r_human_5WQC</v>
      </c>
      <c r="B191" s="9" t="s">
        <v>1176</v>
      </c>
      <c r="C191" s="9" t="s">
        <v>1459</v>
      </c>
      <c r="D191" s="9" t="str">
        <f>IFERROR(MID(VLOOKUP($B191,Seqs!$A:$B,2,0),E191,1),"")</f>
        <v>Y</v>
      </c>
      <c r="E191" s="9">
        <v>53</v>
      </c>
      <c r="F191" s="9" t="str">
        <f>IFERROR(MID(VLOOKUP($B191,Seqs!$A:$B,2,0),G191,1),"")</f>
        <v>N</v>
      </c>
      <c r="G191" s="9">
        <v>82</v>
      </c>
      <c r="H191" s="9" t="str">
        <f>IFERROR(MID(VLOOKUP($B191,Seqs!$A:$B,2,0),I191,1),"")</f>
        <v>H</v>
      </c>
      <c r="I191" s="111">
        <v>83</v>
      </c>
      <c r="J191" s="9" t="str">
        <f>IFERROR(MID(VLOOKUP($B191,Seqs!$A:$B,2,0),K191,1),"")</f>
        <v>R</v>
      </c>
      <c r="K191" s="111">
        <v>86</v>
      </c>
      <c r="L191" s="9" t="str">
        <f>IFERROR(MID(VLOOKUP($B191,Seqs!$A:$B,2,0),M191,1),"")</f>
        <v>T</v>
      </c>
      <c r="M191" s="9">
        <v>87</v>
      </c>
      <c r="N191" s="9" t="str">
        <f>IFERROR(MID(VLOOKUP($B191,Seqs!$A:$B,2,0),O191,1),"")</f>
        <v>E</v>
      </c>
      <c r="O191" s="9">
        <v>118</v>
      </c>
      <c r="P191" s="9" t="str">
        <f>IFERROR(MID(VLOOKUP($B191,Seqs!$A:$B,2,0),Q191,1),"")</f>
        <v>T</v>
      </c>
      <c r="Q191" s="9">
        <v>119</v>
      </c>
      <c r="R191" s="9" t="str">
        <f>IFERROR(MID(VLOOKUP($B191,Seqs!$A:$B,2,0),S191,1),"")</f>
        <v>F</v>
      </c>
      <c r="S191" s="9">
        <v>122</v>
      </c>
      <c r="T191" s="9" t="str">
        <f>IFERROR(MID(VLOOKUP($B191,Seqs!$A:$B,2,0),U191,1),"")</f>
        <v>G</v>
      </c>
      <c r="U191" s="9">
        <v>123</v>
      </c>
      <c r="V191" s="9" t="str">
        <f>IFERROR(MID(VLOOKUP($B191,Seqs!$A:$B,2,0),W191,1),"")</f>
        <v>H</v>
      </c>
      <c r="W191" s="9">
        <v>158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T</v>
      </c>
      <c r="AC191" s="9">
        <v>165</v>
      </c>
      <c r="AD191" s="9" t="str">
        <f>IFERROR(MID(VLOOKUP($B191,Seqs!$A:$B,2,0),AE191,1),"")</f>
        <v>M</v>
      </c>
      <c r="AE191" s="9">
        <v>191</v>
      </c>
      <c r="AF191" s="9" t="str">
        <f>IFERROR(MID(VLOOKUP($B191,Seqs!$A:$B,2,0),AG191,1),"")</f>
        <v>C</v>
      </c>
      <c r="AG191" s="9">
        <v>210</v>
      </c>
      <c r="AH191" s="9" t="str">
        <f>IFERROR(MID(VLOOKUP($B191,Seqs!$A:$B,2,0),AI191,1),"")</f>
        <v>E</v>
      </c>
      <c r="AI191" s="9">
        <v>212</v>
      </c>
      <c r="AJ191" s="9" t="str">
        <f>IFERROR(MID(VLOOKUP($B191,Seqs!$A:$B,2,0),AK191,1),"")</f>
        <v>I</v>
      </c>
      <c r="AK191" s="9">
        <v>218</v>
      </c>
      <c r="AL191" s="9" t="str">
        <f>IFERROR(MID(VLOOKUP($B191,Seqs!$A:$B,2,0),AM191,1),"")</f>
        <v>C</v>
      </c>
      <c r="AM191" s="9">
        <v>252</v>
      </c>
      <c r="AN191" s="9" t="str">
        <f>IFERROR(MID(VLOOKUP($B191,Seqs!$A:$B,2,0),AO191,1),"")</f>
        <v>K</v>
      </c>
      <c r="AO191" s="9">
        <v>294</v>
      </c>
      <c r="AP191" s="9" t="str">
        <f>IFERROR(MID(VLOOKUP($B191,Seqs!$A:$B,2,0),AQ191,1),"")</f>
        <v>F</v>
      </c>
      <c r="AQ191" s="9">
        <v>330</v>
      </c>
      <c r="AR191" s="9" t="str">
        <f>IFERROR(MID(VLOOKUP($B191,Seqs!$A:$B,2,0),AS191,1),"")</f>
        <v>D</v>
      </c>
      <c r="AS191" s="9">
        <v>338</v>
      </c>
      <c r="AT191" s="9" t="str">
        <f>IFERROR(MID(VLOOKUP($B191,Seqs!$A:$B,2,0),AU191,1),"")</f>
        <v>L</v>
      </c>
      <c r="AU191" s="9">
        <v>367</v>
      </c>
      <c r="AV191" s="9" t="str">
        <f>IFERROR(MID(VLOOKUP($B191,Seqs!$A:$B,2,0),AW191,1),"")</f>
        <v>S</v>
      </c>
      <c r="AW191" s="9">
        <v>368</v>
      </c>
      <c r="AX191" s="9" t="str">
        <f>IFERROR(MID(VLOOKUP($B191,Seqs!$A:$B,2,0),AY191,1),"")</f>
        <v>C</v>
      </c>
      <c r="AY191" s="9">
        <v>383</v>
      </c>
      <c r="AZ191" s="112" t="str">
        <f>VLOOKUP(B191,Classification!A:D,2,0)</f>
        <v>A</v>
      </c>
      <c r="BA191" s="100" t="str">
        <f>VLOOKUP(B191,Classification!A:D,4,0)</f>
        <v>Orexin</v>
      </c>
      <c r="BB191" s="37" t="b">
        <f t="shared" ref="BB191" si="151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1">
        <f t="shared" ref="BC191" si="1511">_xlfn.AGGREGATE(9,6,CH191:CS191)-_xlfn.AGGREGATE(9,6,BV191:CG191)+12</f>
        <v>255</v>
      </c>
      <c r="BD191" s="41" t="s">
        <v>23</v>
      </c>
      <c r="BE191" s="9" t="s">
        <v>1381</v>
      </c>
      <c r="BF191" s="122">
        <v>1.96</v>
      </c>
      <c r="BG191" s="52" t="s">
        <v>1</v>
      </c>
      <c r="BH191" s="52" t="s">
        <v>1</v>
      </c>
      <c r="BJ191" s="113" t="s">
        <v>1293</v>
      </c>
      <c r="BK191" s="114" t="s">
        <v>1293</v>
      </c>
      <c r="BL191" s="114" t="s">
        <v>1293</v>
      </c>
      <c r="BM191" s="114" t="s">
        <v>1293</v>
      </c>
      <c r="BN191" s="114" t="s">
        <v>1293</v>
      </c>
      <c r="BO191" s="114" t="s">
        <v>1293</v>
      </c>
      <c r="BP191" s="114" t="s">
        <v>1293</v>
      </c>
      <c r="BQ191" s="114" t="s">
        <v>1293</v>
      </c>
      <c r="BR191" s="114" t="s">
        <v>1293</v>
      </c>
      <c r="BS191" s="114" t="s">
        <v>1293</v>
      </c>
      <c r="BT191" s="114" t="s">
        <v>1293</v>
      </c>
      <c r="BU191" s="114" t="s">
        <v>1293</v>
      </c>
      <c r="BV191" s="113">
        <f t="shared" ref="BV191" si="1512">E191</f>
        <v>53</v>
      </c>
      <c r="BW191" s="115">
        <f t="shared" ref="BW191" si="1513">I191</f>
        <v>83</v>
      </c>
      <c r="BX191" s="116">
        <f t="shared" ref="BX191" si="1514">M191</f>
        <v>87</v>
      </c>
      <c r="BY191" s="115">
        <f t="shared" ref="BY191" si="1515">Q191</f>
        <v>119</v>
      </c>
      <c r="BZ191" s="116">
        <f t="shared" ref="BZ191" si="1516">U191</f>
        <v>123</v>
      </c>
      <c r="CA191" s="115" t="str">
        <f t="shared" ref="CA191" si="1517">Y191</f>
        <v>-</v>
      </c>
      <c r="CB191" s="116">
        <f t="shared" ref="CB191" si="1518">AC191</f>
        <v>165</v>
      </c>
      <c r="CC191" s="115">
        <f t="shared" ref="CC191" si="1519">AG191</f>
        <v>210</v>
      </c>
      <c r="CD191" s="116">
        <f t="shared" ref="CD191" si="1520">AK191</f>
        <v>218</v>
      </c>
      <c r="CE191" s="115">
        <f t="shared" ref="CE191" si="1521">AO191</f>
        <v>294</v>
      </c>
      <c r="CF191" s="116">
        <f t="shared" ref="CF191" si="1522">AS191</f>
        <v>338</v>
      </c>
      <c r="CG191" s="115">
        <f t="shared" ref="CG191" si="1523">AW191</f>
        <v>368</v>
      </c>
      <c r="CH191" s="113">
        <f t="shared" ref="CH191" si="1524">G191</f>
        <v>82</v>
      </c>
      <c r="CI191" s="115">
        <f t="shared" ref="CI191" si="1525">K191</f>
        <v>86</v>
      </c>
      <c r="CJ191" s="116">
        <f t="shared" ref="CJ191" si="1526">O191</f>
        <v>118</v>
      </c>
      <c r="CK191" s="116">
        <f t="shared" ref="CK191" si="1527">S191</f>
        <v>122</v>
      </c>
      <c r="CL191" s="116">
        <f t="shared" ref="CL191" si="1528">W191</f>
        <v>158</v>
      </c>
      <c r="CM191" s="116" t="str">
        <f t="shared" ref="CM191" si="1529">AA191</f>
        <v>-</v>
      </c>
      <c r="CN191" s="116">
        <f t="shared" ref="CN191" si="1530">AE191</f>
        <v>191</v>
      </c>
      <c r="CO191" s="116">
        <f t="shared" ref="CO191" si="1531">AI191</f>
        <v>212</v>
      </c>
      <c r="CP191" s="116">
        <f t="shared" ref="CP191" si="1532">AM191</f>
        <v>252</v>
      </c>
      <c r="CQ191" s="116">
        <f t="shared" ref="CQ191" si="1533">AQ191</f>
        <v>330</v>
      </c>
      <c r="CR191" s="116">
        <f t="shared" ref="CR191" si="1534">AU191</f>
        <v>367</v>
      </c>
      <c r="CS191" s="116">
        <f t="shared" ref="CS191" si="1535">AY191</f>
        <v>383</v>
      </c>
      <c r="CT191" s="111">
        <f t="shared" ref="CT191" si="1536">M191-K191</f>
        <v>1</v>
      </c>
    </row>
    <row r="192" spans="1:1030" s="12" customFormat="1" x14ac:dyDescent="0.2">
      <c r="A192" s="9" t="str">
        <f t="shared" ref="A192" si="1537">CONCATENATE(B192,"_",C192)</f>
        <v>ox2r_human_5WS3</v>
      </c>
      <c r="B192" s="9" t="s">
        <v>1176</v>
      </c>
      <c r="C192" s="9" t="s">
        <v>1460</v>
      </c>
      <c r="D192" s="9" t="str">
        <f>IFERROR(MID(VLOOKUP($B192,Seqs!$A:$B,2,0),E192,1),"")</f>
        <v>Y</v>
      </c>
      <c r="E192" s="9">
        <v>53</v>
      </c>
      <c r="F192" s="9" t="str">
        <f>IFERROR(MID(VLOOKUP($B192,Seqs!$A:$B,2,0),G192,1),"")</f>
        <v>N</v>
      </c>
      <c r="G192" s="9">
        <v>82</v>
      </c>
      <c r="H192" s="9" t="str">
        <f>IFERROR(MID(VLOOKUP($B192,Seqs!$A:$B,2,0),I192,1),"")</f>
        <v>H</v>
      </c>
      <c r="I192" s="111">
        <v>83</v>
      </c>
      <c r="J192" s="9" t="str">
        <f>IFERROR(MID(VLOOKUP($B192,Seqs!$A:$B,2,0),K192,1),"")</f>
        <v>R</v>
      </c>
      <c r="K192" s="111">
        <v>86</v>
      </c>
      <c r="L192" s="9" t="str">
        <f>IFERROR(MID(VLOOKUP($B192,Seqs!$A:$B,2,0),M192,1),"")</f>
        <v>T</v>
      </c>
      <c r="M192" s="9">
        <v>87</v>
      </c>
      <c r="N192" s="9" t="str">
        <f>IFERROR(MID(VLOOKUP($B192,Seqs!$A:$B,2,0),O192,1),"")</f>
        <v>E</v>
      </c>
      <c r="O192" s="9">
        <v>118</v>
      </c>
      <c r="P192" s="9" t="str">
        <f>IFERROR(MID(VLOOKUP($B192,Seqs!$A:$B,2,0),Q192,1),"")</f>
        <v>T</v>
      </c>
      <c r="Q192" s="9">
        <v>119</v>
      </c>
      <c r="R192" s="9" t="str">
        <f>IFERROR(MID(VLOOKUP($B192,Seqs!$A:$B,2,0),S192,1),"")</f>
        <v>F</v>
      </c>
      <c r="S192" s="9">
        <v>122</v>
      </c>
      <c r="T192" s="9" t="str">
        <f>IFERROR(MID(VLOOKUP($B192,Seqs!$A:$B,2,0),U192,1),"")</f>
        <v>G</v>
      </c>
      <c r="U192" s="9">
        <v>123</v>
      </c>
      <c r="V192" s="9" t="str">
        <f>IFERROR(MID(VLOOKUP($B192,Seqs!$A:$B,2,0),W192,1),"")</f>
        <v>H</v>
      </c>
      <c r="W192" s="9">
        <v>158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T</v>
      </c>
      <c r="AC192" s="9">
        <v>165</v>
      </c>
      <c r="AD192" s="9" t="str">
        <f>IFERROR(MID(VLOOKUP($B192,Seqs!$A:$B,2,0),AE192,1),"")</f>
        <v>M</v>
      </c>
      <c r="AE192" s="9">
        <v>191</v>
      </c>
      <c r="AF192" s="9" t="str">
        <f>IFERROR(MID(VLOOKUP($B192,Seqs!$A:$B,2,0),AG192,1),"")</f>
        <v>C</v>
      </c>
      <c r="AG192" s="9">
        <v>210</v>
      </c>
      <c r="AH192" s="9" t="str">
        <f>IFERROR(MID(VLOOKUP($B192,Seqs!$A:$B,2,0),AI192,1),"")</f>
        <v>E</v>
      </c>
      <c r="AI192" s="9">
        <v>212</v>
      </c>
      <c r="AJ192" s="9" t="str">
        <f>IFERROR(MID(VLOOKUP($B192,Seqs!$A:$B,2,0),AK192,1),"")</f>
        <v>I</v>
      </c>
      <c r="AK192" s="9">
        <v>218</v>
      </c>
      <c r="AL192" s="9" t="str">
        <f>IFERROR(MID(VLOOKUP($B192,Seqs!$A:$B,2,0),AM192,1),"")</f>
        <v>C</v>
      </c>
      <c r="AM192" s="9">
        <v>252</v>
      </c>
      <c r="AN192" s="9" t="str">
        <f>IFERROR(MID(VLOOKUP($B192,Seqs!$A:$B,2,0),AO192,1),"")</f>
        <v>K</v>
      </c>
      <c r="AO192" s="9">
        <v>294</v>
      </c>
      <c r="AP192" s="9" t="str">
        <f>IFERROR(MID(VLOOKUP($B192,Seqs!$A:$B,2,0),AQ192,1),"")</f>
        <v>F</v>
      </c>
      <c r="AQ192" s="9">
        <v>330</v>
      </c>
      <c r="AR192" s="9" t="str">
        <f>IFERROR(MID(VLOOKUP($B192,Seqs!$A:$B,2,0),AS192,1),"")</f>
        <v>D</v>
      </c>
      <c r="AS192" s="9">
        <v>338</v>
      </c>
      <c r="AT192" s="9" t="str">
        <f>IFERROR(MID(VLOOKUP($B192,Seqs!$A:$B,2,0),AU192,1),"")</f>
        <v>L</v>
      </c>
      <c r="AU192" s="9">
        <v>367</v>
      </c>
      <c r="AV192" s="9" t="str">
        <f>IFERROR(MID(VLOOKUP($B192,Seqs!$A:$B,2,0),AW192,1),"")</f>
        <v>S</v>
      </c>
      <c r="AW192" s="9">
        <v>368</v>
      </c>
      <c r="AX192" s="9" t="str">
        <f>IFERROR(MID(VLOOKUP($B192,Seqs!$A:$B,2,0),AY192,1),"")</f>
        <v>C</v>
      </c>
      <c r="AY192" s="9">
        <v>383</v>
      </c>
      <c r="AZ192" s="112" t="str">
        <f>VLOOKUP(B192,Classification!A:D,2,0)</f>
        <v>A</v>
      </c>
      <c r="BA192" s="100" t="str">
        <f>VLOOKUP(B192,Classification!A:D,4,0)</f>
        <v>Orexin</v>
      </c>
      <c r="BB192" s="37" t="b">
        <f t="shared" ref="BB192" si="153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1">
        <f t="shared" ref="BC192" si="1539">_xlfn.AGGREGATE(9,6,CH192:CS192)-_xlfn.AGGREGATE(9,6,BV192:CG192)+12</f>
        <v>255</v>
      </c>
      <c r="BD192" s="41" t="s">
        <v>1383</v>
      </c>
      <c r="BE192" s="9" t="s">
        <v>1381</v>
      </c>
      <c r="BF192" s="122">
        <v>2.2999999999999998</v>
      </c>
      <c r="BG192" s="52" t="s">
        <v>1</v>
      </c>
      <c r="BH192" s="52" t="s">
        <v>1</v>
      </c>
      <c r="BJ192" s="113" t="s">
        <v>1293</v>
      </c>
      <c r="BK192" s="114" t="s">
        <v>1293</v>
      </c>
      <c r="BL192" s="114" t="s">
        <v>1293</v>
      </c>
      <c r="BM192" s="114" t="s">
        <v>1293</v>
      </c>
      <c r="BN192" s="114" t="s">
        <v>1293</v>
      </c>
      <c r="BO192" s="114" t="s">
        <v>1293</v>
      </c>
      <c r="BP192" s="114" t="s">
        <v>1293</v>
      </c>
      <c r="BQ192" s="114" t="s">
        <v>1293</v>
      </c>
      <c r="BR192" s="114" t="s">
        <v>1293</v>
      </c>
      <c r="BS192" s="114" t="s">
        <v>1293</v>
      </c>
      <c r="BT192" s="114" t="s">
        <v>1293</v>
      </c>
      <c r="BU192" s="114" t="s">
        <v>1293</v>
      </c>
      <c r="BV192" s="113">
        <f t="shared" ref="BV192" si="1540">E192</f>
        <v>53</v>
      </c>
      <c r="BW192" s="115">
        <f t="shared" ref="BW192" si="1541">I192</f>
        <v>83</v>
      </c>
      <c r="BX192" s="116">
        <f t="shared" ref="BX192" si="1542">M192</f>
        <v>87</v>
      </c>
      <c r="BY192" s="115">
        <f t="shared" ref="BY192" si="1543">Q192</f>
        <v>119</v>
      </c>
      <c r="BZ192" s="116">
        <f t="shared" ref="BZ192" si="1544">U192</f>
        <v>123</v>
      </c>
      <c r="CA192" s="115" t="str">
        <f t="shared" ref="CA192" si="1545">Y192</f>
        <v>-</v>
      </c>
      <c r="CB192" s="116">
        <f t="shared" ref="CB192" si="1546">AC192</f>
        <v>165</v>
      </c>
      <c r="CC192" s="115">
        <f t="shared" ref="CC192" si="1547">AG192</f>
        <v>210</v>
      </c>
      <c r="CD192" s="116">
        <f t="shared" ref="CD192" si="1548">AK192</f>
        <v>218</v>
      </c>
      <c r="CE192" s="115">
        <f t="shared" ref="CE192" si="1549">AO192</f>
        <v>294</v>
      </c>
      <c r="CF192" s="116">
        <f t="shared" ref="CF192" si="1550">AS192</f>
        <v>338</v>
      </c>
      <c r="CG192" s="115">
        <f t="shared" ref="CG192" si="1551">AW192</f>
        <v>368</v>
      </c>
      <c r="CH192" s="113">
        <f t="shared" ref="CH192" si="1552">G192</f>
        <v>82</v>
      </c>
      <c r="CI192" s="115">
        <f t="shared" ref="CI192" si="1553">K192</f>
        <v>86</v>
      </c>
      <c r="CJ192" s="116">
        <f t="shared" ref="CJ192" si="1554">O192</f>
        <v>118</v>
      </c>
      <c r="CK192" s="116">
        <f t="shared" ref="CK192" si="1555">S192</f>
        <v>122</v>
      </c>
      <c r="CL192" s="116">
        <f t="shared" ref="CL192" si="1556">W192</f>
        <v>158</v>
      </c>
      <c r="CM192" s="116" t="str">
        <f t="shared" ref="CM192" si="1557">AA192</f>
        <v>-</v>
      </c>
      <c r="CN192" s="116">
        <f t="shared" ref="CN192" si="1558">AE192</f>
        <v>191</v>
      </c>
      <c r="CO192" s="116">
        <f t="shared" ref="CO192" si="1559">AI192</f>
        <v>212</v>
      </c>
      <c r="CP192" s="116">
        <f t="shared" ref="CP192" si="1560">AM192</f>
        <v>252</v>
      </c>
      <c r="CQ192" s="116">
        <f t="shared" ref="CQ192" si="1561">AQ192</f>
        <v>330</v>
      </c>
      <c r="CR192" s="116">
        <f t="shared" ref="CR192" si="1562">AU192</f>
        <v>367</v>
      </c>
      <c r="CS192" s="116">
        <f t="shared" ref="CS192" si="1563">AY192</f>
        <v>383</v>
      </c>
      <c r="CT192" s="111">
        <f t="shared" ref="CT192" si="1564">M192-K192</f>
        <v>1</v>
      </c>
    </row>
    <row r="193" spans="1:1029" x14ac:dyDescent="0.2">
      <c r="A193" s="3" t="str">
        <f t="shared" si="1395"/>
        <v>p2ry1_human__wt</v>
      </c>
      <c r="B193" s="3" t="s">
        <v>345</v>
      </c>
      <c r="C193" s="3" t="s">
        <v>100</v>
      </c>
      <c r="D193" s="3" t="str">
        <f>IFERROR(MID(VLOOKUP($B193,Seqs!$A:$B,2,0),E193,1),"")</f>
        <v>F</v>
      </c>
      <c r="E193" s="3">
        <v>49</v>
      </c>
      <c r="F193" s="3" t="str">
        <f>IFERROR(MID(VLOOKUP($B193,Seqs!$A:$B,2,0),G193,1),"")</f>
        <v>H</v>
      </c>
      <c r="G193" s="3">
        <v>79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84</v>
      </c>
      <c r="N193" s="3" t="str">
        <f>IFERROR(MID(VLOOKUP($B193,Seqs!$A:$B,2,0),O193,1),"")</f>
        <v>N</v>
      </c>
      <c r="O193" s="3">
        <v>113</v>
      </c>
      <c r="P193" s="3" t="str">
        <f>IFERROR(MID(VLOOKUP($B193,Seqs!$A:$B,2,0),Q193,1),"")</f>
        <v>D</v>
      </c>
      <c r="Q193" s="3">
        <v>116</v>
      </c>
      <c r="R193" s="3" t="str">
        <f>IFERROR(MID(VLOOKUP($B193,Seqs!$A:$B,2,0),S193,1),"")</f>
        <v>F</v>
      </c>
      <c r="S193" s="3">
        <v>119</v>
      </c>
      <c r="T193" s="3" t="str">
        <f>IFERROR(MID(VLOOKUP($B193,Seqs!$A:$B,2,0),U193,1),"")</f>
        <v>G</v>
      </c>
      <c r="U193" s="3">
        <v>120</v>
      </c>
      <c r="V193" s="3" t="str">
        <f>IFERROR(MID(VLOOKUP($B193,Seqs!$A:$B,2,0),W193,1),"")</f>
        <v>Y</v>
      </c>
      <c r="W193" s="3">
        <v>155</v>
      </c>
      <c r="X193" s="3" t="str">
        <f>IFERROR(MID(VLOOKUP($B193,Seqs!$A:$B,2,0),Y193,1),"")</f>
        <v>P</v>
      </c>
      <c r="Y193" s="3">
        <v>156</v>
      </c>
      <c r="Z193" s="3" t="str">
        <f>IFERROR(MID(VLOOKUP($B193,Seqs!$A:$B,2,0),AA193,1),"")</f>
        <v>L</v>
      </c>
      <c r="AA193" s="3">
        <v>163</v>
      </c>
      <c r="AB193" s="3" t="str">
        <f>IFERROR(MID(VLOOKUP($B193,Seqs!$A:$B,2,0),AC193,1),"")</f>
        <v>K</v>
      </c>
      <c r="AC193" s="9">
        <v>164</v>
      </c>
      <c r="AD193" s="3" t="str">
        <f>IFERROR(MID(VLOOKUP($B193,Seqs!$A:$B,2,0),AE193,1),"")</f>
        <v>S</v>
      </c>
      <c r="AE193" s="3">
        <v>190</v>
      </c>
      <c r="AF193" s="3" t="str">
        <f>IFERROR(MID(VLOOKUP($B193,Seqs!$A:$B,2,0),AG193,1),"")</f>
        <v>C</v>
      </c>
      <c r="AG193" s="3">
        <v>202</v>
      </c>
      <c r="AH193" s="3" t="str">
        <f>IFERROR(MID(VLOOKUP($B193,Seqs!$A:$B,2,0),AI193,1),"")</f>
        <v>D</v>
      </c>
      <c r="AI193" s="3">
        <v>204</v>
      </c>
      <c r="AJ193" s="3" t="str">
        <f>IFERROR(MID(VLOOKUP($B193,Seqs!$A:$B,2,0),AK193,1),"")</f>
        <v>L</v>
      </c>
      <c r="AK193" s="3">
        <v>211</v>
      </c>
      <c r="AL193" s="3" t="str">
        <f>IFERROR(MID(VLOOKUP($B193,Seqs!$A:$B,2,0),AM193,1),"")</f>
        <v>K</v>
      </c>
      <c r="AM193" s="3">
        <v>247</v>
      </c>
      <c r="AN193" s="3" t="str">
        <f>IFERROR(MID(VLOOKUP($B193,Seqs!$A:$B,2,0),AO193,1),"")</f>
        <v>P</v>
      </c>
      <c r="AO193" s="3">
        <v>253</v>
      </c>
      <c r="AP193" s="3" t="str">
        <f>IFERROR(MID(VLOOKUP($B193,Seqs!$A:$B,2,0),AQ193,1),"")</f>
        <v>D</v>
      </c>
      <c r="AQ193" s="3">
        <v>289</v>
      </c>
      <c r="AR193" s="3" t="str">
        <f>IFERROR(MID(VLOOKUP($B193,Seqs!$A:$B,2,0),AS193,1),"")</f>
        <v>M</v>
      </c>
      <c r="AS193" s="3">
        <v>295</v>
      </c>
      <c r="AT193" s="3" t="str">
        <f>IFERROR(MID(VLOOKUP($B193,Seqs!$A:$B,2,0),AU193,1),"")</f>
        <v>A</v>
      </c>
      <c r="AU193" s="3">
        <v>327</v>
      </c>
      <c r="AV193" s="3" t="str">
        <f>IFERROR(MID(VLOOKUP($B193,Seqs!$A:$B,2,0),AW193,1),"")</f>
        <v>G</v>
      </c>
      <c r="AW193" s="3">
        <v>328</v>
      </c>
      <c r="AX193" s="3" t="str">
        <f>IFERROR(MID(VLOOKUP($B193,Seqs!$A:$B,2,0),AY193,1),"")</f>
        <v>R</v>
      </c>
      <c r="AY193" s="3">
        <v>340</v>
      </c>
      <c r="AZ193" s="79" t="str">
        <f>VLOOKUP(B193,Classification!A:D,2,0)</f>
        <v>A</v>
      </c>
      <c r="BA193" s="96" t="str">
        <f>VLOOKUP(B193,Classification!A:D,4,0)</f>
        <v>P2Y</v>
      </c>
      <c r="BB193" s="27" t="b">
        <f t="shared" si="1396"/>
        <v>1</v>
      </c>
      <c r="BC193" s="23">
        <f t="shared" si="1369"/>
        <v>260</v>
      </c>
      <c r="BD193" s="57" t="s">
        <v>1379</v>
      </c>
      <c r="BE193" s="3" t="s">
        <v>23</v>
      </c>
      <c r="BF193" s="121" t="s">
        <v>23</v>
      </c>
      <c r="BG193" s="50" t="s">
        <v>1379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si="1370"/>
        <v>49</v>
      </c>
      <c r="BW193" s="73" t="str">
        <f t="shared" si="1371"/>
        <v>-</v>
      </c>
      <c r="BX193" s="74">
        <f t="shared" si="1372"/>
        <v>84</v>
      </c>
      <c r="BY193" s="73">
        <f t="shared" si="1373"/>
        <v>116</v>
      </c>
      <c r="BZ193" s="74">
        <f t="shared" si="1374"/>
        <v>120</v>
      </c>
      <c r="CA193" s="73">
        <f t="shared" si="1375"/>
        <v>156</v>
      </c>
      <c r="CB193" s="74">
        <f t="shared" si="1376"/>
        <v>164</v>
      </c>
      <c r="CC193" s="73">
        <f t="shared" si="1377"/>
        <v>202</v>
      </c>
      <c r="CD193" s="74">
        <f t="shared" si="1378"/>
        <v>211</v>
      </c>
      <c r="CE193" s="73">
        <f t="shared" si="1379"/>
        <v>253</v>
      </c>
      <c r="CF193" s="74">
        <f t="shared" si="1380"/>
        <v>295</v>
      </c>
      <c r="CG193" s="73">
        <f t="shared" si="1381"/>
        <v>328</v>
      </c>
      <c r="CH193" s="72">
        <f t="shared" si="1382"/>
        <v>79</v>
      </c>
      <c r="CI193" s="73" t="str">
        <f t="shared" si="1383"/>
        <v>-</v>
      </c>
      <c r="CJ193" s="74">
        <f t="shared" si="1384"/>
        <v>113</v>
      </c>
      <c r="CK193" s="74">
        <f t="shared" si="1385"/>
        <v>119</v>
      </c>
      <c r="CL193" s="74">
        <f t="shared" si="1386"/>
        <v>155</v>
      </c>
      <c r="CM193" s="74">
        <f t="shared" si="1387"/>
        <v>163</v>
      </c>
      <c r="CN193" s="74">
        <f t="shared" si="1388"/>
        <v>190</v>
      </c>
      <c r="CO193" s="74">
        <f t="shared" si="1389"/>
        <v>204</v>
      </c>
      <c r="CP193" s="74">
        <f t="shared" si="1390"/>
        <v>247</v>
      </c>
      <c r="CQ193" s="74">
        <f t="shared" si="1391"/>
        <v>289</v>
      </c>
      <c r="CR193" s="74">
        <f t="shared" si="1392"/>
        <v>327</v>
      </c>
      <c r="CS193" s="74">
        <f t="shared" si="1393"/>
        <v>340</v>
      </c>
      <c r="CT193" s="23" t="e">
        <f t="shared" si="1394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395"/>
        <v>p2ry1_human_4XNV</v>
      </c>
      <c r="B194" s="3" t="s">
        <v>345</v>
      </c>
      <c r="C194" s="3" t="s">
        <v>1152</v>
      </c>
      <c r="D194" s="3" t="str">
        <f>IFERROR(MID(VLOOKUP($B194,Seqs!$A:$B,2,0),E194,1),"")</f>
        <v>F</v>
      </c>
      <c r="E194" s="3">
        <v>49</v>
      </c>
      <c r="F194" s="3" t="str">
        <f>IFERROR(MID(VLOOKUP($B194,Seqs!$A:$B,2,0),G194,1),"")</f>
        <v>H</v>
      </c>
      <c r="G194" s="3">
        <v>79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84</v>
      </c>
      <c r="N194" s="3" t="str">
        <f>IFERROR(MID(VLOOKUP($B194,Seqs!$A:$B,2,0),O194,1),"")</f>
        <v>N</v>
      </c>
      <c r="O194" s="3">
        <v>113</v>
      </c>
      <c r="P194" s="3" t="str">
        <f>IFERROR(MID(VLOOKUP($B194,Seqs!$A:$B,2,0),Q194,1),"")</f>
        <v>D</v>
      </c>
      <c r="Q194" s="3">
        <v>116</v>
      </c>
      <c r="R194" s="3" t="str">
        <f>IFERROR(MID(VLOOKUP($B194,Seqs!$A:$B,2,0),S194,1),"")</f>
        <v>F</v>
      </c>
      <c r="S194" s="3">
        <v>119</v>
      </c>
      <c r="T194" s="3" t="str">
        <f>IFERROR(MID(VLOOKUP($B194,Seqs!$A:$B,2,0),U194,1),"")</f>
        <v>G</v>
      </c>
      <c r="U194" s="3">
        <v>120</v>
      </c>
      <c r="V194" s="3" t="str">
        <f>IFERROR(MID(VLOOKUP($B194,Seqs!$A:$B,2,0),W194,1),"")</f>
        <v>Y</v>
      </c>
      <c r="W194" s="3">
        <v>155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9">
        <v>161</v>
      </c>
      <c r="AD194" s="3" t="str">
        <f>IFERROR(MID(VLOOKUP($B194,Seqs!$A:$B,2,0),AE194,1),"")</f>
        <v>S</v>
      </c>
      <c r="AE194" s="3">
        <v>190</v>
      </c>
      <c r="AF194" s="3" t="str">
        <f>IFERROR(MID(VLOOKUP($B194,Seqs!$A:$B,2,0),AG194,1),"")</f>
        <v>C</v>
      </c>
      <c r="AG194" s="3">
        <v>202</v>
      </c>
      <c r="AH194" s="3" t="str">
        <f>IFERROR(MID(VLOOKUP($B194,Seqs!$A:$B,2,0),AI194,1),"")</f>
        <v>D</v>
      </c>
      <c r="AI194" s="3">
        <v>204</v>
      </c>
      <c r="AJ194" s="3" t="str">
        <f>IFERROR(MID(VLOOKUP($B194,Seqs!$A:$B,2,0),AK194,1),"")</f>
        <v>L</v>
      </c>
      <c r="AK194" s="3">
        <v>211</v>
      </c>
      <c r="AL194" s="3" t="str">
        <f>IFERROR(MID(VLOOKUP($B194,Seqs!$A:$B,2,0),AM194,1),"")</f>
        <v>K</v>
      </c>
      <c r="AM194" s="3">
        <v>247</v>
      </c>
      <c r="AN194" s="3" t="str">
        <f>IFERROR(MID(VLOOKUP($B194,Seqs!$A:$B,2,0),AO194,1),"")</f>
        <v>P</v>
      </c>
      <c r="AO194" s="3">
        <v>253</v>
      </c>
      <c r="AP194" s="3" t="str">
        <f>IFERROR(MID(VLOOKUP($B194,Seqs!$A:$B,2,0),AQ194,1),"")</f>
        <v>D</v>
      </c>
      <c r="AQ194" s="3">
        <v>289</v>
      </c>
      <c r="AR194" s="3" t="str">
        <f>IFERROR(MID(VLOOKUP($B194,Seqs!$A:$B,2,0),AS194,1),"")</f>
        <v>M</v>
      </c>
      <c r="AS194" s="3">
        <v>295</v>
      </c>
      <c r="AT194" s="3" t="str">
        <f>IFERROR(MID(VLOOKUP($B194,Seqs!$A:$B,2,0),AU194,1),"")</f>
        <v>L</v>
      </c>
      <c r="AU194" s="3">
        <v>326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9" t="str">
        <f>VLOOKUP(B194,Classification!A:D,2,0)</f>
        <v>A</v>
      </c>
      <c r="BA194" s="96" t="str">
        <f>VLOOKUP(B194,Classification!A:D,4,0)</f>
        <v>P2Y</v>
      </c>
      <c r="BB194" s="27" t="b">
        <f t="shared" si="1396"/>
        <v>1</v>
      </c>
      <c r="BC194" s="23">
        <f t="shared" si="1369"/>
        <v>243</v>
      </c>
      <c r="BD194" s="4" t="s">
        <v>23</v>
      </c>
      <c r="BE194" s="3" t="s">
        <v>1439</v>
      </c>
      <c r="BF194" s="121">
        <v>2.2000000000000002</v>
      </c>
      <c r="BG194" s="50" t="s">
        <v>1384</v>
      </c>
      <c r="BH194" s="50" t="s">
        <v>1384</v>
      </c>
      <c r="BI194" s="3" t="s">
        <v>1169</v>
      </c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si="1370"/>
        <v>49</v>
      </c>
      <c r="BW194" s="73" t="str">
        <f t="shared" si="1371"/>
        <v>-</v>
      </c>
      <c r="BX194" s="74">
        <f t="shared" si="1372"/>
        <v>84</v>
      </c>
      <c r="BY194" s="73">
        <f t="shared" si="1373"/>
        <v>116</v>
      </c>
      <c r="BZ194" s="74">
        <f t="shared" si="1374"/>
        <v>120</v>
      </c>
      <c r="CA194" s="73" t="str">
        <f t="shared" si="1375"/>
        <v>-</v>
      </c>
      <c r="CB194" s="74">
        <f t="shared" si="1376"/>
        <v>161</v>
      </c>
      <c r="CC194" s="73">
        <f t="shared" si="1377"/>
        <v>202</v>
      </c>
      <c r="CD194" s="74">
        <f t="shared" si="1378"/>
        <v>211</v>
      </c>
      <c r="CE194" s="73">
        <f t="shared" si="1379"/>
        <v>253</v>
      </c>
      <c r="CF194" s="74">
        <f t="shared" si="1380"/>
        <v>295</v>
      </c>
      <c r="CG194" s="73" t="str">
        <f t="shared" si="1381"/>
        <v>-</v>
      </c>
      <c r="CH194" s="72">
        <f t="shared" si="1382"/>
        <v>79</v>
      </c>
      <c r="CI194" s="73" t="str">
        <f t="shared" si="1383"/>
        <v>-</v>
      </c>
      <c r="CJ194" s="74">
        <f t="shared" si="1384"/>
        <v>113</v>
      </c>
      <c r="CK194" s="74">
        <f t="shared" si="1385"/>
        <v>119</v>
      </c>
      <c r="CL194" s="74">
        <f t="shared" si="1386"/>
        <v>155</v>
      </c>
      <c r="CM194" s="74" t="str">
        <f t="shared" si="1387"/>
        <v>-</v>
      </c>
      <c r="CN194" s="74">
        <f t="shared" si="1388"/>
        <v>190</v>
      </c>
      <c r="CO194" s="74">
        <f t="shared" si="1389"/>
        <v>204</v>
      </c>
      <c r="CP194" s="74">
        <f t="shared" si="1390"/>
        <v>247</v>
      </c>
      <c r="CQ194" s="74">
        <f t="shared" si="1391"/>
        <v>289</v>
      </c>
      <c r="CR194" s="74">
        <f t="shared" si="1392"/>
        <v>326</v>
      </c>
      <c r="CS194" s="74" t="str">
        <f t="shared" si="1393"/>
        <v>-</v>
      </c>
      <c r="CT194" s="23" t="e">
        <f t="shared" si="1394"/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395"/>
        <v>p2ry1_human_4XNW</v>
      </c>
      <c r="B195" s="3" t="s">
        <v>345</v>
      </c>
      <c r="C195" s="3" t="s">
        <v>1056</v>
      </c>
      <c r="D195" s="3" t="str">
        <f>IFERROR(MID(VLOOKUP($B195,Seqs!$A:$B,2,0),E195,1),"")</f>
        <v>F</v>
      </c>
      <c r="E195" s="3">
        <v>49</v>
      </c>
      <c r="F195" s="3" t="str">
        <f>IFERROR(MID(VLOOKUP($B195,Seqs!$A:$B,2,0),G195,1),"")</f>
        <v>H</v>
      </c>
      <c r="G195" s="3">
        <v>79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84</v>
      </c>
      <c r="N195" s="3" t="str">
        <f>IFERROR(MID(VLOOKUP($B195,Seqs!$A:$B,2,0),O195,1),"")</f>
        <v>N</v>
      </c>
      <c r="O195" s="3">
        <v>113</v>
      </c>
      <c r="P195" s="3" t="str">
        <f>IFERROR(MID(VLOOKUP($B195,Seqs!$A:$B,2,0),Q195,1),"")</f>
        <v>D</v>
      </c>
      <c r="Q195" s="3">
        <v>116</v>
      </c>
      <c r="R195" s="3" t="str">
        <f>IFERROR(MID(VLOOKUP($B195,Seqs!$A:$B,2,0),S195,1),"")</f>
        <v>F</v>
      </c>
      <c r="S195" s="3">
        <v>119</v>
      </c>
      <c r="T195" s="3" t="str">
        <f>IFERROR(MID(VLOOKUP($B195,Seqs!$A:$B,2,0),U195,1),"")</f>
        <v>G</v>
      </c>
      <c r="U195" s="3">
        <v>120</v>
      </c>
      <c r="V195" s="3" t="str">
        <f>IFERROR(MID(VLOOKUP($B195,Seqs!$A:$B,2,0),W195,1),"")</f>
        <v>Y</v>
      </c>
      <c r="W195" s="3">
        <v>155</v>
      </c>
      <c r="X195" s="3" t="str">
        <f>IFERROR(MID(VLOOKUP($B195,Seqs!$A:$B,2,0),Y195,1),"")</f>
        <v>P</v>
      </c>
      <c r="Y195" s="3">
        <v>156</v>
      </c>
      <c r="Z195" s="3" t="str">
        <f>IFERROR(MID(VLOOKUP($B195,Seqs!$A:$B,2,0),AA195,1),"")</f>
        <v>L</v>
      </c>
      <c r="AA195" s="3">
        <v>163</v>
      </c>
      <c r="AB195" s="3" t="str">
        <f>IFERROR(MID(VLOOKUP($B195,Seqs!$A:$B,2,0),AC195,1),"")</f>
        <v>K</v>
      </c>
      <c r="AC195" s="9">
        <v>164</v>
      </c>
      <c r="AD195" s="3" t="str">
        <f>IFERROR(MID(VLOOKUP($B195,Seqs!$A:$B,2,0),AE195,1),"")</f>
        <v>S</v>
      </c>
      <c r="AE195" s="3">
        <v>190</v>
      </c>
      <c r="AF195" s="3" t="str">
        <f>IFERROR(MID(VLOOKUP($B195,Seqs!$A:$B,2,0),AG195,1),"")</f>
        <v>C</v>
      </c>
      <c r="AG195" s="3">
        <v>202</v>
      </c>
      <c r="AH195" s="3" t="str">
        <f>IFERROR(MID(VLOOKUP($B195,Seqs!$A:$B,2,0),AI195,1),"")</f>
        <v>D</v>
      </c>
      <c r="AI195" s="3">
        <v>204</v>
      </c>
      <c r="AJ195" s="3" t="str">
        <f>IFERROR(MID(VLOOKUP($B195,Seqs!$A:$B,2,0),AK195,1),"")</f>
        <v>L</v>
      </c>
      <c r="AK195" s="3">
        <v>211</v>
      </c>
      <c r="AL195" s="3" t="str">
        <f>IFERROR(MID(VLOOKUP($B195,Seqs!$A:$B,2,0),AM195,1),"")</f>
        <v>K</v>
      </c>
      <c r="AM195" s="3">
        <v>247</v>
      </c>
      <c r="AN195" s="3" t="str">
        <f>IFERROR(MID(VLOOKUP($B195,Seqs!$A:$B,2,0),AO195,1),"")</f>
        <v>P</v>
      </c>
      <c r="AO195" s="3">
        <v>253</v>
      </c>
      <c r="AP195" s="3" t="str">
        <f>IFERROR(MID(VLOOKUP($B195,Seqs!$A:$B,2,0),AQ195,1),"")</f>
        <v>D</v>
      </c>
      <c r="AQ195" s="3">
        <v>289</v>
      </c>
      <c r="AR195" s="3" t="str">
        <f>IFERROR(MID(VLOOKUP($B195,Seqs!$A:$B,2,0),AS195,1),"")</f>
        <v>M</v>
      </c>
      <c r="AS195" s="3">
        <v>295</v>
      </c>
      <c r="AT195" s="3" t="str">
        <f>IFERROR(MID(VLOOKUP($B195,Seqs!$A:$B,2,0),AU195,1),"")</f>
        <v>L</v>
      </c>
      <c r="AU195" s="3">
        <v>326</v>
      </c>
      <c r="AV195" s="3" t="str">
        <f>IFERROR(MID(VLOOKUP($B195,Seqs!$A:$B,2,0),AW195,1),"")</f>
        <v/>
      </c>
      <c r="AW195" s="3" t="s">
        <v>23</v>
      </c>
      <c r="AX195" s="3" t="str">
        <f>IFERROR(MID(VLOOKUP($B195,Seqs!$A:$B,2,0),AY195,1),"")</f>
        <v/>
      </c>
      <c r="AY195" s="3" t="s">
        <v>23</v>
      </c>
      <c r="AZ195" s="79" t="str">
        <f>VLOOKUP(B195,Classification!A:D,2,0)</f>
        <v>A</v>
      </c>
      <c r="BA195" s="96" t="str">
        <f>VLOOKUP(B195,Classification!A:D,4,0)</f>
        <v>P2Y</v>
      </c>
      <c r="BB195" s="27" t="b">
        <f t="shared" si="1396"/>
        <v>1</v>
      </c>
      <c r="BC195" s="23">
        <f t="shared" si="1369"/>
        <v>247</v>
      </c>
      <c r="BD195" s="2" t="s">
        <v>1440</v>
      </c>
      <c r="BE195" s="3" t="s">
        <v>1439</v>
      </c>
      <c r="BF195" s="121">
        <v>2.7</v>
      </c>
      <c r="BG195" s="50" t="s">
        <v>1384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370"/>
        <v>49</v>
      </c>
      <c r="BW195" s="73" t="str">
        <f t="shared" si="1371"/>
        <v>-</v>
      </c>
      <c r="BX195" s="74">
        <f t="shared" si="1372"/>
        <v>84</v>
      </c>
      <c r="BY195" s="73">
        <f t="shared" si="1373"/>
        <v>116</v>
      </c>
      <c r="BZ195" s="74">
        <f t="shared" si="1374"/>
        <v>120</v>
      </c>
      <c r="CA195" s="73">
        <f t="shared" si="1375"/>
        <v>156</v>
      </c>
      <c r="CB195" s="74">
        <f t="shared" si="1376"/>
        <v>164</v>
      </c>
      <c r="CC195" s="73">
        <f t="shared" si="1377"/>
        <v>202</v>
      </c>
      <c r="CD195" s="74">
        <f t="shared" si="1378"/>
        <v>211</v>
      </c>
      <c r="CE195" s="73">
        <f t="shared" si="1379"/>
        <v>253</v>
      </c>
      <c r="CF195" s="74">
        <f t="shared" si="1380"/>
        <v>295</v>
      </c>
      <c r="CG195" s="73" t="str">
        <f t="shared" si="1381"/>
        <v>-</v>
      </c>
      <c r="CH195" s="72">
        <f t="shared" si="1382"/>
        <v>79</v>
      </c>
      <c r="CI195" s="73" t="str">
        <f t="shared" si="1383"/>
        <v>-</v>
      </c>
      <c r="CJ195" s="74">
        <f t="shared" si="1384"/>
        <v>113</v>
      </c>
      <c r="CK195" s="74">
        <f t="shared" si="1385"/>
        <v>119</v>
      </c>
      <c r="CL195" s="74">
        <f t="shared" si="1386"/>
        <v>155</v>
      </c>
      <c r="CM195" s="74">
        <f t="shared" si="1387"/>
        <v>163</v>
      </c>
      <c r="CN195" s="74">
        <f t="shared" si="1388"/>
        <v>190</v>
      </c>
      <c r="CO195" s="74">
        <f t="shared" si="1389"/>
        <v>204</v>
      </c>
      <c r="CP195" s="74">
        <f t="shared" si="1390"/>
        <v>247</v>
      </c>
      <c r="CQ195" s="74">
        <f t="shared" si="1391"/>
        <v>289</v>
      </c>
      <c r="CR195" s="74">
        <f t="shared" si="1392"/>
        <v>326</v>
      </c>
      <c r="CS195" s="74" t="str">
        <f t="shared" si="1393"/>
        <v>-</v>
      </c>
      <c r="CT195" s="23" t="e">
        <f t="shared" si="1394"/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395"/>
        <v>p2y12_human__wt</v>
      </c>
      <c r="B196" s="3" t="s">
        <v>352</v>
      </c>
      <c r="C196" s="3" t="s">
        <v>100</v>
      </c>
      <c r="D196" s="3" t="str">
        <f>IFERROR(MID(VLOOKUP($B196,Seqs!$A:$B,2,0),E196,1),"")</f>
        <v>Y</v>
      </c>
      <c r="E196" s="3">
        <v>21</v>
      </c>
      <c r="F196" s="3" t="str">
        <f>IFERROR(MID(VLOOKUP($B196,Seqs!$A:$B,2,0),G196,1),"")</f>
        <v>I</v>
      </c>
      <c r="G196" s="3">
        <v>53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57</v>
      </c>
      <c r="N196" s="3" t="str">
        <f>IFERROR(MID(VLOOKUP($B196,Seqs!$A:$B,2,0),O196,1),"")</f>
        <v>K</v>
      </c>
      <c r="O196" s="3">
        <v>86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G</v>
      </c>
      <c r="U196" s="3">
        <v>90</v>
      </c>
      <c r="V196" s="3" t="str">
        <f>IFERROR(MID(VLOOKUP($B196,Seqs!$A:$B,2,0),W196,1),"")</f>
        <v>R</v>
      </c>
      <c r="W196" s="3">
        <v>128</v>
      </c>
      <c r="X196" s="3" t="str">
        <f>IFERROR(MID(VLOOKUP($B196,Seqs!$A:$B,2,0),Y196,1),"")</f>
        <v>P</v>
      </c>
      <c r="Y196" s="3">
        <v>129</v>
      </c>
      <c r="Z196" s="3" t="str">
        <f>IFERROR(MID(VLOOKUP($B196,Seqs!$A:$B,2,0),AA196,1),"")</f>
        <v>K</v>
      </c>
      <c r="AA196" s="75">
        <v>136</v>
      </c>
      <c r="AB196" s="3" t="str">
        <f>IFERROR(MID(VLOOKUP($B196,Seqs!$A:$B,2,0),AC196,1),"")</f>
        <v>N</v>
      </c>
      <c r="AC196" s="9">
        <v>137</v>
      </c>
      <c r="AD196" s="3" t="str">
        <f>IFERROR(MID(VLOOKUP($B196,Seqs!$A:$B,2,0),AE196,1),"")</f>
        <v>T</v>
      </c>
      <c r="AE196" s="3">
        <v>163</v>
      </c>
      <c r="AF196" s="3" t="str">
        <f>IFERROR(MID(VLOOKUP($B196,Seqs!$A:$B,2,0),AG196,1),"")</f>
        <v>C</v>
      </c>
      <c r="AG196" s="3">
        <v>175</v>
      </c>
      <c r="AH196" s="3" t="str">
        <f>IFERROR(MID(VLOOKUP($B196,Seqs!$A:$B,2,0),AI196,1),"")</f>
        <v>F</v>
      </c>
      <c r="AI196" s="3">
        <v>177</v>
      </c>
      <c r="AJ196" s="3" t="str">
        <f>IFERROR(MID(VLOOKUP($B196,Seqs!$A:$B,2,0),AK196,1),"")</f>
        <v>E</v>
      </c>
      <c r="AK196" s="3">
        <v>181</v>
      </c>
      <c r="AL196" s="3" t="str">
        <f>IFERROR(MID(VLOOKUP($B196,Seqs!$A:$B,2,0),AM196,1),"")</f>
        <v>T</v>
      </c>
      <c r="AM196" s="3">
        <v>223</v>
      </c>
      <c r="AN196" s="3" t="str">
        <f>IFERROR(MID(VLOOKUP($B196,Seqs!$A:$B,2,0),AO196,1),"")</f>
        <v>P</v>
      </c>
      <c r="AO196" s="3">
        <v>230</v>
      </c>
      <c r="AP196" s="3" t="str">
        <f>IFERROR(MID(VLOOKUP($B196,Seqs!$A:$B,2,0),AQ196,1),"")</f>
        <v>R</v>
      </c>
      <c r="AQ196" s="3">
        <v>265</v>
      </c>
      <c r="AR196" s="3" t="str">
        <f>IFERROR(MID(VLOOKUP($B196,Seqs!$A:$B,2,0),AS196,1),"")</f>
        <v>D</v>
      </c>
      <c r="AS196" s="3">
        <v>269</v>
      </c>
      <c r="AT196" s="3" t="str">
        <f>IFERROR(MID(VLOOKUP($B196,Seqs!$A:$B,2,0),AU196,1),"")</f>
        <v>L</v>
      </c>
      <c r="AU196" s="3">
        <v>301</v>
      </c>
      <c r="AV196" s="3" t="str">
        <f>IFERROR(MID(VLOOKUP($B196,Seqs!$A:$B,2,0),AW196,1),"")</f>
        <v>C</v>
      </c>
      <c r="AW196" s="3">
        <v>302</v>
      </c>
      <c r="AX196" s="3" t="str">
        <f>IFERROR(MID(VLOOKUP($B196,Seqs!$A:$B,2,0),AY196,1),"")</f>
        <v>M</v>
      </c>
      <c r="AY196" s="3">
        <v>312</v>
      </c>
      <c r="AZ196" s="79" t="str">
        <f>VLOOKUP(B196,Classification!A:D,2,0)</f>
        <v>A</v>
      </c>
      <c r="BA196" s="96" t="str">
        <f>VLOOKUP(B196,Classification!A:D,4,0)</f>
        <v>P2Y</v>
      </c>
      <c r="BB196" s="27" t="b">
        <f t="shared" si="1396"/>
        <v>1</v>
      </c>
      <c r="BC196" s="23">
        <f t="shared" si="1369"/>
        <v>265</v>
      </c>
      <c r="BD196" s="57" t="s">
        <v>1379</v>
      </c>
      <c r="BE196" s="3" t="s">
        <v>23</v>
      </c>
      <c r="BF196" s="121" t="s">
        <v>23</v>
      </c>
      <c r="BG196" s="50" t="s">
        <v>1379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370"/>
        <v>21</v>
      </c>
      <c r="BW196" s="73" t="str">
        <f t="shared" si="1371"/>
        <v>-</v>
      </c>
      <c r="BX196" s="74">
        <f t="shared" si="1372"/>
        <v>57</v>
      </c>
      <c r="BY196" s="73" t="str">
        <f t="shared" si="1373"/>
        <v>-</v>
      </c>
      <c r="BZ196" s="74">
        <f t="shared" si="1374"/>
        <v>90</v>
      </c>
      <c r="CA196" s="73">
        <f t="shared" si="1375"/>
        <v>129</v>
      </c>
      <c r="CB196" s="74">
        <f t="shared" si="1376"/>
        <v>137</v>
      </c>
      <c r="CC196" s="73">
        <f t="shared" si="1377"/>
        <v>175</v>
      </c>
      <c r="CD196" s="74">
        <f t="shared" si="1378"/>
        <v>181</v>
      </c>
      <c r="CE196" s="73">
        <f t="shared" si="1379"/>
        <v>230</v>
      </c>
      <c r="CF196" s="74">
        <f t="shared" si="1380"/>
        <v>269</v>
      </c>
      <c r="CG196" s="73">
        <f t="shared" si="1381"/>
        <v>302</v>
      </c>
      <c r="CH196" s="72">
        <f t="shared" si="1382"/>
        <v>53</v>
      </c>
      <c r="CI196" s="73" t="str">
        <f t="shared" si="1383"/>
        <v>-</v>
      </c>
      <c r="CJ196" s="74">
        <f t="shared" si="1384"/>
        <v>86</v>
      </c>
      <c r="CK196" s="74" t="str">
        <f t="shared" si="1385"/>
        <v>-</v>
      </c>
      <c r="CL196" s="74">
        <f t="shared" si="1386"/>
        <v>128</v>
      </c>
      <c r="CM196" s="74">
        <f t="shared" si="1387"/>
        <v>136</v>
      </c>
      <c r="CN196" s="74">
        <f t="shared" si="1388"/>
        <v>163</v>
      </c>
      <c r="CO196" s="74">
        <f t="shared" si="1389"/>
        <v>177</v>
      </c>
      <c r="CP196" s="74">
        <f t="shared" si="1390"/>
        <v>223</v>
      </c>
      <c r="CQ196" s="74">
        <f t="shared" si="1391"/>
        <v>265</v>
      </c>
      <c r="CR196" s="74">
        <f t="shared" si="1392"/>
        <v>301</v>
      </c>
      <c r="CS196" s="74">
        <f t="shared" si="1393"/>
        <v>312</v>
      </c>
      <c r="CT196" s="23" t="e">
        <f t="shared" si="1394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395"/>
        <v>p2y12_human_4NTJ</v>
      </c>
      <c r="B197" s="3" t="s">
        <v>352</v>
      </c>
      <c r="C197" s="3" t="s">
        <v>1049</v>
      </c>
      <c r="D197" s="3" t="str">
        <f>IFERROR(MID(VLOOKUP($B197,Seqs!$A:$B,2,0),E197,1),"")</f>
        <v>Y</v>
      </c>
      <c r="E197" s="3">
        <v>21</v>
      </c>
      <c r="F197" s="3" t="str">
        <f>IFERROR(MID(VLOOKUP($B197,Seqs!$A:$B,2,0),G197,1),"")</f>
        <v>I</v>
      </c>
      <c r="G197" s="3">
        <v>53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57</v>
      </c>
      <c r="N197" s="3" t="str">
        <f>IFERROR(MID(VLOOKUP($B197,Seqs!$A:$B,2,0),O197,1),"")</f>
        <v>K</v>
      </c>
      <c r="O197" s="3">
        <v>86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L</v>
      </c>
      <c r="U197" s="3">
        <v>92</v>
      </c>
      <c r="V197" s="3" t="str">
        <f>IFERROR(MID(VLOOKUP($B197,Seqs!$A:$B,2,0),W197,1),"")</f>
        <v>R</v>
      </c>
      <c r="W197" s="3">
        <v>128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N</v>
      </c>
      <c r="AC197" s="9">
        <v>137</v>
      </c>
      <c r="AD197" s="3" t="str">
        <f>IFERROR(MID(VLOOKUP($B197,Seqs!$A:$B,2,0),AE197,1),"")</f>
        <v>L</v>
      </c>
      <c r="AE197" s="3">
        <v>162</v>
      </c>
      <c r="AF197" s="3" t="str">
        <f>IFERROR(MID(VLOOKUP($B197,Seqs!$A:$B,2,0),AG197,1),"")</f>
        <v>C</v>
      </c>
      <c r="AG197" s="3">
        <v>175</v>
      </c>
      <c r="AH197" s="3" t="str">
        <f>IFERROR(MID(VLOOKUP($B197,Seqs!$A:$B,2,0),AI197,1),"")</f>
        <v>F</v>
      </c>
      <c r="AI197" s="3">
        <v>177</v>
      </c>
      <c r="AJ197" s="3" t="str">
        <f>IFERROR(MID(VLOOKUP($B197,Seqs!$A:$B,2,0),AK197,1),"")</f>
        <v>E</v>
      </c>
      <c r="AK197" s="3">
        <v>181</v>
      </c>
      <c r="AL197" s="3" t="str">
        <f>IFERROR(MID(VLOOKUP($B197,Seqs!$A:$B,2,0),AM197,1),"")</f>
        <v>T</v>
      </c>
      <c r="AM197" s="3">
        <v>223</v>
      </c>
      <c r="AN197" s="3" t="str">
        <f>IFERROR(MID(VLOOKUP($B197,Seqs!$A:$B,2,0),AO197,1),"")</f>
        <v>I</v>
      </c>
      <c r="AO197" s="3">
        <v>240</v>
      </c>
      <c r="AP197" s="3" t="str">
        <f>IFERROR(MID(VLOOKUP($B197,Seqs!$A:$B,2,0),AQ197,1),"")</f>
        <v>L</v>
      </c>
      <c r="AQ197" s="3">
        <v>261</v>
      </c>
      <c r="AR197" s="3" t="str">
        <f>IFERROR(MID(VLOOKUP($B197,Seqs!$A:$B,2,0),AS197,1),"")</f>
        <v>D</v>
      </c>
      <c r="AS197" s="3">
        <v>269</v>
      </c>
      <c r="AT197" s="3" t="str">
        <f>IFERROR(MID(VLOOKUP($B197,Seqs!$A:$B,2,0),AU197,1),"")</f>
        <v>L</v>
      </c>
      <c r="AU197" s="3">
        <v>301</v>
      </c>
      <c r="AV197" s="3" t="str">
        <f>IFERROR(MID(VLOOKUP($B197,Seqs!$A:$B,2,0),AW197,1),"")</f>
        <v>C</v>
      </c>
      <c r="AW197" s="3">
        <v>302</v>
      </c>
      <c r="AX197" s="3" t="str">
        <f>IFERROR(MID(VLOOKUP($B197,Seqs!$A:$B,2,0),AY197,1),"")</f>
        <v>M</v>
      </c>
      <c r="AY197" s="3">
        <v>312</v>
      </c>
      <c r="AZ197" s="79" t="str">
        <f>VLOOKUP(B197,Classification!A:D,2,0)</f>
        <v>A</v>
      </c>
      <c r="BA197" s="96" t="str">
        <f>VLOOKUP(B197,Classification!A:D,4,0)</f>
        <v>P2Y</v>
      </c>
      <c r="BB197" s="27" t="b">
        <f t="shared" si="1396"/>
        <v>1</v>
      </c>
      <c r="BC197" s="23">
        <f t="shared" si="1369"/>
        <v>241</v>
      </c>
      <c r="BD197" s="2" t="s">
        <v>1440</v>
      </c>
      <c r="BE197" s="3" t="s">
        <v>1439</v>
      </c>
      <c r="BF197" s="121">
        <v>2.62</v>
      </c>
      <c r="BG197" s="50" t="s">
        <v>1384</v>
      </c>
      <c r="BH197" s="50" t="s">
        <v>1384</v>
      </c>
      <c r="BI197" s="3" t="s">
        <v>1171</v>
      </c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370"/>
        <v>21</v>
      </c>
      <c r="BW197" s="73" t="str">
        <f t="shared" si="1371"/>
        <v>-</v>
      </c>
      <c r="BX197" s="74">
        <f t="shared" si="1372"/>
        <v>57</v>
      </c>
      <c r="BY197" s="73" t="str">
        <f t="shared" si="1373"/>
        <v>-</v>
      </c>
      <c r="BZ197" s="74">
        <f t="shared" si="1374"/>
        <v>92</v>
      </c>
      <c r="CA197" s="73" t="str">
        <f t="shared" si="1375"/>
        <v>-</v>
      </c>
      <c r="CB197" s="74">
        <f t="shared" si="1376"/>
        <v>137</v>
      </c>
      <c r="CC197" s="73">
        <f t="shared" si="1377"/>
        <v>175</v>
      </c>
      <c r="CD197" s="74">
        <f t="shared" si="1378"/>
        <v>181</v>
      </c>
      <c r="CE197" s="73">
        <f t="shared" si="1379"/>
        <v>240</v>
      </c>
      <c r="CF197" s="74">
        <f t="shared" si="1380"/>
        <v>269</v>
      </c>
      <c r="CG197" s="73">
        <f t="shared" si="1381"/>
        <v>302</v>
      </c>
      <c r="CH197" s="72">
        <f t="shared" si="1382"/>
        <v>53</v>
      </c>
      <c r="CI197" s="73" t="str">
        <f t="shared" si="1383"/>
        <v>-</v>
      </c>
      <c r="CJ197" s="74">
        <f t="shared" si="1384"/>
        <v>86</v>
      </c>
      <c r="CK197" s="74" t="str">
        <f t="shared" si="1385"/>
        <v>-</v>
      </c>
      <c r="CL197" s="74">
        <f t="shared" si="1386"/>
        <v>128</v>
      </c>
      <c r="CM197" s="74" t="str">
        <f t="shared" si="1387"/>
        <v>-</v>
      </c>
      <c r="CN197" s="74">
        <f t="shared" si="1388"/>
        <v>162</v>
      </c>
      <c r="CO197" s="74">
        <f t="shared" si="1389"/>
        <v>177</v>
      </c>
      <c r="CP197" s="74">
        <f t="shared" si="1390"/>
        <v>223</v>
      </c>
      <c r="CQ197" s="74">
        <f t="shared" si="1391"/>
        <v>261</v>
      </c>
      <c r="CR197" s="74">
        <f t="shared" si="1392"/>
        <v>301</v>
      </c>
      <c r="CS197" s="74">
        <f t="shared" si="1393"/>
        <v>312</v>
      </c>
      <c r="CT197" s="23" t="e">
        <f t="shared" si="1394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395"/>
        <v>p2y12_human_4PXZ</v>
      </c>
      <c r="B198" s="3" t="s">
        <v>352</v>
      </c>
      <c r="C198" s="3" t="s">
        <v>1153</v>
      </c>
      <c r="D198" s="3" t="str">
        <f>IFERROR(MID(VLOOKUP($B198,Seqs!$A:$B,2,0),E198,1),"")</f>
        <v>I</v>
      </c>
      <c r="E198" s="3">
        <v>23</v>
      </c>
      <c r="F198" s="3" t="str">
        <f>IFERROR(MID(VLOOKUP($B198,Seqs!$A:$B,2,0),G198,1),"")</f>
        <v>I</v>
      </c>
      <c r="G198" s="3">
        <v>53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57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G</v>
      </c>
      <c r="U198" s="3">
        <v>90</v>
      </c>
      <c r="V198" s="3" t="str">
        <f>IFERROR(MID(VLOOKUP($B198,Seqs!$A:$B,2,0),W198,1),"")</f>
        <v>R</v>
      </c>
      <c r="W198" s="3">
        <v>128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N</v>
      </c>
      <c r="AC198" s="9">
        <v>137</v>
      </c>
      <c r="AD198" s="3" t="str">
        <f>IFERROR(MID(VLOOKUP($B198,Seqs!$A:$B,2,0),AE198,1),"")</f>
        <v>T</v>
      </c>
      <c r="AE198" s="3">
        <v>163</v>
      </c>
      <c r="AF198" s="3" t="str">
        <f>IFERROR(MID(VLOOKUP($B198,Seqs!$A:$B,2,0),AG198,1),"")</f>
        <v>C</v>
      </c>
      <c r="AG198" s="3">
        <v>175</v>
      </c>
      <c r="AH198" s="3" t="str">
        <f>IFERROR(MID(VLOOKUP($B198,Seqs!$A:$B,2,0),AI198,1),"")</f>
        <v>F</v>
      </c>
      <c r="AI198" s="3">
        <v>177</v>
      </c>
      <c r="AJ198" s="3" t="str">
        <f>IFERROR(MID(VLOOKUP($B198,Seqs!$A:$B,2,0),AK198,1),"")</f>
        <v>E</v>
      </c>
      <c r="AK198" s="3">
        <v>181</v>
      </c>
      <c r="AL198" s="3" t="str">
        <f>IFERROR(MID(VLOOKUP($B198,Seqs!$A:$B,2,0),AM198,1),"")</f>
        <v>S</v>
      </c>
      <c r="AM198" s="3">
        <v>219</v>
      </c>
      <c r="AN198" s="3" t="str">
        <f>IFERROR(MID(VLOOKUP($B198,Seqs!$A:$B,2,0),AO198,1),"")</f>
        <v>V</v>
      </c>
      <c r="AO198" s="3">
        <v>236</v>
      </c>
      <c r="AP198" s="3" t="str">
        <f>IFERROR(MID(VLOOKUP($B198,Seqs!$A:$B,2,0),AQ198,1),"")</f>
        <v>R</v>
      </c>
      <c r="AQ198" s="3">
        <v>265</v>
      </c>
      <c r="AR198" s="3" t="str">
        <f>IFERROR(MID(VLOOKUP($B198,Seqs!$A:$B,2,0),AS198,1),"")</f>
        <v>D</v>
      </c>
      <c r="AS198" s="3">
        <v>269</v>
      </c>
      <c r="AT198" s="3" t="str">
        <f>IFERROR(MID(VLOOKUP($B198,Seqs!$A:$B,2,0),AU198,1),"")</f>
        <v>C</v>
      </c>
      <c r="AU198" s="3">
        <v>292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9" t="str">
        <f>VLOOKUP(B198,Classification!A:D,2,0)</f>
        <v>A</v>
      </c>
      <c r="BA198" s="96" t="str">
        <f>VLOOKUP(B198,Classification!A:D,4,0)</f>
        <v>P2Y</v>
      </c>
      <c r="BB198" s="27" t="b">
        <f t="shared" si="1396"/>
        <v>1</v>
      </c>
      <c r="BC198" s="23">
        <f t="shared" si="1369"/>
        <v>227</v>
      </c>
      <c r="BD198" s="4" t="s">
        <v>23</v>
      </c>
      <c r="BE198" s="3" t="s">
        <v>1439</v>
      </c>
      <c r="BF198" s="121">
        <v>2.5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370"/>
        <v>23</v>
      </c>
      <c r="BW198" s="73" t="str">
        <f t="shared" si="1371"/>
        <v>-</v>
      </c>
      <c r="BX198" s="74">
        <f t="shared" si="1372"/>
        <v>57</v>
      </c>
      <c r="BY198" s="73" t="str">
        <f t="shared" si="1373"/>
        <v>-</v>
      </c>
      <c r="BZ198" s="74">
        <f t="shared" si="1374"/>
        <v>90</v>
      </c>
      <c r="CA198" s="73" t="str">
        <f t="shared" si="1375"/>
        <v>-</v>
      </c>
      <c r="CB198" s="74">
        <f t="shared" si="1376"/>
        <v>137</v>
      </c>
      <c r="CC198" s="73">
        <f t="shared" si="1377"/>
        <v>175</v>
      </c>
      <c r="CD198" s="74">
        <f t="shared" si="1378"/>
        <v>181</v>
      </c>
      <c r="CE198" s="73">
        <f t="shared" si="1379"/>
        <v>236</v>
      </c>
      <c r="CF198" s="74">
        <f t="shared" si="1380"/>
        <v>269</v>
      </c>
      <c r="CG198" s="73" t="str">
        <f t="shared" si="1381"/>
        <v>-</v>
      </c>
      <c r="CH198" s="72">
        <f t="shared" si="1382"/>
        <v>53</v>
      </c>
      <c r="CI198" s="73" t="str">
        <f t="shared" si="1383"/>
        <v>-</v>
      </c>
      <c r="CJ198" s="74">
        <f t="shared" si="1384"/>
        <v>86</v>
      </c>
      <c r="CK198" s="74" t="str">
        <f t="shared" si="1385"/>
        <v>-</v>
      </c>
      <c r="CL198" s="74">
        <f t="shared" si="1386"/>
        <v>128</v>
      </c>
      <c r="CM198" s="74" t="str">
        <f t="shared" si="1387"/>
        <v>-</v>
      </c>
      <c r="CN198" s="74">
        <f t="shared" si="1388"/>
        <v>163</v>
      </c>
      <c r="CO198" s="74">
        <f t="shared" si="1389"/>
        <v>177</v>
      </c>
      <c r="CP198" s="74">
        <f t="shared" si="1390"/>
        <v>219</v>
      </c>
      <c r="CQ198" s="74">
        <f t="shared" si="1391"/>
        <v>265</v>
      </c>
      <c r="CR198" s="74">
        <f t="shared" si="1392"/>
        <v>292</v>
      </c>
      <c r="CS198" s="74" t="str">
        <f t="shared" si="1393"/>
        <v>-</v>
      </c>
      <c r="CT198" s="23" t="e">
        <f t="shared" si="1394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395"/>
        <v>p2y12_human_4PY0</v>
      </c>
      <c r="B199" s="3" t="s">
        <v>352</v>
      </c>
      <c r="C199" s="3" t="s">
        <v>1051</v>
      </c>
      <c r="D199" s="3" t="str">
        <f>IFERROR(MID(VLOOKUP($B199,Seqs!$A:$B,2,0),E199,1),"")</f>
        <v>I</v>
      </c>
      <c r="E199" s="3">
        <v>23</v>
      </c>
      <c r="F199" s="3" t="str">
        <f>IFERROR(MID(VLOOKUP($B199,Seqs!$A:$B,2,0),G199,1),"")</f>
        <v>I</v>
      </c>
      <c r="G199" s="3">
        <v>53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57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G</v>
      </c>
      <c r="U199" s="3">
        <v>90</v>
      </c>
      <c r="V199" s="3" t="str">
        <f>IFERROR(MID(VLOOKUP($B199,Seqs!$A:$B,2,0),W199,1),"")</f>
        <v>R</v>
      </c>
      <c r="W199" s="3">
        <v>128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N</v>
      </c>
      <c r="AC199" s="9">
        <v>137</v>
      </c>
      <c r="AD199" s="3" t="str">
        <f>IFERROR(MID(VLOOKUP($B199,Seqs!$A:$B,2,0),AE199,1),"")</f>
        <v>T</v>
      </c>
      <c r="AE199" s="3">
        <v>163</v>
      </c>
      <c r="AF199" s="3" t="str">
        <f>IFERROR(MID(VLOOKUP($B199,Seqs!$A:$B,2,0),AG199,1),"")</f>
        <v>C</v>
      </c>
      <c r="AG199" s="3">
        <v>175</v>
      </c>
      <c r="AH199" s="3" t="str">
        <f>IFERROR(MID(VLOOKUP($B199,Seqs!$A:$B,2,0),AI199,1),"")</f>
        <v>F</v>
      </c>
      <c r="AI199" s="3">
        <v>177</v>
      </c>
      <c r="AJ199" s="3" t="str">
        <f>IFERROR(MID(VLOOKUP($B199,Seqs!$A:$B,2,0),AK199,1),"")</f>
        <v>E</v>
      </c>
      <c r="AK199" s="3">
        <v>181</v>
      </c>
      <c r="AL199" s="3" t="str">
        <f>IFERROR(MID(VLOOKUP($B199,Seqs!$A:$B,2,0),AM199,1),"")</f>
        <v>S</v>
      </c>
      <c r="AM199" s="3">
        <v>219</v>
      </c>
      <c r="AN199" s="3" t="str">
        <f>IFERROR(MID(VLOOKUP($B199,Seqs!$A:$B,2,0),AO199,1),"")</f>
        <v>V</v>
      </c>
      <c r="AO199" s="3">
        <v>236</v>
      </c>
      <c r="AP199" s="3" t="str">
        <f>IFERROR(MID(VLOOKUP($B199,Seqs!$A:$B,2,0),AQ199,1),"")</f>
        <v>R</v>
      </c>
      <c r="AQ199" s="3">
        <v>265</v>
      </c>
      <c r="AR199" s="3" t="str">
        <f>IFERROR(MID(VLOOKUP($B199,Seqs!$A:$B,2,0),AS199,1),"")</f>
        <v>D</v>
      </c>
      <c r="AS199" s="3">
        <v>269</v>
      </c>
      <c r="AT199" s="3" t="str">
        <f>IFERROR(MID(VLOOKUP($B199,Seqs!$A:$B,2,0),AU199,1),"")</f>
        <v>C</v>
      </c>
      <c r="AU199" s="3">
        <v>292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9" t="str">
        <f>VLOOKUP(B199,Classification!A:D,2,0)</f>
        <v>A</v>
      </c>
      <c r="BA199" s="96" t="str">
        <f>VLOOKUP(B199,Classification!A:D,4,0)</f>
        <v>P2Y</v>
      </c>
      <c r="BB199" s="27" t="b">
        <f t="shared" si="1396"/>
        <v>1</v>
      </c>
      <c r="BC199" s="23">
        <f t="shared" si="1369"/>
        <v>227</v>
      </c>
      <c r="BD199" s="4" t="s">
        <v>23</v>
      </c>
      <c r="BE199" s="3" t="s">
        <v>1439</v>
      </c>
      <c r="BF199" s="121">
        <v>3.1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370"/>
        <v>23</v>
      </c>
      <c r="BW199" s="73" t="str">
        <f t="shared" si="1371"/>
        <v>-</v>
      </c>
      <c r="BX199" s="74">
        <f t="shared" si="1372"/>
        <v>57</v>
      </c>
      <c r="BY199" s="73" t="str">
        <f t="shared" si="1373"/>
        <v>-</v>
      </c>
      <c r="BZ199" s="74">
        <f t="shared" si="1374"/>
        <v>90</v>
      </c>
      <c r="CA199" s="73" t="str">
        <f t="shared" si="1375"/>
        <v>-</v>
      </c>
      <c r="CB199" s="74">
        <f t="shared" si="1376"/>
        <v>137</v>
      </c>
      <c r="CC199" s="73">
        <f t="shared" si="1377"/>
        <v>175</v>
      </c>
      <c r="CD199" s="74">
        <f t="shared" si="1378"/>
        <v>181</v>
      </c>
      <c r="CE199" s="73">
        <f t="shared" si="1379"/>
        <v>236</v>
      </c>
      <c r="CF199" s="74">
        <f t="shared" si="1380"/>
        <v>269</v>
      </c>
      <c r="CG199" s="73" t="str">
        <f t="shared" si="1381"/>
        <v>-</v>
      </c>
      <c r="CH199" s="72">
        <f t="shared" si="1382"/>
        <v>53</v>
      </c>
      <c r="CI199" s="73" t="str">
        <f t="shared" si="1383"/>
        <v>-</v>
      </c>
      <c r="CJ199" s="74">
        <f t="shared" si="1384"/>
        <v>86</v>
      </c>
      <c r="CK199" s="74" t="str">
        <f t="shared" si="1385"/>
        <v>-</v>
      </c>
      <c r="CL199" s="74">
        <f t="shared" si="1386"/>
        <v>128</v>
      </c>
      <c r="CM199" s="74" t="str">
        <f t="shared" si="1387"/>
        <v>-</v>
      </c>
      <c r="CN199" s="74">
        <f t="shared" si="1388"/>
        <v>163</v>
      </c>
      <c r="CO199" s="74">
        <f t="shared" si="1389"/>
        <v>177</v>
      </c>
      <c r="CP199" s="74">
        <f t="shared" si="1390"/>
        <v>219</v>
      </c>
      <c r="CQ199" s="74">
        <f t="shared" si="1391"/>
        <v>265</v>
      </c>
      <c r="CR199" s="74">
        <f t="shared" si="1392"/>
        <v>292</v>
      </c>
      <c r="CS199" s="74" t="str">
        <f t="shared" si="1393"/>
        <v>-</v>
      </c>
      <c r="CT199" s="23" t="e">
        <f t="shared" si="1394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395"/>
        <v>par1_human__wt</v>
      </c>
      <c r="B200" s="3" t="s">
        <v>355</v>
      </c>
      <c r="C200" s="3" t="s">
        <v>100</v>
      </c>
      <c r="D200" s="3" t="str">
        <f>IFERROR(MID(VLOOKUP($B200,Seqs!$A:$B,2,0),E200,1),"")</f>
        <v>S</v>
      </c>
      <c r="E200" s="3">
        <v>99</v>
      </c>
      <c r="F200" s="3" t="str">
        <f>IFERROR(MID(VLOOKUP($B200,Seqs!$A:$B,2,0),G200,1),"")</f>
        <v>K</v>
      </c>
      <c r="G200" s="3">
        <v>130</v>
      </c>
      <c r="H200" s="3" t="str">
        <f>IFERROR(MID(VLOOKUP($B200,Seqs!$A:$B,2,0),I200,1),"")</f>
        <v>M</v>
      </c>
      <c r="I200" s="23">
        <v>131</v>
      </c>
      <c r="J200" s="3" t="str">
        <f>IFERROR(MID(VLOOKUP($B200,Seqs!$A:$B,2,0),K200,1),"")</f>
        <v>K</v>
      </c>
      <c r="K200" s="23">
        <v>134</v>
      </c>
      <c r="L200" s="3" t="str">
        <f>IFERROR(MID(VLOOKUP($B200,Seqs!$A:$B,2,0),M200,1),"")</f>
        <v>K</v>
      </c>
      <c r="M200" s="3">
        <v>135</v>
      </c>
      <c r="N200" s="3" t="str">
        <f>IFERROR(MID(VLOOKUP($B200,Seqs!$A:$B,2,0),O200,1),"")</f>
        <v>S</v>
      </c>
      <c r="O200" s="3">
        <v>164</v>
      </c>
      <c r="P200" s="3" t="str">
        <f>IFERROR(MID(VLOOKUP($B200,Seqs!$A:$B,2,0),Q200,1),"")</f>
        <v>D</v>
      </c>
      <c r="Q200" s="3">
        <v>167</v>
      </c>
      <c r="R200" s="3" t="str">
        <f>IFERROR(MID(VLOOKUP($B200,Seqs!$A:$B,2,0),S200,1),"")</f>
        <v>F</v>
      </c>
      <c r="S200" s="3">
        <v>170</v>
      </c>
      <c r="T200" s="3" t="str">
        <f>IFERROR(MID(VLOOKUP($B200,Seqs!$A:$B,2,0),U200,1),"")</f>
        <v>G</v>
      </c>
      <c r="U200" s="3">
        <v>171</v>
      </c>
      <c r="V200" s="3" t="str">
        <f>IFERROR(MID(VLOOKUP($B200,Seqs!$A:$B,2,0),W200,1),"")</f>
        <v>Y</v>
      </c>
      <c r="W200" s="3">
        <v>206</v>
      </c>
      <c r="X200" s="3" t="str">
        <f>IFERROR(MID(VLOOKUP($B200,Seqs!$A:$B,2,0),Y200,1),"")</f>
        <v>P</v>
      </c>
      <c r="Y200" s="3">
        <v>207</v>
      </c>
      <c r="Z200" s="3" t="str">
        <f>IFERROR(MID(VLOOKUP($B200,Seqs!$A:$B,2,0),AA200,1),"")</f>
        <v>R</v>
      </c>
      <c r="AA200" s="3">
        <v>214</v>
      </c>
      <c r="AB200" s="3" t="str">
        <f>IFERROR(MID(VLOOKUP($B200,Seqs!$A:$B,2,0),AC200,1),"")</f>
        <v>T</v>
      </c>
      <c r="AC200" s="9">
        <v>215</v>
      </c>
      <c r="AD200" s="3" t="str">
        <f>IFERROR(MID(VLOOKUP($B200,Seqs!$A:$B,2,0),AE200,1),"")</f>
        <v>K</v>
      </c>
      <c r="AE200" s="3">
        <v>240</v>
      </c>
      <c r="AF200" s="3" t="str">
        <f>IFERROR(MID(VLOOKUP($B200,Seqs!$A:$B,2,0),AG200,1),"")</f>
        <v>C</v>
      </c>
      <c r="AG200" s="3">
        <v>254</v>
      </c>
      <c r="AH200" s="3" t="str">
        <f>IFERROR(MID(VLOOKUP($B200,Seqs!$A:$B,2,0),AI200,1),"")</f>
        <v>D</v>
      </c>
      <c r="AI200" s="3">
        <v>256</v>
      </c>
      <c r="AJ200" s="3" t="str">
        <f>IFERROR(MID(VLOOKUP($B200,Seqs!$A:$B,2,0),AK200,1),"")</f>
        <v>E</v>
      </c>
      <c r="AK200" s="3">
        <v>264</v>
      </c>
      <c r="AL200" s="3" t="str">
        <f>IFERROR(MID(VLOOKUP($B200,Seqs!$A:$B,2,0),AM200,1),"")</f>
        <v>S</v>
      </c>
      <c r="AM200" s="3">
        <v>299</v>
      </c>
      <c r="AN200" s="3" t="str">
        <f>IFERROR(MID(VLOOKUP($B200,Seqs!$A:$B,2,0),AO200,1),"")</f>
        <v>N</v>
      </c>
      <c r="AO200" s="3">
        <v>304</v>
      </c>
      <c r="AP200" s="3" t="str">
        <f>IFERROR(MID(VLOOKUP($B200,Seqs!$A:$B,2,0),AQ200,1),"")</f>
        <v>L</v>
      </c>
      <c r="AQ200" s="3">
        <v>340</v>
      </c>
      <c r="AR200" s="3" t="str">
        <f>IFERROR(MID(VLOOKUP($B200,Seqs!$A:$B,2,0),AS200,1),"")</f>
        <v>T</v>
      </c>
      <c r="AS200" s="3">
        <v>346</v>
      </c>
      <c r="AT200" s="3" t="str">
        <f>IFERROR(MID(VLOOKUP($B200,Seqs!$A:$B,2,0),AU200,1),"")</f>
        <v>A</v>
      </c>
      <c r="AU200" s="3">
        <v>374</v>
      </c>
      <c r="AV200" s="3" t="str">
        <f>IFERROR(MID(VLOOKUP($B200,Seqs!$A:$B,2,0),AW200,1),"")</f>
        <v>S</v>
      </c>
      <c r="AW200" s="3">
        <v>375</v>
      </c>
      <c r="AX200" s="3" t="str">
        <f>IFERROR(MID(VLOOKUP($B200,Seqs!$A:$B,2,0),AY200,1),"")</f>
        <v>K</v>
      </c>
      <c r="AY200" s="3">
        <v>389</v>
      </c>
      <c r="AZ200" s="79" t="str">
        <f>VLOOKUP(B200,Classification!A:D,2,0)</f>
        <v>A</v>
      </c>
      <c r="BA200" s="96" t="str">
        <f>VLOOKUP(B200,Classification!A:D,4,0)</f>
        <v>Proteinase-activated</v>
      </c>
      <c r="BB200" s="27" t="b">
        <f t="shared" si="1396"/>
        <v>1</v>
      </c>
      <c r="BC200" s="23">
        <f t="shared" si="1369"/>
        <v>260</v>
      </c>
      <c r="BD200" s="57" t="s">
        <v>1379</v>
      </c>
      <c r="BE200" s="3" t="s">
        <v>23</v>
      </c>
      <c r="BF200" s="121" t="s">
        <v>23</v>
      </c>
      <c r="BG200" s="50" t="s">
        <v>1379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370"/>
        <v>99</v>
      </c>
      <c r="BW200" s="73">
        <f t="shared" si="1371"/>
        <v>131</v>
      </c>
      <c r="BX200" s="74">
        <f t="shared" si="1372"/>
        <v>135</v>
      </c>
      <c r="BY200" s="73">
        <f t="shared" si="1373"/>
        <v>167</v>
      </c>
      <c r="BZ200" s="74">
        <f t="shared" si="1374"/>
        <v>171</v>
      </c>
      <c r="CA200" s="73">
        <f t="shared" si="1375"/>
        <v>207</v>
      </c>
      <c r="CB200" s="74">
        <f t="shared" si="1376"/>
        <v>215</v>
      </c>
      <c r="CC200" s="73">
        <f t="shared" si="1377"/>
        <v>254</v>
      </c>
      <c r="CD200" s="74">
        <f t="shared" si="1378"/>
        <v>264</v>
      </c>
      <c r="CE200" s="73">
        <f t="shared" si="1379"/>
        <v>304</v>
      </c>
      <c r="CF200" s="74">
        <f t="shared" si="1380"/>
        <v>346</v>
      </c>
      <c r="CG200" s="73">
        <f t="shared" si="1381"/>
        <v>375</v>
      </c>
      <c r="CH200" s="72">
        <f t="shared" si="1382"/>
        <v>130</v>
      </c>
      <c r="CI200" s="73">
        <f t="shared" si="1383"/>
        <v>134</v>
      </c>
      <c r="CJ200" s="74">
        <f t="shared" si="1384"/>
        <v>164</v>
      </c>
      <c r="CK200" s="74">
        <f t="shared" si="1385"/>
        <v>170</v>
      </c>
      <c r="CL200" s="74">
        <f t="shared" si="1386"/>
        <v>206</v>
      </c>
      <c r="CM200" s="74">
        <f t="shared" si="1387"/>
        <v>214</v>
      </c>
      <c r="CN200" s="74">
        <f t="shared" si="1388"/>
        <v>240</v>
      </c>
      <c r="CO200" s="74">
        <f t="shared" si="1389"/>
        <v>256</v>
      </c>
      <c r="CP200" s="74">
        <f t="shared" si="1390"/>
        <v>299</v>
      </c>
      <c r="CQ200" s="74">
        <f t="shared" si="1391"/>
        <v>340</v>
      </c>
      <c r="CR200" s="74">
        <f t="shared" si="1392"/>
        <v>374</v>
      </c>
      <c r="CS200" s="74">
        <f t="shared" si="1393"/>
        <v>389</v>
      </c>
      <c r="CT200" s="23">
        <f t="shared" si="1394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395"/>
        <v>par1_human_3VW7</v>
      </c>
      <c r="B201" s="3" t="s">
        <v>355</v>
      </c>
      <c r="C201" s="3" t="s">
        <v>93</v>
      </c>
      <c r="D201" s="3" t="str">
        <f>IFERROR(MID(VLOOKUP($B201,Seqs!$A:$B,2,0),E201,1),"")</f>
        <v>S</v>
      </c>
      <c r="E201" s="3">
        <v>99</v>
      </c>
      <c r="F201" s="3" t="str">
        <f>IFERROR(MID(VLOOKUP($B201,Seqs!$A:$B,2,0),G201,1),"")</f>
        <v>K</v>
      </c>
      <c r="G201" s="3">
        <v>130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K</v>
      </c>
      <c r="M201" s="3">
        <v>135</v>
      </c>
      <c r="N201" s="3" t="str">
        <f>IFERROR(MID(VLOOKUP($B201,Seqs!$A:$B,2,0),O201,1),"")</f>
        <v>S</v>
      </c>
      <c r="O201" s="3">
        <v>164</v>
      </c>
      <c r="P201" s="3" t="str">
        <f>IFERROR(MID(VLOOKUP($B201,Seqs!$A:$B,2,0),Q201,1),"")</f>
        <v>D</v>
      </c>
      <c r="Q201" s="3">
        <v>167</v>
      </c>
      <c r="R201" s="3" t="str">
        <f>IFERROR(MID(VLOOKUP($B201,Seqs!$A:$B,2,0),S201,1),"")</f>
        <v>F</v>
      </c>
      <c r="S201" s="3">
        <v>170</v>
      </c>
      <c r="T201" s="3" t="str">
        <f>IFERROR(MID(VLOOKUP($B201,Seqs!$A:$B,2,0),U201,1),"")</f>
        <v>G</v>
      </c>
      <c r="U201" s="3">
        <v>171</v>
      </c>
      <c r="V201" s="3" t="str">
        <f>IFERROR(MID(VLOOKUP($B201,Seqs!$A:$B,2,0),W201,1),"")</f>
        <v>Y</v>
      </c>
      <c r="W201" s="3">
        <v>206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T</v>
      </c>
      <c r="AC201" s="9">
        <v>215</v>
      </c>
      <c r="AD201" s="3" t="str">
        <f>IFERROR(MID(VLOOKUP($B201,Seqs!$A:$B,2,0),AE201,1),"")</f>
        <v>K</v>
      </c>
      <c r="AE201" s="3">
        <v>240</v>
      </c>
      <c r="AF201" s="3" t="str">
        <f>IFERROR(MID(VLOOKUP($B201,Seqs!$A:$B,2,0),AG201,1),"")</f>
        <v>C</v>
      </c>
      <c r="AG201" s="3">
        <v>254</v>
      </c>
      <c r="AH201" s="3" t="str">
        <f>IFERROR(MID(VLOOKUP($B201,Seqs!$A:$B,2,0),AI201,1),"")</f>
        <v>D</v>
      </c>
      <c r="AI201" s="3">
        <v>256</v>
      </c>
      <c r="AJ201" s="3" t="str">
        <f>IFERROR(MID(VLOOKUP($B201,Seqs!$A:$B,2,0),AK201,1),"")</f>
        <v>E</v>
      </c>
      <c r="AK201" s="3">
        <v>264</v>
      </c>
      <c r="AL201" s="3" t="str">
        <f>IFERROR(MID(VLOOKUP($B201,Seqs!$A:$B,2,0),AM201,1),"")</f>
        <v>S</v>
      </c>
      <c r="AM201" s="3">
        <v>300</v>
      </c>
      <c r="AN201" s="3" t="str">
        <f>IFERROR(MID(VLOOKUP($B201,Seqs!$A:$B,2,0),AO201,1),"")</f>
        <v>N</v>
      </c>
      <c r="AO201" s="3">
        <v>304</v>
      </c>
      <c r="AP201" s="3" t="str">
        <f>IFERROR(MID(VLOOKUP($B201,Seqs!$A:$B,2,0),AQ201,1),"")</f>
        <v>L</v>
      </c>
      <c r="AQ201" s="3">
        <v>340</v>
      </c>
      <c r="AR201" s="3" t="str">
        <f>IFERROR(MID(VLOOKUP($B201,Seqs!$A:$B,2,0),AS201,1),"")</f>
        <v>T</v>
      </c>
      <c r="AS201" s="3">
        <v>346</v>
      </c>
      <c r="AT201" s="3" t="str">
        <f>IFERROR(MID(VLOOKUP($B201,Seqs!$A:$B,2,0),AU201,1),"")</f>
        <v>Y</v>
      </c>
      <c r="AU201" s="3">
        <v>372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9" t="str">
        <f>VLOOKUP(B201,Classification!A:D,2,0)</f>
        <v>A</v>
      </c>
      <c r="BA201" s="96" t="str">
        <f>VLOOKUP(B201,Classification!A:D,4,0)</f>
        <v>Proteinase-activated</v>
      </c>
      <c r="BB201" s="27" t="b">
        <f t="shared" si="1396"/>
        <v>1</v>
      </c>
      <c r="BC201" s="23">
        <f t="shared" si="1369"/>
        <v>235</v>
      </c>
      <c r="BD201" s="2" t="s">
        <v>1440</v>
      </c>
      <c r="BE201" s="3" t="s">
        <v>1439</v>
      </c>
      <c r="BF201" s="121">
        <v>2.2000000000000002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370"/>
        <v>99</v>
      </c>
      <c r="BW201" s="73" t="str">
        <f t="shared" si="1371"/>
        <v>-</v>
      </c>
      <c r="BX201" s="74">
        <f t="shared" si="1372"/>
        <v>135</v>
      </c>
      <c r="BY201" s="73">
        <f t="shared" si="1373"/>
        <v>167</v>
      </c>
      <c r="BZ201" s="74">
        <f t="shared" si="1374"/>
        <v>171</v>
      </c>
      <c r="CA201" s="73" t="str">
        <f t="shared" si="1375"/>
        <v>-</v>
      </c>
      <c r="CB201" s="74">
        <f t="shared" si="1376"/>
        <v>215</v>
      </c>
      <c r="CC201" s="73">
        <f t="shared" si="1377"/>
        <v>254</v>
      </c>
      <c r="CD201" s="74">
        <f t="shared" si="1378"/>
        <v>264</v>
      </c>
      <c r="CE201" s="73">
        <f t="shared" si="1379"/>
        <v>304</v>
      </c>
      <c r="CF201" s="74">
        <f t="shared" si="1380"/>
        <v>346</v>
      </c>
      <c r="CG201" s="73" t="str">
        <f t="shared" si="1381"/>
        <v>-</v>
      </c>
      <c r="CH201" s="72">
        <f t="shared" si="1382"/>
        <v>130</v>
      </c>
      <c r="CI201" s="73" t="str">
        <f t="shared" si="1383"/>
        <v>-</v>
      </c>
      <c r="CJ201" s="74">
        <f t="shared" si="1384"/>
        <v>164</v>
      </c>
      <c r="CK201" s="74">
        <f t="shared" si="1385"/>
        <v>170</v>
      </c>
      <c r="CL201" s="74">
        <f t="shared" si="1386"/>
        <v>206</v>
      </c>
      <c r="CM201" s="74" t="str">
        <f t="shared" si="1387"/>
        <v>-</v>
      </c>
      <c r="CN201" s="74">
        <f t="shared" si="1388"/>
        <v>240</v>
      </c>
      <c r="CO201" s="74">
        <f t="shared" si="1389"/>
        <v>256</v>
      </c>
      <c r="CP201" s="74">
        <f t="shared" si="1390"/>
        <v>300</v>
      </c>
      <c r="CQ201" s="74">
        <f t="shared" si="1391"/>
        <v>340</v>
      </c>
      <c r="CR201" s="74">
        <f t="shared" si="1392"/>
        <v>372</v>
      </c>
      <c r="CS201" s="74" t="str">
        <f t="shared" si="1393"/>
        <v>-</v>
      </c>
      <c r="CT201" s="23" t="e">
        <f t="shared" si="1394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ref="A202:A203" si="1565">CONCATENATE(B202,"_",C202)</f>
        <v>par2_human__wt</v>
      </c>
      <c r="B202" s="3" t="s">
        <v>356</v>
      </c>
      <c r="C202" s="3" t="s">
        <v>100</v>
      </c>
      <c r="D202" s="3" t="str">
        <f>IFERROR(MID(VLOOKUP($B202,Seqs!$A:$B,2,0),E202,1),"")</f>
        <v>G</v>
      </c>
      <c r="E202" s="3">
        <v>71</v>
      </c>
      <c r="F202" s="3" t="str">
        <f>IFERROR(MID(VLOOKUP($B202,Seqs!$A:$B,2,0),G202,1),"")</f>
        <v>R</v>
      </c>
      <c r="G202" s="3">
        <v>103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H</v>
      </c>
      <c r="M202" s="3">
        <v>108</v>
      </c>
      <c r="N202" s="3" t="str">
        <f>IFERROR(MID(VLOOKUP($B202,Seqs!$A:$B,2,0),O202,1),"")</f>
        <v>H</v>
      </c>
      <c r="O202" s="3">
        <v>137</v>
      </c>
      <c r="P202" s="3" t="str">
        <f>IFERROR(MID(VLOOKUP($B202,Seqs!$A:$B,2,0),Q202,1),"")</f>
        <v>G</v>
      </c>
      <c r="Q202" s="3">
        <v>138</v>
      </c>
      <c r="R202" s="3" t="str">
        <f>IFERROR(MID(VLOOKUP($B202,Seqs!$A:$B,2,0),S202,1),"")</f>
        <v>Y</v>
      </c>
      <c r="S202" s="3">
        <v>143</v>
      </c>
      <c r="T202" s="3" t="str">
        <f>IFERROR(MID(VLOOKUP($B202,Seqs!$A:$B,2,0),U202,1),"")</f>
        <v>G</v>
      </c>
      <c r="U202" s="3">
        <v>144</v>
      </c>
      <c r="V202" s="3" t="str">
        <f>IFERROR(MID(VLOOKUP($B202,Seqs!$A:$B,2,0),W202,1),"")</f>
        <v>N</v>
      </c>
      <c r="W202" s="3">
        <v>179</v>
      </c>
      <c r="X202" s="3" t="str">
        <f>IFERROR(MID(VLOOKUP($B202,Seqs!$A:$B,2,0),Y202,1),"")</f>
        <v>P</v>
      </c>
      <c r="Y202" s="3">
        <v>180</v>
      </c>
      <c r="Z202" s="3" t="str">
        <f>IFERROR(MID(VLOOKUP($B202,Seqs!$A:$B,2,0),AA202,1),"")</f>
        <v>K</v>
      </c>
      <c r="AA202" s="3">
        <v>186</v>
      </c>
      <c r="AB202" s="3" t="str">
        <f>IFERROR(MID(VLOOKUP($B202,Seqs!$A:$B,2,0),AC202,1),"")</f>
        <v>K</v>
      </c>
      <c r="AC202" s="3">
        <v>187</v>
      </c>
      <c r="AD202" s="3" t="str">
        <f>IFERROR(MID(VLOOKUP($B202,Seqs!$A:$B,2,0),AE202,1),"")</f>
        <v>V</v>
      </c>
      <c r="AE202" s="3">
        <v>211</v>
      </c>
      <c r="AF202" s="3" t="str">
        <f>IFERROR(MID(VLOOKUP($B202,Seqs!$A:$B,2,0),AG202,1),"")</f>
        <v>C</v>
      </c>
      <c r="AG202" s="3">
        <v>226</v>
      </c>
      <c r="AH202" s="3" t="str">
        <f>IFERROR(MID(VLOOKUP($B202,Seqs!$A:$B,2,0),AI202,1),"")</f>
        <v>D</v>
      </c>
      <c r="AI202" s="3">
        <v>228</v>
      </c>
      <c r="AJ202" s="3" t="str">
        <f>IFERROR(MID(VLOOKUP($B202,Seqs!$A:$B,2,0),AK202,1),"")</f>
        <v>L</v>
      </c>
      <c r="AK202" s="3">
        <v>235</v>
      </c>
      <c r="AL202" s="3" t="str">
        <f>IFERROR(MID(VLOOKUP($B202,Seqs!$A:$B,2,0),AM202,1),"")</f>
        <v>S</v>
      </c>
      <c r="AM202" s="3">
        <v>272</v>
      </c>
      <c r="AN202" s="3" t="str">
        <f>IFERROR(MID(VLOOKUP($B202,Seqs!$A:$B,2,0),AO202,1),"")</f>
        <v>S</v>
      </c>
      <c r="AO202" s="3">
        <v>278</v>
      </c>
      <c r="AP202" s="3" t="str">
        <f>IFERROR(MID(VLOOKUP($B202,Seqs!$A:$B,2,0),AQ202,1),"")</f>
        <v>Q</v>
      </c>
      <c r="AQ202" s="3">
        <v>317</v>
      </c>
      <c r="AR202" s="3" t="str">
        <f>IFERROR(MID(VLOOKUP($B202,Seqs!$A:$B,2,0),AS202,1),"")</f>
        <v>V</v>
      </c>
      <c r="AS202" s="3">
        <v>322</v>
      </c>
      <c r="AT202" s="3" t="str">
        <f>IFERROR(MID(VLOOKUP($B202,Seqs!$A:$B,2,0),AU202,1),"")</f>
        <v>V</v>
      </c>
      <c r="AU202" s="3">
        <v>347</v>
      </c>
      <c r="AV202" s="3" t="str">
        <f>IFERROR(MID(VLOOKUP($B202,Seqs!$A:$B,2,0),AW202,1),"")</f>
        <v>S</v>
      </c>
      <c r="AW202" s="3">
        <v>348</v>
      </c>
      <c r="AX202" s="3" t="str">
        <f>IFERROR(MID(VLOOKUP($B202,Seqs!$A:$B,2,0),AY202,1),"")</f>
        <v>R</v>
      </c>
      <c r="AY202" s="3">
        <v>362</v>
      </c>
      <c r="AZ202" s="79" t="str">
        <f>VLOOKUP(B202,Classification!A:D,2,0)</f>
        <v>A</v>
      </c>
      <c r="BA202" s="96" t="str">
        <f>VLOOKUP(B202,Classification!A:D,4,0)</f>
        <v>Proteinase-activated</v>
      </c>
      <c r="BB202" s="27" t="b">
        <f t="shared" ref="BB202:BB203" si="1566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:BC203" si="1567">_xlfn.AGGREGATE(9,6,CH202:CS202)-_xlfn.AGGREGATE(9,6,BV202:CG202)+12</f>
        <v>260</v>
      </c>
      <c r="BD202" s="2" t="s">
        <v>23</v>
      </c>
      <c r="BE202" s="3" t="s">
        <v>23</v>
      </c>
      <c r="BF202" s="121" t="s">
        <v>23</v>
      </c>
      <c r="BG202" s="50" t="s">
        <v>1384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ref="BV202:BV203" si="1568">E202</f>
        <v>71</v>
      </c>
      <c r="BW202" s="73" t="str">
        <f t="shared" ref="BW202:BW203" si="1569">I202</f>
        <v>-</v>
      </c>
      <c r="BX202" s="74">
        <f t="shared" ref="BX202:BX203" si="1570">M202</f>
        <v>108</v>
      </c>
      <c r="BY202" s="73">
        <f t="shared" ref="BY202:BY203" si="1571">Q202</f>
        <v>138</v>
      </c>
      <c r="BZ202" s="74">
        <f t="shared" ref="BZ202:BZ203" si="1572">U202</f>
        <v>144</v>
      </c>
      <c r="CA202" s="73">
        <f t="shared" ref="CA202:CA203" si="1573">Y202</f>
        <v>180</v>
      </c>
      <c r="CB202" s="74">
        <f t="shared" ref="CB202:CB203" si="1574">AC202</f>
        <v>187</v>
      </c>
      <c r="CC202" s="73">
        <f t="shared" ref="CC202:CC203" si="1575">AG202</f>
        <v>226</v>
      </c>
      <c r="CD202" s="74">
        <f t="shared" ref="CD202:CD203" si="1576">AK202</f>
        <v>235</v>
      </c>
      <c r="CE202" s="73">
        <f t="shared" ref="CE202:CE203" si="1577">AO202</f>
        <v>278</v>
      </c>
      <c r="CF202" s="74">
        <f t="shared" ref="CF202:CF203" si="1578">AS202</f>
        <v>322</v>
      </c>
      <c r="CG202" s="73">
        <f t="shared" ref="CG202:CG203" si="1579">AW202</f>
        <v>348</v>
      </c>
      <c r="CH202" s="72">
        <f t="shared" ref="CH202:CH203" si="1580">G202</f>
        <v>103</v>
      </c>
      <c r="CI202" s="73" t="str">
        <f t="shared" ref="CI202:CI203" si="1581">K202</f>
        <v>-</v>
      </c>
      <c r="CJ202" s="74">
        <f t="shared" ref="CJ202:CJ203" si="1582">O202</f>
        <v>137</v>
      </c>
      <c r="CK202" s="74">
        <f t="shared" ref="CK202:CK203" si="1583">S202</f>
        <v>143</v>
      </c>
      <c r="CL202" s="74">
        <f t="shared" ref="CL202:CL203" si="1584">W202</f>
        <v>179</v>
      </c>
      <c r="CM202" s="74">
        <f t="shared" ref="CM202:CM203" si="1585">AA202</f>
        <v>186</v>
      </c>
      <c r="CN202" s="74">
        <f t="shared" ref="CN202:CN203" si="1586">AE202</f>
        <v>211</v>
      </c>
      <c r="CO202" s="74">
        <f t="shared" ref="CO202:CO203" si="1587">AI202</f>
        <v>228</v>
      </c>
      <c r="CP202" s="74">
        <f t="shared" ref="CP202:CP203" si="1588">AM202</f>
        <v>272</v>
      </c>
      <c r="CQ202" s="74">
        <f t="shared" ref="CQ202:CQ203" si="1589">AQ202</f>
        <v>317</v>
      </c>
      <c r="CR202" s="74">
        <f t="shared" ref="CR202:CR203" si="1590">AU202</f>
        <v>347</v>
      </c>
      <c r="CS202" s="74">
        <f t="shared" ref="CS202:CS203" si="1591">AY202</f>
        <v>362</v>
      </c>
      <c r="CT202" s="23" t="e">
        <f t="shared" ref="CT202:CT203" si="1592"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565"/>
        <v>par2_human_5NDD</v>
      </c>
      <c r="B203" s="3" t="s">
        <v>356</v>
      </c>
      <c r="C203" s="3" t="s">
        <v>1403</v>
      </c>
      <c r="D203" s="3" t="str">
        <f>IFERROR(MID(VLOOKUP($B203,Seqs!$A:$B,2,0),E203,1),"")</f>
        <v>G</v>
      </c>
      <c r="E203" s="3">
        <v>71</v>
      </c>
      <c r="F203" s="3" t="str">
        <f>IFERROR(MID(VLOOKUP($B203,Seqs!$A:$B,2,0),G203,1),"")</f>
        <v>R</v>
      </c>
      <c r="G203" s="3">
        <v>103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H</v>
      </c>
      <c r="M203" s="3">
        <v>108</v>
      </c>
      <c r="N203" s="3" t="str">
        <f>IFERROR(MID(VLOOKUP($B203,Seqs!$A:$B,2,0),O203,1),"")</f>
        <v>H</v>
      </c>
      <c r="O203" s="3">
        <v>137</v>
      </c>
      <c r="P203" s="3" t="str">
        <f>IFERROR(MID(VLOOKUP($B203,Seqs!$A:$B,2,0),Q203,1),"")</f>
        <v>G</v>
      </c>
      <c r="Q203" s="3">
        <v>138</v>
      </c>
      <c r="R203" s="3" t="str">
        <f>IFERROR(MID(VLOOKUP($B203,Seqs!$A:$B,2,0),S203,1),"")</f>
        <v>Y</v>
      </c>
      <c r="S203" s="3">
        <v>143</v>
      </c>
      <c r="T203" s="3" t="str">
        <f>IFERROR(MID(VLOOKUP($B203,Seqs!$A:$B,2,0),U203,1),"")</f>
        <v>G</v>
      </c>
      <c r="U203" s="3">
        <v>144</v>
      </c>
      <c r="V203" s="3" t="str">
        <f>IFERROR(MID(VLOOKUP($B203,Seqs!$A:$B,2,0),W203,1),"")</f>
        <v>N</v>
      </c>
      <c r="W203" s="3">
        <v>179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H</v>
      </c>
      <c r="AC203" s="3">
        <v>183</v>
      </c>
      <c r="AD203" s="3" t="str">
        <f>IFERROR(MID(VLOOKUP($B203,Seqs!$A:$B,2,0),AE203,1),"")</f>
        <v>V</v>
      </c>
      <c r="AE203" s="3">
        <v>211</v>
      </c>
      <c r="AF203" s="3" t="str">
        <f>IFERROR(MID(VLOOKUP($B203,Seqs!$A:$B,2,0),AG203,1),"")</f>
        <v>C</v>
      </c>
      <c r="AG203" s="3">
        <v>226</v>
      </c>
      <c r="AH203" s="3" t="str">
        <f>IFERROR(MID(VLOOKUP($B203,Seqs!$A:$B,2,0),AI203,1),"")</f>
        <v>D</v>
      </c>
      <c r="AI203" s="3">
        <v>228</v>
      </c>
      <c r="AJ203" s="3" t="str">
        <f>IFERROR(MID(VLOOKUP($B203,Seqs!$A:$B,2,0),AK203,1),"")</f>
        <v>L</v>
      </c>
      <c r="AK203" s="3">
        <v>235</v>
      </c>
      <c r="AL203" s="3" t="str">
        <f>IFERROR(MID(VLOOKUP($B203,Seqs!$A:$B,2,0),AM203,1),"")</f>
        <v>L</v>
      </c>
      <c r="AM203" s="3">
        <v>269</v>
      </c>
      <c r="AN203" s="3" t="str">
        <f>IFERROR(MID(VLOOKUP($B203,Seqs!$A:$B,2,0),AO203,1),"")</f>
        <v>S</v>
      </c>
      <c r="AO203" s="3">
        <v>278</v>
      </c>
      <c r="AP203" s="3" t="str">
        <f>IFERROR(MID(VLOOKUP($B203,Seqs!$A:$B,2,0),AQ203,1),"")</f>
        <v>Q</v>
      </c>
      <c r="AQ203" s="3">
        <v>317</v>
      </c>
      <c r="AR203" s="3" t="str">
        <f>IFERROR(MID(VLOOKUP($B203,Seqs!$A:$B,2,0),AS203,1),"")</f>
        <v>V</v>
      </c>
      <c r="AS203" s="3">
        <v>322</v>
      </c>
      <c r="AT203" s="3" t="str">
        <f>IFERROR(MID(VLOOKUP($B203,Seqs!$A:$B,2,0),AU203,1),"")</f>
        <v>V</v>
      </c>
      <c r="AU203" s="3">
        <v>347</v>
      </c>
      <c r="AV203" s="3" t="str">
        <f>IFERROR(MID(VLOOKUP($B203,Seqs!$A:$B,2,0),AW203,1),"")</f>
        <v>S</v>
      </c>
      <c r="AW203" s="3">
        <v>348</v>
      </c>
      <c r="AX203" s="3" t="str">
        <f>IFERROR(MID(VLOOKUP($B203,Seqs!$A:$B,2,0),AY203,1),"")</f>
        <v>L</v>
      </c>
      <c r="AY203" s="3">
        <v>359</v>
      </c>
      <c r="AZ203" s="79" t="str">
        <f>VLOOKUP(B203,Classification!A:D,2,0)</f>
        <v>A</v>
      </c>
      <c r="BA203" s="96" t="str">
        <f>VLOOKUP(B203,Classification!A:D,4,0)</f>
        <v>Proteinase-activated</v>
      </c>
      <c r="BB203" s="27" t="b">
        <f t="shared" si="1566"/>
        <v>1</v>
      </c>
      <c r="BC203" s="23">
        <f t="shared" si="1567"/>
        <v>252</v>
      </c>
      <c r="BD203" s="2" t="s">
        <v>1440</v>
      </c>
      <c r="BE203" s="3" t="s">
        <v>1439</v>
      </c>
      <c r="BF203" s="121">
        <v>2.8</v>
      </c>
      <c r="BG203" s="50" t="s">
        <v>1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568"/>
        <v>71</v>
      </c>
      <c r="BW203" s="73" t="str">
        <f t="shared" si="1569"/>
        <v>-</v>
      </c>
      <c r="BX203" s="74">
        <f t="shared" si="1570"/>
        <v>108</v>
      </c>
      <c r="BY203" s="73">
        <f t="shared" si="1571"/>
        <v>138</v>
      </c>
      <c r="BZ203" s="74">
        <f t="shared" si="1572"/>
        <v>144</v>
      </c>
      <c r="CA203" s="73" t="str">
        <f t="shared" si="1573"/>
        <v>-</v>
      </c>
      <c r="CB203" s="74">
        <f t="shared" si="1574"/>
        <v>183</v>
      </c>
      <c r="CC203" s="73">
        <f t="shared" si="1575"/>
        <v>226</v>
      </c>
      <c r="CD203" s="74">
        <f t="shared" si="1576"/>
        <v>235</v>
      </c>
      <c r="CE203" s="73">
        <f t="shared" si="1577"/>
        <v>278</v>
      </c>
      <c r="CF203" s="74">
        <f t="shared" si="1578"/>
        <v>322</v>
      </c>
      <c r="CG203" s="73">
        <f t="shared" si="1579"/>
        <v>348</v>
      </c>
      <c r="CH203" s="72">
        <f t="shared" si="1580"/>
        <v>103</v>
      </c>
      <c r="CI203" s="73" t="str">
        <f t="shared" si="1581"/>
        <v>-</v>
      </c>
      <c r="CJ203" s="74">
        <f t="shared" si="1582"/>
        <v>137</v>
      </c>
      <c r="CK203" s="74">
        <f t="shared" si="1583"/>
        <v>143</v>
      </c>
      <c r="CL203" s="74">
        <f t="shared" si="1584"/>
        <v>179</v>
      </c>
      <c r="CM203" s="74" t="str">
        <f t="shared" si="1585"/>
        <v>-</v>
      </c>
      <c r="CN203" s="74">
        <f t="shared" si="1586"/>
        <v>211</v>
      </c>
      <c r="CO203" s="74">
        <f t="shared" si="1587"/>
        <v>228</v>
      </c>
      <c r="CP203" s="74">
        <f t="shared" si="1588"/>
        <v>269</v>
      </c>
      <c r="CQ203" s="74">
        <f t="shared" si="1589"/>
        <v>317</v>
      </c>
      <c r="CR203" s="74">
        <f t="shared" si="1590"/>
        <v>347</v>
      </c>
      <c r="CS203" s="74">
        <f t="shared" si="1591"/>
        <v>359</v>
      </c>
      <c r="CT203" s="23" t="e">
        <f t="shared" si="15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" si="1593">CONCATENATE(B204,"_",C204)</f>
        <v>par2_human_5NDZ</v>
      </c>
      <c r="B204" s="3" t="s">
        <v>356</v>
      </c>
      <c r="C204" s="3" t="s">
        <v>1404</v>
      </c>
      <c r="D204" s="3" t="str">
        <f>IFERROR(MID(VLOOKUP($B204,Seqs!$A:$B,2,0),E204,1),"")</f>
        <v>G</v>
      </c>
      <c r="E204" s="3">
        <v>71</v>
      </c>
      <c r="F204" s="3" t="str">
        <f>IFERROR(MID(VLOOKUP($B204,Seqs!$A:$B,2,0),G204,1),"")</f>
        <v>R</v>
      </c>
      <c r="G204" s="3">
        <v>103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108</v>
      </c>
      <c r="N204" s="3" t="str">
        <f>IFERROR(MID(VLOOKUP($B204,Seqs!$A:$B,2,0),O204,1),"")</f>
        <v>H</v>
      </c>
      <c r="O204" s="3">
        <v>137</v>
      </c>
      <c r="P204" s="3" t="str">
        <f>IFERROR(MID(VLOOKUP($B204,Seqs!$A:$B,2,0),Q204,1),"")</f>
        <v>G</v>
      </c>
      <c r="Q204" s="3">
        <v>138</v>
      </c>
      <c r="R204" s="3" t="str">
        <f>IFERROR(MID(VLOOKUP($B204,Seqs!$A:$B,2,0),S204,1),"")</f>
        <v>Y</v>
      </c>
      <c r="S204" s="3">
        <v>143</v>
      </c>
      <c r="T204" s="3" t="str">
        <f>IFERROR(MID(VLOOKUP($B204,Seqs!$A:$B,2,0),U204,1),"")</f>
        <v>G</v>
      </c>
      <c r="U204" s="3">
        <v>144</v>
      </c>
      <c r="V204" s="3" t="str">
        <f>IFERROR(MID(VLOOKUP($B204,Seqs!$A:$B,2,0),W204,1),"")</f>
        <v>N</v>
      </c>
      <c r="W204" s="3">
        <v>179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H</v>
      </c>
      <c r="AC204" s="3">
        <v>183</v>
      </c>
      <c r="AD204" s="3" t="str">
        <f>IFERROR(MID(VLOOKUP($B204,Seqs!$A:$B,2,0),AE204,1),"")</f>
        <v>V</v>
      </c>
      <c r="AE204" s="3">
        <v>211</v>
      </c>
      <c r="AF204" s="3" t="str">
        <f>IFERROR(MID(VLOOKUP($B204,Seqs!$A:$B,2,0),AG204,1),"")</f>
        <v>C</v>
      </c>
      <c r="AG204" s="3">
        <v>226</v>
      </c>
      <c r="AH204" s="3" t="str">
        <f>IFERROR(MID(VLOOKUP($B204,Seqs!$A:$B,2,0),AI204,1),"")</f>
        <v>D</v>
      </c>
      <c r="AI204" s="3">
        <v>228</v>
      </c>
      <c r="AJ204" s="3" t="str">
        <f>IFERROR(MID(VLOOKUP($B204,Seqs!$A:$B,2,0),AK204,1),"")</f>
        <v>L</v>
      </c>
      <c r="AK204" s="3">
        <v>235</v>
      </c>
      <c r="AL204" s="3" t="str">
        <f>IFERROR(MID(VLOOKUP($B204,Seqs!$A:$B,2,0),AM204,1),"")</f>
        <v>L</v>
      </c>
      <c r="AM204" s="3">
        <v>269</v>
      </c>
      <c r="AN204" s="3" t="str">
        <f>IFERROR(MID(VLOOKUP($B204,Seqs!$A:$B,2,0),AO204,1),"")</f>
        <v>S</v>
      </c>
      <c r="AO204" s="3">
        <v>278</v>
      </c>
      <c r="AP204" s="3" t="str">
        <f>IFERROR(MID(VLOOKUP($B204,Seqs!$A:$B,2,0),AQ204,1),"")</f>
        <v>Q</v>
      </c>
      <c r="AQ204" s="3">
        <v>317</v>
      </c>
      <c r="AR204" s="3" t="str">
        <f>IFERROR(MID(VLOOKUP($B204,Seqs!$A:$B,2,0),AS204,1),"")</f>
        <v>V</v>
      </c>
      <c r="AS204" s="3">
        <v>322</v>
      </c>
      <c r="AT204" s="3" t="str">
        <f>IFERROR(MID(VLOOKUP($B204,Seqs!$A:$B,2,0),AU204,1),"")</f>
        <v>S</v>
      </c>
      <c r="AU204" s="3">
        <v>348</v>
      </c>
      <c r="AV204" s="3" t="str">
        <f>IFERROR(MID(VLOOKUP($B204,Seqs!$A:$B,2,0),AW204,1),"")</f>
        <v>H</v>
      </c>
      <c r="AW204" s="3">
        <v>349</v>
      </c>
      <c r="AX204" s="3" t="str">
        <f>IFERROR(MID(VLOOKUP($B204,Seqs!$A:$B,2,0),AY204,1),"")</f>
        <v>L</v>
      </c>
      <c r="AY204" s="3">
        <v>359</v>
      </c>
      <c r="AZ204" s="79" t="str">
        <f>VLOOKUP(B204,Classification!A:D,2,0)</f>
        <v>A</v>
      </c>
      <c r="BA204" s="96" t="str">
        <f>VLOOKUP(B204,Classification!A:D,4,0)</f>
        <v>Proteinase-activated</v>
      </c>
      <c r="BB204" s="27" t="b">
        <f t="shared" ref="BB204" si="159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" si="1595">_xlfn.AGGREGATE(9,6,CH204:CS204)-_xlfn.AGGREGATE(9,6,BV204:CG204)+12</f>
        <v>252</v>
      </c>
      <c r="BD204" s="2" t="s">
        <v>23</v>
      </c>
      <c r="BE204" s="3" t="s">
        <v>1439</v>
      </c>
      <c r="BF204" s="121">
        <v>3.6</v>
      </c>
      <c r="BG204" s="50" t="s">
        <v>1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ref="BV204" si="1596">E204</f>
        <v>71</v>
      </c>
      <c r="BW204" s="73" t="str">
        <f t="shared" ref="BW204" si="1597">I204</f>
        <v>-</v>
      </c>
      <c r="BX204" s="74">
        <f t="shared" ref="BX204" si="1598">M204</f>
        <v>108</v>
      </c>
      <c r="BY204" s="73">
        <f t="shared" ref="BY204" si="1599">Q204</f>
        <v>138</v>
      </c>
      <c r="BZ204" s="74">
        <f t="shared" ref="BZ204" si="1600">U204</f>
        <v>144</v>
      </c>
      <c r="CA204" s="73" t="str">
        <f t="shared" ref="CA204" si="1601">Y204</f>
        <v>-</v>
      </c>
      <c r="CB204" s="74">
        <f t="shared" ref="CB204" si="1602">AC204</f>
        <v>183</v>
      </c>
      <c r="CC204" s="73">
        <f t="shared" ref="CC204" si="1603">AG204</f>
        <v>226</v>
      </c>
      <c r="CD204" s="74">
        <f t="shared" ref="CD204" si="1604">AK204</f>
        <v>235</v>
      </c>
      <c r="CE204" s="73">
        <f t="shared" ref="CE204" si="1605">AO204</f>
        <v>278</v>
      </c>
      <c r="CF204" s="74">
        <f t="shared" ref="CF204" si="1606">AS204</f>
        <v>322</v>
      </c>
      <c r="CG204" s="73">
        <f t="shared" ref="CG204" si="1607">AW204</f>
        <v>349</v>
      </c>
      <c r="CH204" s="72">
        <f t="shared" ref="CH204" si="1608">G204</f>
        <v>103</v>
      </c>
      <c r="CI204" s="73" t="str">
        <f t="shared" ref="CI204" si="1609">K204</f>
        <v>-</v>
      </c>
      <c r="CJ204" s="74">
        <f t="shared" ref="CJ204" si="1610">O204</f>
        <v>137</v>
      </c>
      <c r="CK204" s="74">
        <f t="shared" ref="CK204" si="1611">S204</f>
        <v>143</v>
      </c>
      <c r="CL204" s="74">
        <f t="shared" ref="CL204" si="1612">W204</f>
        <v>179</v>
      </c>
      <c r="CM204" s="74" t="str">
        <f t="shared" ref="CM204" si="1613">AA204</f>
        <v>-</v>
      </c>
      <c r="CN204" s="74">
        <f t="shared" ref="CN204" si="1614">AE204</f>
        <v>211</v>
      </c>
      <c r="CO204" s="74">
        <f t="shared" ref="CO204" si="1615">AI204</f>
        <v>228</v>
      </c>
      <c r="CP204" s="74">
        <f t="shared" ref="CP204" si="1616">AM204</f>
        <v>269</v>
      </c>
      <c r="CQ204" s="74">
        <f t="shared" ref="CQ204" si="1617">AQ204</f>
        <v>317</v>
      </c>
      <c r="CR204" s="74">
        <f t="shared" ref="CR204" si="1618">AU204</f>
        <v>348</v>
      </c>
      <c r="CS204" s="74">
        <f t="shared" ref="CS204" si="1619">AY204</f>
        <v>359</v>
      </c>
      <c r="CT204" s="23" t="e">
        <f t="shared" ref="CT204" si="1620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ref="A205" si="1621">CONCATENATE(B205,"_",C205)</f>
        <v>par2_human_5NJ6</v>
      </c>
      <c r="B205" s="3" t="s">
        <v>356</v>
      </c>
      <c r="C205" s="3" t="s">
        <v>1406</v>
      </c>
      <c r="D205" s="3" t="str">
        <f>IFERROR(MID(VLOOKUP($B205,Seqs!$A:$B,2,0),E205,1),"")</f>
        <v>G</v>
      </c>
      <c r="E205" s="3">
        <v>71</v>
      </c>
      <c r="F205" s="3" t="str">
        <f>IFERROR(MID(VLOOKUP($B205,Seqs!$A:$B,2,0),G205,1),"")</f>
        <v>R</v>
      </c>
      <c r="G205" s="3">
        <v>103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H</v>
      </c>
      <c r="M205" s="3">
        <v>108</v>
      </c>
      <c r="N205" s="3" t="str">
        <f>IFERROR(MID(VLOOKUP($B205,Seqs!$A:$B,2,0),O205,1),"")</f>
        <v>H</v>
      </c>
      <c r="O205" s="3">
        <v>137</v>
      </c>
      <c r="P205" s="3" t="str">
        <f>IFERROR(MID(VLOOKUP($B205,Seqs!$A:$B,2,0),Q205,1),"")</f>
        <v>G</v>
      </c>
      <c r="Q205" s="3">
        <v>138</v>
      </c>
      <c r="R205" s="3" t="str">
        <f>IFERROR(MID(VLOOKUP($B205,Seqs!$A:$B,2,0),S205,1),"")</f>
        <v>Y</v>
      </c>
      <c r="S205" s="3">
        <v>143</v>
      </c>
      <c r="T205" s="3" t="str">
        <f>IFERROR(MID(VLOOKUP($B205,Seqs!$A:$B,2,0),U205,1),"")</f>
        <v>G</v>
      </c>
      <c r="U205" s="3">
        <v>144</v>
      </c>
      <c r="V205" s="3" t="str">
        <f>IFERROR(MID(VLOOKUP($B205,Seqs!$A:$B,2,0),W205,1),"")</f>
        <v>N</v>
      </c>
      <c r="W205" s="3">
        <v>179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183</v>
      </c>
      <c r="AD205" s="3" t="str">
        <f>IFERROR(MID(VLOOKUP($B205,Seqs!$A:$B,2,0),AE205,1),"")</f>
        <v>V</v>
      </c>
      <c r="AE205" s="3">
        <v>211</v>
      </c>
      <c r="AF205" s="3" t="str">
        <f>IFERROR(MID(VLOOKUP($B205,Seqs!$A:$B,2,0),AG205,1),"")</f>
        <v>C</v>
      </c>
      <c r="AG205" s="3">
        <v>226</v>
      </c>
      <c r="AH205" s="3" t="str">
        <f>IFERROR(MID(VLOOKUP($B205,Seqs!$A:$B,2,0),AI205,1),"")</f>
        <v>D</v>
      </c>
      <c r="AI205" s="3">
        <v>228</v>
      </c>
      <c r="AJ205" s="3" t="str">
        <f>IFERROR(MID(VLOOKUP($B205,Seqs!$A:$B,2,0),AK205,1),"")</f>
        <v>L</v>
      </c>
      <c r="AK205" s="3">
        <v>235</v>
      </c>
      <c r="AL205" s="3" t="str">
        <f>IFERROR(MID(VLOOKUP($B205,Seqs!$A:$B,2,0),AM205,1),"")</f>
        <v>L</v>
      </c>
      <c r="AM205" s="3">
        <v>269</v>
      </c>
      <c r="AN205" s="3" t="str">
        <f>IFERROR(MID(VLOOKUP($B205,Seqs!$A:$B,2,0),AO205,1),"")</f>
        <v>S</v>
      </c>
      <c r="AO205" s="3">
        <v>278</v>
      </c>
      <c r="AP205" s="3" t="str">
        <f>IFERROR(MID(VLOOKUP($B205,Seqs!$A:$B,2,0),AQ205,1),"")</f>
        <v>Q</v>
      </c>
      <c r="AQ205" s="3">
        <v>317</v>
      </c>
      <c r="AR205" s="3" t="str">
        <f>IFERROR(MID(VLOOKUP($B205,Seqs!$A:$B,2,0),AS205,1),"")</f>
        <v>V</v>
      </c>
      <c r="AS205" s="3">
        <v>322</v>
      </c>
      <c r="AT205" s="3" t="str">
        <f>IFERROR(MID(VLOOKUP($B205,Seqs!$A:$B,2,0),AU205,1),"")</f>
        <v>S</v>
      </c>
      <c r="AU205" s="3">
        <v>348</v>
      </c>
      <c r="AV205" s="3" t="str">
        <f>IFERROR(MID(VLOOKUP($B205,Seqs!$A:$B,2,0),AW205,1),"")</f>
        <v>H</v>
      </c>
      <c r="AW205" s="3">
        <v>349</v>
      </c>
      <c r="AX205" s="3" t="str">
        <f>IFERROR(MID(VLOOKUP($B205,Seqs!$A:$B,2,0),AY205,1),"")</f>
        <v>L</v>
      </c>
      <c r="AY205" s="3">
        <v>359</v>
      </c>
      <c r="AZ205" s="79" t="str">
        <f>VLOOKUP(B205,Classification!A:D,2,0)</f>
        <v>A</v>
      </c>
      <c r="BA205" s="96" t="str">
        <f>VLOOKUP(B205,Classification!A:D,4,0)</f>
        <v>Proteinase-activated</v>
      </c>
      <c r="BB205" s="27" t="b">
        <f t="shared" ref="BB205" si="1622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623">_xlfn.AGGREGATE(9,6,CH205:CS205)-_xlfn.AGGREGATE(9,6,BV205:CG205)+12</f>
        <v>252</v>
      </c>
      <c r="BD205" s="2" t="s">
        <v>23</v>
      </c>
      <c r="BE205" s="3" t="s">
        <v>1439</v>
      </c>
      <c r="BF205" s="121">
        <v>4</v>
      </c>
      <c r="BG205" s="50" t="s">
        <v>1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ref="BV205" si="1624">E205</f>
        <v>71</v>
      </c>
      <c r="BW205" s="73" t="str">
        <f t="shared" ref="BW205" si="1625">I205</f>
        <v>-</v>
      </c>
      <c r="BX205" s="74">
        <f t="shared" ref="BX205" si="1626">M205</f>
        <v>108</v>
      </c>
      <c r="BY205" s="73">
        <f t="shared" ref="BY205" si="1627">Q205</f>
        <v>138</v>
      </c>
      <c r="BZ205" s="74">
        <f t="shared" ref="BZ205" si="1628">U205</f>
        <v>144</v>
      </c>
      <c r="CA205" s="73" t="str">
        <f t="shared" ref="CA205" si="1629">Y205</f>
        <v>-</v>
      </c>
      <c r="CB205" s="74">
        <f t="shared" ref="CB205" si="1630">AC205</f>
        <v>183</v>
      </c>
      <c r="CC205" s="73">
        <f t="shared" ref="CC205" si="1631">AG205</f>
        <v>226</v>
      </c>
      <c r="CD205" s="74">
        <f t="shared" ref="CD205" si="1632">AK205</f>
        <v>235</v>
      </c>
      <c r="CE205" s="73">
        <f t="shared" ref="CE205" si="1633">AO205</f>
        <v>278</v>
      </c>
      <c r="CF205" s="74">
        <f t="shared" ref="CF205" si="1634">AS205</f>
        <v>322</v>
      </c>
      <c r="CG205" s="73">
        <f t="shared" ref="CG205" si="1635">AW205</f>
        <v>349</v>
      </c>
      <c r="CH205" s="72">
        <f t="shared" ref="CH205" si="1636">G205</f>
        <v>103</v>
      </c>
      <c r="CI205" s="73" t="str">
        <f t="shared" ref="CI205" si="1637">K205</f>
        <v>-</v>
      </c>
      <c r="CJ205" s="74">
        <f t="shared" ref="CJ205" si="1638">O205</f>
        <v>137</v>
      </c>
      <c r="CK205" s="74">
        <f t="shared" ref="CK205" si="1639">S205</f>
        <v>143</v>
      </c>
      <c r="CL205" s="74">
        <f t="shared" ref="CL205" si="1640">W205</f>
        <v>179</v>
      </c>
      <c r="CM205" s="74" t="str">
        <f t="shared" ref="CM205" si="1641">AA205</f>
        <v>-</v>
      </c>
      <c r="CN205" s="74">
        <f t="shared" ref="CN205" si="1642">AE205</f>
        <v>211</v>
      </c>
      <c r="CO205" s="74">
        <f t="shared" ref="CO205" si="1643">AI205</f>
        <v>228</v>
      </c>
      <c r="CP205" s="74">
        <f t="shared" ref="CP205" si="1644">AM205</f>
        <v>269</v>
      </c>
      <c r="CQ205" s="74">
        <f t="shared" ref="CQ205" si="1645">AQ205</f>
        <v>317</v>
      </c>
      <c r="CR205" s="74">
        <f t="shared" ref="CR205" si="1646">AU205</f>
        <v>348</v>
      </c>
      <c r="CS205" s="74">
        <f t="shared" ref="CS205" si="1647">AY205</f>
        <v>359</v>
      </c>
      <c r="CT205" s="23" t="e">
        <f t="shared" ref="CT205" si="1648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s="12" customFormat="1" x14ac:dyDescent="0.2">
      <c r="A206" s="9" t="str">
        <f t="shared" ref="A206" si="1649">CONCATENATE(B206,"_",C206)</f>
        <v>q08bg4_danre__wt</v>
      </c>
      <c r="B206" s="9" t="s">
        <v>1451</v>
      </c>
      <c r="C206" s="9" t="s">
        <v>100</v>
      </c>
      <c r="D206" s="9" t="str">
        <f>IFERROR(MID(VLOOKUP($B206,Seqs!$A:$B,2,0),E206,1),"")</f>
        <v>K</v>
      </c>
      <c r="E206" s="9">
        <v>26</v>
      </c>
      <c r="F206" s="9" t="str">
        <f>IFERROR(MID(VLOOKUP($B206,Seqs!$A:$B,2,0),G206,1),"")</f>
        <v>S</v>
      </c>
      <c r="G206" s="9">
        <v>55</v>
      </c>
      <c r="H206" s="9" t="str">
        <f>IFERROR(MID(VLOOKUP($B206,Seqs!$A:$B,2,0),I206,1),"")</f>
        <v>L</v>
      </c>
      <c r="I206" s="111">
        <v>56</v>
      </c>
      <c r="J206" s="9" t="str">
        <f>IFERROR(MID(VLOOKUP($B206,Seqs!$A:$B,2,0),K206,1),"")</f>
        <v>R</v>
      </c>
      <c r="K206" s="111">
        <v>59</v>
      </c>
      <c r="L206" s="9" t="str">
        <f>IFERROR(MID(VLOOKUP($B206,Seqs!$A:$B,2,0),M206,1),"")</f>
        <v>N</v>
      </c>
      <c r="M206" s="9">
        <v>60</v>
      </c>
      <c r="N206" s="9" t="str">
        <f>IFERROR(MID(VLOOKUP($B206,Seqs!$A:$B,2,0),O206,1),"")</f>
        <v>Q</v>
      </c>
      <c r="O206" s="9">
        <v>89</v>
      </c>
      <c r="P206" s="9" t="str">
        <f>IFERROR(MID(VLOOKUP($B206,Seqs!$A:$B,2,0),Q206,1),"")</f>
        <v>Q</v>
      </c>
      <c r="Q206" s="9">
        <v>90</v>
      </c>
      <c r="R206" s="9" t="str">
        <f>IFERROR(MID(VLOOKUP($B206,Seqs!$A:$B,2,0),S206,1),"")</f>
        <v>F</v>
      </c>
      <c r="S206" s="9">
        <v>94</v>
      </c>
      <c r="T206" s="9" t="str">
        <f>IFERROR(MID(VLOOKUP($B206,Seqs!$A:$B,2,0),U206,1),"")</f>
        <v>G</v>
      </c>
      <c r="U206" s="9">
        <v>95</v>
      </c>
      <c r="V206" s="9" t="str">
        <f>IFERROR(MID(VLOOKUP($B206,Seqs!$A:$B,2,0),W206,1),"")</f>
        <v>Y</v>
      </c>
      <c r="W206" s="9">
        <v>130</v>
      </c>
      <c r="X206" s="9" t="str">
        <f>IFERROR(MID(VLOOKUP($B206,Seqs!$A:$B,2,0),Y206,1),"")</f>
        <v>P</v>
      </c>
      <c r="Y206" s="9">
        <v>131</v>
      </c>
      <c r="Z206" s="9" t="str">
        <f>IFERROR(MID(VLOOKUP($B206,Seqs!$A:$B,2,0),AA206,1),"")</f>
        <v>R</v>
      </c>
      <c r="AA206" s="9">
        <v>138</v>
      </c>
      <c r="AB206" s="9" t="str">
        <f>IFERROR(MID(VLOOKUP($B206,Seqs!$A:$B,2,0),AC206,1),"")</f>
        <v>T</v>
      </c>
      <c r="AC206" s="9">
        <v>139</v>
      </c>
      <c r="AD206" s="9" t="str">
        <f>IFERROR(MID(VLOOKUP($B206,Seqs!$A:$B,2,0),AE206,1),"")</f>
        <v>N</v>
      </c>
      <c r="AE206" s="9">
        <v>166</v>
      </c>
      <c r="AF206" s="9" t="str">
        <f>IFERROR(MID(VLOOKUP($B206,Seqs!$A:$B,2,0),AG206,1),"")</f>
        <v>C</v>
      </c>
      <c r="AG206" s="9">
        <v>178</v>
      </c>
      <c r="AH206" s="9" t="str">
        <f>IFERROR(MID(VLOOKUP($B206,Seqs!$A:$B,2,0),AI206,1),"")</f>
        <v>E</v>
      </c>
      <c r="AI206" s="9">
        <v>180</v>
      </c>
      <c r="AJ206" s="9" t="str">
        <f>IFERROR(MID(VLOOKUP($B206,Seqs!$A:$B,2,0),AK206,1),"")</f>
        <v>W</v>
      </c>
      <c r="AK206" s="9">
        <v>187</v>
      </c>
      <c r="AL206" s="9" t="str">
        <f>IFERROR(MID(VLOOKUP($B206,Seqs!$A:$B,2,0),AM206,1),"")</f>
        <v>R</v>
      </c>
      <c r="AM206" s="9">
        <v>223</v>
      </c>
      <c r="AN206" s="9" t="str">
        <f>IFERROR(MID(VLOOKUP($B206,Seqs!$A:$B,2,0),AO206,1),"")</f>
        <v>N</v>
      </c>
      <c r="AO206" s="9">
        <v>234</v>
      </c>
      <c r="AP206" s="9" t="str">
        <f>IFERROR(MID(VLOOKUP($B206,Seqs!$A:$B,2,0),AQ206,1),"")</f>
        <v>N</v>
      </c>
      <c r="AQ206" s="9">
        <v>269</v>
      </c>
      <c r="AR206" s="9" t="str">
        <f>IFERROR(MID(VLOOKUP($B206,Seqs!$A:$B,2,0),AS206,1),"")</f>
        <v>G</v>
      </c>
      <c r="AS206" s="9">
        <v>273</v>
      </c>
      <c r="AT206" s="9" t="str">
        <f>IFERROR(MID(VLOOKUP($B206,Seqs!$A:$B,2,0),AU206,1),"")</f>
        <v>T</v>
      </c>
      <c r="AU206" s="9">
        <v>308</v>
      </c>
      <c r="AV206" s="9" t="str">
        <f>IFERROR(MID(VLOOKUP($B206,Seqs!$A:$B,2,0),AW206,1),"")</f>
        <v>I</v>
      </c>
      <c r="AW206" s="9">
        <v>309</v>
      </c>
      <c r="AX206" s="9" t="str">
        <f>IFERROR(MID(VLOOKUP($B206,Seqs!$A:$B,2,0),AY206,1),"")</f>
        <v>G</v>
      </c>
      <c r="AY206" s="9">
        <v>320</v>
      </c>
      <c r="AZ206" s="112" t="str">
        <f>VLOOKUP(B206,Classification!A:D,2,0)</f>
        <v>A</v>
      </c>
      <c r="BA206" s="100" t="str">
        <f>VLOOKUP(B206,Classification!A:D,4,0)</f>
        <v>Lysophospholipid(LPA)</v>
      </c>
      <c r="BB206" s="37" t="b">
        <f t="shared" ref="BB206" si="1650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11">
        <f t="shared" ref="BC206" si="1651">_xlfn.AGGREGATE(9,6,CH206:CS206)-_xlfn.AGGREGATE(9,6,BV206:CG206)+12</f>
        <v>265</v>
      </c>
      <c r="BD206" s="41" t="s">
        <v>23</v>
      </c>
      <c r="BE206" s="9" t="s">
        <v>23</v>
      </c>
      <c r="BF206" s="122" t="s">
        <v>23</v>
      </c>
      <c r="BG206" s="52" t="s">
        <v>1</v>
      </c>
      <c r="BH206" s="52" t="s">
        <v>1384</v>
      </c>
      <c r="BJ206" s="113" t="s">
        <v>1293</v>
      </c>
      <c r="BK206" s="114" t="s">
        <v>1293</v>
      </c>
      <c r="BL206" s="114" t="s">
        <v>1293</v>
      </c>
      <c r="BM206" s="114" t="s">
        <v>1293</v>
      </c>
      <c r="BN206" s="114" t="s">
        <v>1293</v>
      </c>
      <c r="BO206" s="114" t="s">
        <v>1293</v>
      </c>
      <c r="BP206" s="114" t="s">
        <v>1293</v>
      </c>
      <c r="BQ206" s="114" t="s">
        <v>1293</v>
      </c>
      <c r="BR206" s="114" t="s">
        <v>1293</v>
      </c>
      <c r="BS206" s="114" t="s">
        <v>1293</v>
      </c>
      <c r="BT206" s="114" t="s">
        <v>1293</v>
      </c>
      <c r="BU206" s="114" t="s">
        <v>1293</v>
      </c>
      <c r="BV206" s="113">
        <f t="shared" ref="BV206" si="1652">E206</f>
        <v>26</v>
      </c>
      <c r="BW206" s="115">
        <f t="shared" ref="BW206" si="1653">I206</f>
        <v>56</v>
      </c>
      <c r="BX206" s="116">
        <f t="shared" ref="BX206" si="1654">M206</f>
        <v>60</v>
      </c>
      <c r="BY206" s="115">
        <f t="shared" ref="BY206" si="1655">Q206</f>
        <v>90</v>
      </c>
      <c r="BZ206" s="116">
        <f t="shared" ref="BZ206" si="1656">U206</f>
        <v>95</v>
      </c>
      <c r="CA206" s="115">
        <f t="shared" ref="CA206" si="1657">Y206</f>
        <v>131</v>
      </c>
      <c r="CB206" s="116">
        <f t="shared" ref="CB206" si="1658">AC206</f>
        <v>139</v>
      </c>
      <c r="CC206" s="115">
        <f t="shared" ref="CC206" si="1659">AG206</f>
        <v>178</v>
      </c>
      <c r="CD206" s="116">
        <f t="shared" ref="CD206" si="1660">AK206</f>
        <v>187</v>
      </c>
      <c r="CE206" s="115">
        <f t="shared" ref="CE206" si="1661">AO206</f>
        <v>234</v>
      </c>
      <c r="CF206" s="116">
        <f t="shared" ref="CF206" si="1662">AS206</f>
        <v>273</v>
      </c>
      <c r="CG206" s="115">
        <f t="shared" ref="CG206" si="1663">AW206</f>
        <v>309</v>
      </c>
      <c r="CH206" s="113">
        <f t="shared" ref="CH206" si="1664">G206</f>
        <v>55</v>
      </c>
      <c r="CI206" s="115">
        <f t="shared" ref="CI206" si="1665">K206</f>
        <v>59</v>
      </c>
      <c r="CJ206" s="116">
        <f t="shared" ref="CJ206" si="1666">O206</f>
        <v>89</v>
      </c>
      <c r="CK206" s="116">
        <f t="shared" ref="CK206" si="1667">S206</f>
        <v>94</v>
      </c>
      <c r="CL206" s="116">
        <f t="shared" ref="CL206" si="1668">W206</f>
        <v>130</v>
      </c>
      <c r="CM206" s="116">
        <f t="shared" ref="CM206" si="1669">AA206</f>
        <v>138</v>
      </c>
      <c r="CN206" s="116">
        <f t="shared" ref="CN206" si="1670">AE206</f>
        <v>166</v>
      </c>
      <c r="CO206" s="116">
        <f t="shared" ref="CO206" si="1671">AI206</f>
        <v>180</v>
      </c>
      <c r="CP206" s="116">
        <f t="shared" ref="CP206" si="1672">AM206</f>
        <v>223</v>
      </c>
      <c r="CQ206" s="116">
        <f t="shared" ref="CQ206" si="1673">AQ206</f>
        <v>269</v>
      </c>
      <c r="CR206" s="116">
        <f t="shared" ref="CR206" si="1674">AU206</f>
        <v>308</v>
      </c>
      <c r="CS206" s="116">
        <f t="shared" ref="CS206" si="1675">AY206</f>
        <v>320</v>
      </c>
      <c r="CT206" s="111">
        <f t="shared" ref="CT206" si="1676">M206-K206</f>
        <v>1</v>
      </c>
    </row>
    <row r="207" spans="1:1029" s="12" customFormat="1" x14ac:dyDescent="0.2">
      <c r="A207" s="9" t="str">
        <f t="shared" ref="A207" si="1677">CONCATENATE(B207,"_",C207)</f>
        <v>q08bg4_danre_5XSZ</v>
      </c>
      <c r="B207" s="9" t="s">
        <v>1451</v>
      </c>
      <c r="C207" s="9" t="s">
        <v>1453</v>
      </c>
      <c r="D207" s="9" t="str">
        <f>IFERROR(MID(VLOOKUP($B207,Seqs!$A:$B,2,0),E207,1),"")</f>
        <v>K</v>
      </c>
      <c r="E207" s="9">
        <v>26</v>
      </c>
      <c r="F207" s="9" t="str">
        <f>IFERROR(MID(VLOOKUP($B207,Seqs!$A:$B,2,0),G207,1),"")</f>
        <v>S</v>
      </c>
      <c r="G207" s="9">
        <v>55</v>
      </c>
      <c r="H207" s="9" t="str">
        <f>IFERROR(MID(VLOOKUP($B207,Seqs!$A:$B,2,0),I207,1),"")</f>
        <v/>
      </c>
      <c r="I207" s="111" t="s">
        <v>23</v>
      </c>
      <c r="J207" s="9" t="str">
        <f>IFERROR(MID(VLOOKUP($B207,Seqs!$A:$B,2,0),K207,1),"")</f>
        <v/>
      </c>
      <c r="K207" s="111" t="s">
        <v>23</v>
      </c>
      <c r="L207" s="9" t="str">
        <f>IFERROR(MID(VLOOKUP($B207,Seqs!$A:$B,2,0),M207,1),"")</f>
        <v>N</v>
      </c>
      <c r="M207" s="9">
        <v>60</v>
      </c>
      <c r="N207" s="9" t="str">
        <f>IFERROR(MID(VLOOKUP($B207,Seqs!$A:$B,2,0),O207,1),"")</f>
        <v>Q</v>
      </c>
      <c r="O207" s="9">
        <v>89</v>
      </c>
      <c r="P207" s="9" t="str">
        <f>IFERROR(MID(VLOOKUP($B207,Seqs!$A:$B,2,0),Q207,1),"")</f>
        <v>Q</v>
      </c>
      <c r="Q207" s="9">
        <v>90</v>
      </c>
      <c r="R207" s="9" t="str">
        <f>IFERROR(MID(VLOOKUP($B207,Seqs!$A:$B,2,0),S207,1),"")</f>
        <v>F</v>
      </c>
      <c r="S207" s="9">
        <v>94</v>
      </c>
      <c r="T207" s="9" t="str">
        <f>IFERROR(MID(VLOOKUP($B207,Seqs!$A:$B,2,0),U207,1),"")</f>
        <v>G</v>
      </c>
      <c r="U207" s="9">
        <v>95</v>
      </c>
      <c r="V207" s="9" t="str">
        <f>IFERROR(MID(VLOOKUP($B207,Seqs!$A:$B,2,0),W207,1),"")</f>
        <v>Y</v>
      </c>
      <c r="W207" s="9">
        <v>130</v>
      </c>
      <c r="X207" s="9" t="str">
        <f>IFERROR(MID(VLOOKUP($B207,Seqs!$A:$B,2,0),Y207,1),"")</f>
        <v>P</v>
      </c>
      <c r="Y207" s="9">
        <v>131</v>
      </c>
      <c r="Z207" s="9" t="str">
        <f>IFERROR(MID(VLOOKUP($B207,Seqs!$A:$B,2,0),AA207,1),"")</f>
        <v>R</v>
      </c>
      <c r="AA207" s="9">
        <v>138</v>
      </c>
      <c r="AB207" s="9" t="str">
        <f>IFERROR(MID(VLOOKUP($B207,Seqs!$A:$B,2,0),AC207,1),"")</f>
        <v>T</v>
      </c>
      <c r="AC207" s="9">
        <v>139</v>
      </c>
      <c r="AD207" s="9" t="str">
        <f>IFERROR(MID(VLOOKUP($B207,Seqs!$A:$B,2,0),AE207,1),"")</f>
        <v>N</v>
      </c>
      <c r="AE207" s="9">
        <v>166</v>
      </c>
      <c r="AF207" s="9" t="str">
        <f>IFERROR(MID(VLOOKUP($B207,Seqs!$A:$B,2,0),AG207,1),"")</f>
        <v>C</v>
      </c>
      <c r="AG207" s="9">
        <v>178</v>
      </c>
      <c r="AH207" s="9" t="str">
        <f>IFERROR(MID(VLOOKUP($B207,Seqs!$A:$B,2,0),AI207,1),"")</f>
        <v>F</v>
      </c>
      <c r="AI207" s="9">
        <v>179</v>
      </c>
      <c r="AJ207" s="9" t="str">
        <f>IFERROR(MID(VLOOKUP($B207,Seqs!$A:$B,2,0),AK207,1),"")</f>
        <v>W</v>
      </c>
      <c r="AK207" s="9">
        <v>187</v>
      </c>
      <c r="AL207" s="9" t="str">
        <f>IFERROR(MID(VLOOKUP($B207,Seqs!$A:$B,2,0),AM207,1),"")</f>
        <v>R</v>
      </c>
      <c r="AM207" s="9">
        <v>223</v>
      </c>
      <c r="AN207" s="9" t="str">
        <f>IFERROR(MID(VLOOKUP($B207,Seqs!$A:$B,2,0),AO207,1),"")</f>
        <v>N</v>
      </c>
      <c r="AO207" s="9">
        <v>234</v>
      </c>
      <c r="AP207" s="9" t="str">
        <f>IFERROR(MID(VLOOKUP($B207,Seqs!$A:$B,2,0),AQ207,1),"")</f>
        <v>N</v>
      </c>
      <c r="AQ207" s="9">
        <v>269</v>
      </c>
      <c r="AR207" s="9" t="str">
        <f>IFERROR(MID(VLOOKUP($B207,Seqs!$A:$B,2,0),AS207,1),"")</f>
        <v>G</v>
      </c>
      <c r="AS207" s="9">
        <v>273</v>
      </c>
      <c r="AT207" s="9" t="str">
        <f>IFERROR(MID(VLOOKUP($B207,Seqs!$A:$B,2,0),AU207,1),"")</f>
        <v>T</v>
      </c>
      <c r="AU207" s="9">
        <v>308</v>
      </c>
      <c r="AV207" s="9" t="str">
        <f>IFERROR(MID(VLOOKUP($B207,Seqs!$A:$B,2,0),AW207,1),"")</f>
        <v/>
      </c>
      <c r="AW207" s="9" t="s">
        <v>23</v>
      </c>
      <c r="AX207" s="9" t="str">
        <f>IFERROR(MID(VLOOKUP($B207,Seqs!$A:$B,2,0),AY207,1),"")</f>
        <v/>
      </c>
      <c r="AY207" s="9" t="s">
        <v>23</v>
      </c>
      <c r="AZ207" s="112" t="str">
        <f>VLOOKUP(B207,Classification!A:D,2,0)</f>
        <v>A</v>
      </c>
      <c r="BA207" s="100" t="str">
        <f>VLOOKUP(B207,Classification!A:D,4,0)</f>
        <v>Lysophospholipid(LPA)</v>
      </c>
      <c r="BB207" s="37" t="b">
        <f t="shared" ref="BB207" si="1678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11">
        <f t="shared" ref="BC207" si="1679">_xlfn.AGGREGATE(9,6,CH207:CS207)-_xlfn.AGGREGATE(9,6,BV207:CG207)+12</f>
        <v>250</v>
      </c>
      <c r="BD207" s="41" t="s">
        <v>1382</v>
      </c>
      <c r="BE207" s="9" t="s">
        <v>1297</v>
      </c>
      <c r="BF207" s="122">
        <v>3.2</v>
      </c>
      <c r="BG207" s="52" t="s">
        <v>1</v>
      </c>
      <c r="BH207" s="52" t="s">
        <v>1384</v>
      </c>
      <c r="BJ207" s="113" t="s">
        <v>1293</v>
      </c>
      <c r="BK207" s="114" t="s">
        <v>1293</v>
      </c>
      <c r="BL207" s="114" t="s">
        <v>1293</v>
      </c>
      <c r="BM207" s="114" t="s">
        <v>1293</v>
      </c>
      <c r="BN207" s="114" t="s">
        <v>1293</v>
      </c>
      <c r="BO207" s="114" t="s">
        <v>1293</v>
      </c>
      <c r="BP207" s="114" t="s">
        <v>1293</v>
      </c>
      <c r="BQ207" s="114" t="s">
        <v>1293</v>
      </c>
      <c r="BR207" s="114" t="s">
        <v>1293</v>
      </c>
      <c r="BS207" s="114" t="s">
        <v>1293</v>
      </c>
      <c r="BT207" s="114" t="s">
        <v>1293</v>
      </c>
      <c r="BU207" s="114" t="s">
        <v>1293</v>
      </c>
      <c r="BV207" s="113">
        <f t="shared" ref="BV207" si="1680">E207</f>
        <v>26</v>
      </c>
      <c r="BW207" s="115" t="str">
        <f t="shared" ref="BW207" si="1681">I207</f>
        <v>-</v>
      </c>
      <c r="BX207" s="116">
        <f t="shared" ref="BX207" si="1682">M207</f>
        <v>60</v>
      </c>
      <c r="BY207" s="115">
        <f t="shared" ref="BY207" si="1683">Q207</f>
        <v>90</v>
      </c>
      <c r="BZ207" s="116">
        <f t="shared" ref="BZ207" si="1684">U207</f>
        <v>95</v>
      </c>
      <c r="CA207" s="115">
        <f t="shared" ref="CA207" si="1685">Y207</f>
        <v>131</v>
      </c>
      <c r="CB207" s="116">
        <f t="shared" ref="CB207" si="1686">AC207</f>
        <v>139</v>
      </c>
      <c r="CC207" s="115">
        <f t="shared" ref="CC207" si="1687">AG207</f>
        <v>178</v>
      </c>
      <c r="CD207" s="116">
        <f t="shared" ref="CD207" si="1688">AK207</f>
        <v>187</v>
      </c>
      <c r="CE207" s="115">
        <f t="shared" ref="CE207" si="1689">AO207</f>
        <v>234</v>
      </c>
      <c r="CF207" s="116">
        <f t="shared" ref="CF207" si="1690">AS207</f>
        <v>273</v>
      </c>
      <c r="CG207" s="115" t="str">
        <f t="shared" ref="CG207" si="1691">AW207</f>
        <v>-</v>
      </c>
      <c r="CH207" s="113">
        <f t="shared" ref="CH207" si="1692">G207</f>
        <v>55</v>
      </c>
      <c r="CI207" s="115" t="str">
        <f t="shared" ref="CI207" si="1693">K207</f>
        <v>-</v>
      </c>
      <c r="CJ207" s="116">
        <f t="shared" ref="CJ207" si="1694">O207</f>
        <v>89</v>
      </c>
      <c r="CK207" s="116">
        <f t="shared" ref="CK207" si="1695">S207</f>
        <v>94</v>
      </c>
      <c r="CL207" s="116">
        <f t="shared" ref="CL207" si="1696">W207</f>
        <v>130</v>
      </c>
      <c r="CM207" s="116">
        <f t="shared" ref="CM207" si="1697">AA207</f>
        <v>138</v>
      </c>
      <c r="CN207" s="116">
        <f t="shared" ref="CN207" si="1698">AE207</f>
        <v>166</v>
      </c>
      <c r="CO207" s="116">
        <f t="shared" ref="CO207" si="1699">AI207</f>
        <v>179</v>
      </c>
      <c r="CP207" s="116">
        <f t="shared" ref="CP207" si="1700">AM207</f>
        <v>223</v>
      </c>
      <c r="CQ207" s="116">
        <f t="shared" ref="CQ207" si="1701">AQ207</f>
        <v>269</v>
      </c>
      <c r="CR207" s="116">
        <f t="shared" ref="CR207" si="1702">AU207</f>
        <v>308</v>
      </c>
      <c r="CS207" s="116" t="str">
        <f t="shared" ref="CS207" si="1703">AY207</f>
        <v>-</v>
      </c>
      <c r="CT207" s="111" t="e">
        <f t="shared" ref="CT207" si="1704">M207-K207</f>
        <v>#VALUE!</v>
      </c>
    </row>
    <row r="208" spans="1:1029" s="12" customFormat="1" x14ac:dyDescent="0.2">
      <c r="A208" s="9" t="str">
        <f t="shared" ref="A208" si="1705">CONCATENATE(B208,"_",C208)</f>
        <v>q9wtk1_cavpo__wt</v>
      </c>
      <c r="B208" s="9" t="s">
        <v>1463</v>
      </c>
      <c r="C208" s="9" t="s">
        <v>100</v>
      </c>
      <c r="D208" s="9" t="str">
        <f>IFERROR(MID(VLOOKUP($B208,Seqs!$A:$B,2,0),E208,1),"")</f>
        <v>T</v>
      </c>
      <c r="E208" s="9">
        <v>17</v>
      </c>
      <c r="F208" s="9" t="str">
        <f>IFERROR(MID(VLOOKUP($B208,Seqs!$A:$B,2,0),G208,1),"")</f>
        <v>R</v>
      </c>
      <c r="G208" s="9">
        <v>48</v>
      </c>
      <c r="H208" s="9" t="str">
        <f>IFERROR(MID(VLOOKUP($B208,Seqs!$A:$B,2,0),I208,1),"")</f>
        <v>M</v>
      </c>
      <c r="I208" s="111">
        <v>49</v>
      </c>
      <c r="J208" s="9" t="str">
        <f>IFERROR(MID(VLOOKUP($B208,Seqs!$A:$B,2,0),K208,1),"")</f>
        <v>R</v>
      </c>
      <c r="K208" s="111">
        <v>52</v>
      </c>
      <c r="L208" s="9" t="str">
        <f>IFERROR(MID(VLOOKUP($B208,Seqs!$A:$B,2,0),M208,1),"")</f>
        <v>S</v>
      </c>
      <c r="M208" s="9">
        <v>53</v>
      </c>
      <c r="N208" s="9" t="str">
        <f>IFERROR(MID(VLOOKUP($B208,Seqs!$A:$B,2,0),O208,1),"")</f>
        <v>H</v>
      </c>
      <c r="O208" s="9">
        <v>83</v>
      </c>
      <c r="P208" s="9" t="str">
        <f>IFERROR(MID(VLOOKUP($B208,Seqs!$A:$B,2,0),Q208,1),"")</f>
        <v>T</v>
      </c>
      <c r="Q208" s="9">
        <v>84</v>
      </c>
      <c r="R208" s="9" t="str">
        <f>IFERROR(MID(VLOOKUP($B208,Seqs!$A:$B,2,0),S208,1),"")</f>
        <v>F</v>
      </c>
      <c r="S208" s="9">
        <v>87</v>
      </c>
      <c r="T208" s="9" t="str">
        <f>IFERROR(MID(VLOOKUP($B208,Seqs!$A:$B,2,0),U208,1),"")</f>
        <v>K</v>
      </c>
      <c r="U208" s="9">
        <v>88</v>
      </c>
      <c r="V208" s="9" t="str">
        <f>IFERROR(MID(VLOOKUP($B208,Seqs!$A:$B,2,0),W208,1),"")</f>
        <v>S</v>
      </c>
      <c r="W208" s="9">
        <v>123</v>
      </c>
      <c r="X208" s="9" t="str">
        <f>IFERROR(MID(VLOOKUP($B208,Seqs!$A:$B,2,0),Y208,1),"")</f>
        <v>P</v>
      </c>
      <c r="Y208" s="9">
        <v>124</v>
      </c>
      <c r="Z208" s="9" t="str">
        <f>IFERROR(MID(VLOOKUP($B208,Seqs!$A:$B,2,0),AA208,1),"")</f>
        <v>R</v>
      </c>
      <c r="AA208" s="9">
        <v>131</v>
      </c>
      <c r="AB208" s="9" t="str">
        <f>IFERROR(MID(VLOOKUP($B208,Seqs!$A:$B,2,0),AC208,1),"")</f>
        <v>T</v>
      </c>
      <c r="AC208" s="9">
        <v>132</v>
      </c>
      <c r="AD208" s="9" t="str">
        <f>IFERROR(MID(VLOOKUP($B208,Seqs!$A:$B,2,0),AE208,1),"")</f>
        <v>R</v>
      </c>
      <c r="AE208" s="9">
        <v>158</v>
      </c>
      <c r="AF208" s="9" t="str">
        <f>IFERROR(MID(VLOOKUP($B208,Seqs!$A:$B,2,0),AG208,1),"")</f>
        <v>C</v>
      </c>
      <c r="AG208" s="9">
        <v>170</v>
      </c>
      <c r="AH208" s="9" t="str">
        <f>IFERROR(MID(VLOOKUP($B208,Seqs!$A:$B,2,0),AI208,1),"")</f>
        <v>A</v>
      </c>
      <c r="AI208" s="9">
        <v>172</v>
      </c>
      <c r="AJ208" s="9" t="str">
        <f>IFERROR(MID(VLOOKUP($B208,Seqs!$A:$B,2,0),AK208,1),"")</f>
        <v>S</v>
      </c>
      <c r="AK208" s="9">
        <v>176</v>
      </c>
      <c r="AL208" s="9" t="str">
        <f>IFERROR(MID(VLOOKUP($B208,Seqs!$A:$B,2,0),AM208,1),"")</f>
        <v>R</v>
      </c>
      <c r="AM208" s="9">
        <v>213</v>
      </c>
      <c r="AN208" s="9" t="str">
        <f>IFERROR(MID(VLOOKUP($B208,Seqs!$A:$B,2,0),AO208,1),"")</f>
        <v>R</v>
      </c>
      <c r="AO208" s="9">
        <v>218</v>
      </c>
      <c r="AP208" s="9" t="str">
        <f>IFERROR(MID(VLOOKUP($B208,Seqs!$A:$B,2,0),AQ208,1),"")</f>
        <v>A</v>
      </c>
      <c r="AQ208" s="9">
        <v>252</v>
      </c>
      <c r="AR208" s="9" t="str">
        <f>IFERROR(MID(VLOOKUP($B208,Seqs!$A:$B,2,0),AS208,1),"")</f>
        <v>L</v>
      </c>
      <c r="AS208" s="9">
        <v>255</v>
      </c>
      <c r="AT208" s="9" t="str">
        <f>IFERROR(MID(VLOOKUP($B208,Seqs!$A:$B,2,0),AU208,1),"")</f>
        <v>A</v>
      </c>
      <c r="AU208" s="9">
        <v>285</v>
      </c>
      <c r="AV208" s="9" t="str">
        <f>IFERROR(MID(VLOOKUP($B208,Seqs!$A:$B,2,0),AW208,1),"")</f>
        <v>G</v>
      </c>
      <c r="AW208" s="9">
        <v>288</v>
      </c>
      <c r="AX208" s="9" t="str">
        <f>IFERROR(MID(VLOOKUP($B208,Seqs!$A:$B,2,0),AY208,1),"")</f>
        <v>K</v>
      </c>
      <c r="AY208" s="9">
        <v>302</v>
      </c>
      <c r="AZ208" s="112" t="str">
        <f>VLOOKUP(B208,Classification!A:D,2,0)</f>
        <v>A</v>
      </c>
      <c r="BA208" s="100" t="str">
        <f>VLOOKUP(B208,Classification!A:D,4,0)</f>
        <v>Leukotriene</v>
      </c>
      <c r="BB208" s="3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11">
        <f t="shared" ref="BC208" si="1707">_xlfn.AGGREGATE(9,6,CH208:CS208)-_xlfn.AGGREGATE(9,6,BV208:CG208)+12</f>
        <v>264</v>
      </c>
      <c r="BD208" s="41" t="s">
        <v>23</v>
      </c>
      <c r="BE208" s="9" t="s">
        <v>23</v>
      </c>
      <c r="BF208" s="122" t="s">
        <v>23</v>
      </c>
      <c r="BG208" s="52" t="s">
        <v>1</v>
      </c>
      <c r="BH208" s="52" t="s">
        <v>1</v>
      </c>
      <c r="BJ208" s="113" t="s">
        <v>1293</v>
      </c>
      <c r="BK208" s="114" t="s">
        <v>1293</v>
      </c>
      <c r="BL208" s="114" t="s">
        <v>1293</v>
      </c>
      <c r="BM208" s="114" t="s">
        <v>1293</v>
      </c>
      <c r="BN208" s="114" t="s">
        <v>1293</v>
      </c>
      <c r="BO208" s="114" t="s">
        <v>1293</v>
      </c>
      <c r="BP208" s="114" t="s">
        <v>1293</v>
      </c>
      <c r="BQ208" s="114" t="s">
        <v>1293</v>
      </c>
      <c r="BR208" s="114" t="s">
        <v>1293</v>
      </c>
      <c r="BS208" s="114" t="s">
        <v>1293</v>
      </c>
      <c r="BT208" s="114" t="s">
        <v>1293</v>
      </c>
      <c r="BU208" s="114" t="s">
        <v>1293</v>
      </c>
      <c r="BV208" s="113">
        <f t="shared" ref="BV208" si="1708">E208</f>
        <v>17</v>
      </c>
      <c r="BW208" s="115">
        <f t="shared" ref="BW208" si="1709">I208</f>
        <v>49</v>
      </c>
      <c r="BX208" s="116">
        <f t="shared" ref="BX208" si="1710">M208</f>
        <v>53</v>
      </c>
      <c r="BY208" s="115">
        <f t="shared" ref="BY208" si="1711">Q208</f>
        <v>84</v>
      </c>
      <c r="BZ208" s="116">
        <f t="shared" ref="BZ208" si="1712">U208</f>
        <v>88</v>
      </c>
      <c r="CA208" s="115">
        <f t="shared" ref="CA208" si="1713">Y208</f>
        <v>124</v>
      </c>
      <c r="CB208" s="116">
        <f t="shared" ref="CB208" si="1714">AC208</f>
        <v>132</v>
      </c>
      <c r="CC208" s="115">
        <f t="shared" ref="CC208" si="1715">AG208</f>
        <v>170</v>
      </c>
      <c r="CD208" s="116">
        <f t="shared" ref="CD208" si="1716">AK208</f>
        <v>176</v>
      </c>
      <c r="CE208" s="115">
        <f t="shared" ref="CE208" si="1717">AO208</f>
        <v>218</v>
      </c>
      <c r="CF208" s="116">
        <f t="shared" ref="CF208" si="1718">AS208</f>
        <v>255</v>
      </c>
      <c r="CG208" s="115">
        <f t="shared" ref="CG208" si="1719">AW208</f>
        <v>288</v>
      </c>
      <c r="CH208" s="113">
        <f t="shared" ref="CH208" si="1720">G208</f>
        <v>48</v>
      </c>
      <c r="CI208" s="115">
        <f t="shared" ref="CI208" si="1721">K208</f>
        <v>52</v>
      </c>
      <c r="CJ208" s="116">
        <f t="shared" ref="CJ208" si="1722">O208</f>
        <v>83</v>
      </c>
      <c r="CK208" s="116">
        <f t="shared" ref="CK208" si="1723">S208</f>
        <v>87</v>
      </c>
      <c r="CL208" s="116">
        <f t="shared" ref="CL208" si="1724">W208</f>
        <v>123</v>
      </c>
      <c r="CM208" s="116">
        <f t="shared" ref="CM208" si="1725">AA208</f>
        <v>131</v>
      </c>
      <c r="CN208" s="116">
        <f t="shared" ref="CN208" si="1726">AE208</f>
        <v>158</v>
      </c>
      <c r="CO208" s="116">
        <f t="shared" ref="CO208" si="1727">AI208</f>
        <v>172</v>
      </c>
      <c r="CP208" s="116">
        <f t="shared" ref="CP208" si="1728">AM208</f>
        <v>213</v>
      </c>
      <c r="CQ208" s="116">
        <f t="shared" ref="CQ208" si="1729">AQ208</f>
        <v>252</v>
      </c>
      <c r="CR208" s="116">
        <f t="shared" ref="CR208" si="1730">AU208</f>
        <v>285</v>
      </c>
      <c r="CS208" s="116">
        <f t="shared" ref="CS208" si="1731">AY208</f>
        <v>302</v>
      </c>
      <c r="CT208" s="111">
        <f t="shared" ref="CT208" si="1732">M208-K208</f>
        <v>1</v>
      </c>
    </row>
    <row r="209" spans="1:1030" s="12" customFormat="1" x14ac:dyDescent="0.2">
      <c r="A209" s="9" t="str">
        <f t="shared" ref="A209" si="1733">CONCATENATE(B209,"_",C209)</f>
        <v>q9wtk1_cavpo_5X33</v>
      </c>
      <c r="B209" s="9" t="s">
        <v>1463</v>
      </c>
      <c r="C209" s="9" t="s">
        <v>1464</v>
      </c>
      <c r="D209" s="9" t="str">
        <f>IFERROR(MID(VLOOKUP($B209,Seqs!$A:$B,2,0),E209,1),"")</f>
        <v>T</v>
      </c>
      <c r="E209" s="9">
        <v>17</v>
      </c>
      <c r="F209" s="9" t="str">
        <f>IFERROR(MID(VLOOKUP($B209,Seqs!$A:$B,2,0),G209,1),"")</f>
        <v>R</v>
      </c>
      <c r="G209" s="9">
        <v>48</v>
      </c>
      <c r="H209" s="9" t="str">
        <f>IFERROR(MID(VLOOKUP($B209,Seqs!$A:$B,2,0),I209,1),"")</f>
        <v/>
      </c>
      <c r="I209" s="111" t="s">
        <v>23</v>
      </c>
      <c r="J209" s="9" t="str">
        <f>IFERROR(MID(VLOOKUP($B209,Seqs!$A:$B,2,0),K209,1),"")</f>
        <v/>
      </c>
      <c r="K209" s="111" t="s">
        <v>23</v>
      </c>
      <c r="L209" s="9" t="str">
        <f>IFERROR(MID(VLOOKUP($B209,Seqs!$A:$B,2,0),M209,1),"")</f>
        <v>S</v>
      </c>
      <c r="M209" s="9">
        <v>53</v>
      </c>
      <c r="N209" s="9" t="str">
        <f>IFERROR(MID(VLOOKUP($B209,Seqs!$A:$B,2,0),O209,1),"")</f>
        <v>H</v>
      </c>
      <c r="O209" s="9">
        <v>83</v>
      </c>
      <c r="P209" s="9" t="str">
        <f>IFERROR(MID(VLOOKUP($B209,Seqs!$A:$B,2,0),Q209,1),"")</f>
        <v>T</v>
      </c>
      <c r="Q209" s="9">
        <v>84</v>
      </c>
      <c r="R209" s="9" t="str">
        <f>IFERROR(MID(VLOOKUP($B209,Seqs!$A:$B,2,0),S209,1),"")</f>
        <v>F</v>
      </c>
      <c r="S209" s="9">
        <v>87</v>
      </c>
      <c r="T209" s="9" t="str">
        <f>IFERROR(MID(VLOOKUP($B209,Seqs!$A:$B,2,0),U209,1),"")</f>
        <v>K</v>
      </c>
      <c r="U209" s="9">
        <v>88</v>
      </c>
      <c r="V209" s="9" t="str">
        <f>IFERROR(MID(VLOOKUP($B209,Seqs!$A:$B,2,0),W209,1),"")</f>
        <v>S</v>
      </c>
      <c r="W209" s="9">
        <v>123</v>
      </c>
      <c r="X209" s="9" t="str">
        <f>IFERROR(MID(VLOOKUP($B209,Seqs!$A:$B,2,0),Y209,1),"")</f>
        <v>P</v>
      </c>
      <c r="Y209" s="9">
        <v>124</v>
      </c>
      <c r="Z209" s="9" t="str">
        <f>IFERROR(MID(VLOOKUP($B209,Seqs!$A:$B,2,0),AA209,1),"")</f>
        <v>R</v>
      </c>
      <c r="AA209" s="9">
        <v>131</v>
      </c>
      <c r="AB209" s="9" t="str">
        <f>IFERROR(MID(VLOOKUP($B209,Seqs!$A:$B,2,0),AC209,1),"")</f>
        <v>T</v>
      </c>
      <c r="AC209" s="9">
        <v>132</v>
      </c>
      <c r="AD209" s="9" t="str">
        <f>IFERROR(MID(VLOOKUP($B209,Seqs!$A:$B,2,0),AE209,1),"")</f>
        <v>R</v>
      </c>
      <c r="AE209" s="9">
        <v>158</v>
      </c>
      <c r="AF209" s="9" t="str">
        <f>IFERROR(MID(VLOOKUP($B209,Seqs!$A:$B,2,0),AG209,1),"")</f>
        <v>C</v>
      </c>
      <c r="AG209" s="9">
        <v>170</v>
      </c>
      <c r="AH209" s="9" t="str">
        <f>IFERROR(MID(VLOOKUP($B209,Seqs!$A:$B,2,0),AI209,1),"")</f>
        <v>A</v>
      </c>
      <c r="AI209" s="9">
        <v>172</v>
      </c>
      <c r="AJ209" s="9" t="str">
        <f>IFERROR(MID(VLOOKUP($B209,Seqs!$A:$B,2,0),AK209,1),"")</f>
        <v>S</v>
      </c>
      <c r="AK209" s="9">
        <v>176</v>
      </c>
      <c r="AL209" s="9" t="str">
        <f>IFERROR(MID(VLOOKUP($B209,Seqs!$A:$B,2,0),AM209,1),"")</f>
        <v>R</v>
      </c>
      <c r="AM209" s="9">
        <v>213</v>
      </c>
      <c r="AN209" s="9" t="str">
        <f>IFERROR(MID(VLOOKUP($B209,Seqs!$A:$B,2,0),AO209,1),"")</f>
        <v>I</v>
      </c>
      <c r="AO209" s="9">
        <v>227</v>
      </c>
      <c r="AP209" s="9" t="str">
        <f>IFERROR(MID(VLOOKUP($B209,Seqs!$A:$B,2,0),AQ209,1),"")</f>
        <v>R</v>
      </c>
      <c r="AQ209" s="9">
        <v>249</v>
      </c>
      <c r="AR209" s="9" t="str">
        <f>IFERROR(MID(VLOOKUP($B209,Seqs!$A:$B,2,0),AS209,1),"")</f>
        <v>Q</v>
      </c>
      <c r="AS209" s="9">
        <v>261</v>
      </c>
      <c r="AT209" s="9" t="str">
        <f>IFERROR(MID(VLOOKUP($B209,Seqs!$A:$B,2,0),AU209,1),"")</f>
        <v>S</v>
      </c>
      <c r="AU209" s="9">
        <v>278</v>
      </c>
      <c r="AV209" s="9" t="str">
        <f>IFERROR(MID(VLOOKUP($B209,Seqs!$A:$B,2,0),AW209,1),"")</f>
        <v/>
      </c>
      <c r="AW209" s="9" t="s">
        <v>23</v>
      </c>
      <c r="AX209" s="9" t="str">
        <f>IFERROR(MID(VLOOKUP($B209,Seqs!$A:$B,2,0),AY209,1),"")</f>
        <v/>
      </c>
      <c r="AY209" s="9" t="s">
        <v>23</v>
      </c>
      <c r="AZ209" s="112" t="str">
        <f>VLOOKUP(B209,Classification!A:D,2,0)</f>
        <v>A</v>
      </c>
      <c r="BA209" s="100" t="str">
        <f>VLOOKUP(B209,Classification!A:D,4,0)</f>
        <v>Leukotriene</v>
      </c>
      <c r="BB209" s="3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11">
        <f t="shared" ref="BC209" si="1735">_xlfn.AGGREGATE(9,6,CH209:CS209)-_xlfn.AGGREGATE(9,6,BV209:CG209)+12</f>
        <v>222</v>
      </c>
      <c r="BD209" s="41" t="s">
        <v>1383</v>
      </c>
      <c r="BE209" s="9" t="s">
        <v>1381</v>
      </c>
      <c r="BF209" s="122">
        <v>3.7</v>
      </c>
      <c r="BG209" s="52" t="s">
        <v>1</v>
      </c>
      <c r="BH209" s="52" t="s">
        <v>1384</v>
      </c>
      <c r="BJ209" s="113" t="s">
        <v>1293</v>
      </c>
      <c r="BK209" s="114" t="s">
        <v>1293</v>
      </c>
      <c r="BL209" s="114" t="s">
        <v>1293</v>
      </c>
      <c r="BM209" s="114" t="s">
        <v>1293</v>
      </c>
      <c r="BN209" s="114" t="s">
        <v>1293</v>
      </c>
      <c r="BO209" s="114" t="s">
        <v>1293</v>
      </c>
      <c r="BP209" s="114" t="s">
        <v>1293</v>
      </c>
      <c r="BQ209" s="114" t="s">
        <v>1293</v>
      </c>
      <c r="BR209" s="114" t="s">
        <v>1293</v>
      </c>
      <c r="BS209" s="114" t="s">
        <v>1293</v>
      </c>
      <c r="BT209" s="114" t="s">
        <v>1293</v>
      </c>
      <c r="BU209" s="114" t="s">
        <v>1293</v>
      </c>
      <c r="BV209" s="113">
        <f t="shared" ref="BV209" si="1736">E209</f>
        <v>17</v>
      </c>
      <c r="BW209" s="115" t="str">
        <f t="shared" ref="BW209" si="1737">I209</f>
        <v>-</v>
      </c>
      <c r="BX209" s="116">
        <f t="shared" ref="BX209" si="1738">M209</f>
        <v>53</v>
      </c>
      <c r="BY209" s="115">
        <f t="shared" ref="BY209" si="1739">Q209</f>
        <v>84</v>
      </c>
      <c r="BZ209" s="116">
        <f t="shared" ref="BZ209" si="1740">U209</f>
        <v>88</v>
      </c>
      <c r="CA209" s="115">
        <f t="shared" ref="CA209" si="1741">Y209</f>
        <v>124</v>
      </c>
      <c r="CB209" s="116">
        <f t="shared" ref="CB209" si="1742">AC209</f>
        <v>132</v>
      </c>
      <c r="CC209" s="115">
        <f t="shared" ref="CC209" si="1743">AG209</f>
        <v>170</v>
      </c>
      <c r="CD209" s="116">
        <f t="shared" ref="CD209" si="1744">AK209</f>
        <v>176</v>
      </c>
      <c r="CE209" s="115">
        <f t="shared" ref="CE209" si="1745">AO209</f>
        <v>227</v>
      </c>
      <c r="CF209" s="116">
        <f t="shared" ref="CF209" si="1746">AS209</f>
        <v>261</v>
      </c>
      <c r="CG209" s="115" t="str">
        <f t="shared" ref="CG209" si="1747">AW209</f>
        <v>-</v>
      </c>
      <c r="CH209" s="113">
        <f t="shared" ref="CH209" si="1748">G209</f>
        <v>48</v>
      </c>
      <c r="CI209" s="115" t="str">
        <f t="shared" ref="CI209" si="1749">K209</f>
        <v>-</v>
      </c>
      <c r="CJ209" s="116">
        <f t="shared" ref="CJ209" si="1750">O209</f>
        <v>83</v>
      </c>
      <c r="CK209" s="116">
        <f t="shared" ref="CK209" si="1751">S209</f>
        <v>87</v>
      </c>
      <c r="CL209" s="116">
        <f t="shared" ref="CL209" si="1752">W209</f>
        <v>123</v>
      </c>
      <c r="CM209" s="116">
        <f t="shared" ref="CM209" si="1753">AA209</f>
        <v>131</v>
      </c>
      <c r="CN209" s="116">
        <f t="shared" ref="CN209" si="1754">AE209</f>
        <v>158</v>
      </c>
      <c r="CO209" s="116">
        <f t="shared" ref="CO209" si="1755">AI209</f>
        <v>172</v>
      </c>
      <c r="CP209" s="116">
        <f t="shared" ref="CP209" si="1756">AM209</f>
        <v>213</v>
      </c>
      <c r="CQ209" s="116">
        <f t="shared" ref="CQ209" si="1757">AQ209</f>
        <v>249</v>
      </c>
      <c r="CR209" s="116">
        <f t="shared" ref="CR209" si="1758">AU209</f>
        <v>278</v>
      </c>
      <c r="CS209" s="116" t="str">
        <f t="shared" ref="CS209" si="1759">AY209</f>
        <v>-</v>
      </c>
      <c r="CT209" s="111" t="e">
        <f t="shared" ref="CT209" si="1760">M209-K209</f>
        <v>#VALUE!</v>
      </c>
    </row>
    <row r="210" spans="1:1030" x14ac:dyDescent="0.2">
      <c r="A210" s="3" t="str">
        <f t="shared" si="1395"/>
        <v>s1pr1_human__wt</v>
      </c>
      <c r="B210" s="3" t="s">
        <v>104</v>
      </c>
      <c r="C210" s="3" t="s">
        <v>100</v>
      </c>
      <c r="D210" s="3" t="str">
        <f>IFERROR(MID(VLOOKUP($B210,Seqs!$A:$B,2,0),E210,1),"")</f>
        <v>E</v>
      </c>
      <c r="E210" s="3">
        <v>42</v>
      </c>
      <c r="F210" s="3" t="str">
        <f>IFERROR(MID(VLOOKUP($B210,Seqs!$A:$B,2,0),G210,1),"")</f>
        <v>T</v>
      </c>
      <c r="G210" s="3">
        <v>73</v>
      </c>
      <c r="H210" s="3" t="str">
        <f>IFERROR(MID(VLOOKUP($B210,Seqs!$A:$B,2,0),I210,1),"")</f>
        <v>K</v>
      </c>
      <c r="I210" s="23">
        <v>74</v>
      </c>
      <c r="J210" s="3" t="str">
        <f>IFERROR(MID(VLOOKUP($B210,Seqs!$A:$B,2,0),K210,1),"")</f>
        <v>H</v>
      </c>
      <c r="K210" s="23">
        <v>77</v>
      </c>
      <c r="L210" s="3" t="str">
        <f>IFERROR(MID(VLOOKUP($B210,Seqs!$A:$B,2,0),M210,1),"")</f>
        <v>R</v>
      </c>
      <c r="M210" s="3">
        <v>78</v>
      </c>
      <c r="N210" s="3" t="str">
        <f>IFERROR(MID(VLOOKUP($B210,Seqs!$A:$B,2,0),O210,1),"")</f>
        <v>L</v>
      </c>
      <c r="O210" s="3">
        <v>104</v>
      </c>
      <c r="P210" s="3" t="str">
        <f>IFERROR(MID(VLOOKUP($B210,Seqs!$A:$B,2,0),Q210,1),"")</f>
        <v>G</v>
      </c>
      <c r="Q210" s="3">
        <v>106</v>
      </c>
      <c r="R210" s="3" t="str">
        <f>IFERROR(MID(VLOOKUP($B210,Seqs!$A:$B,2,0),S210,1),"")</f>
        <v>L</v>
      </c>
      <c r="S210" s="3">
        <v>112</v>
      </c>
      <c r="T210" s="3" t="str">
        <f>IFERROR(MID(VLOOKUP($B210,Seqs!$A:$B,2,0),U210,1),"")</f>
        <v>T</v>
      </c>
      <c r="U210" s="3">
        <v>113</v>
      </c>
      <c r="V210" s="3" t="str">
        <f>IFERROR(MID(VLOOKUP($B210,Seqs!$A:$B,2,0),W210,1),"")</f>
        <v>K</v>
      </c>
      <c r="W210" s="107">
        <v>148</v>
      </c>
      <c r="X210" s="3" t="str">
        <f>IFERROR(MID(VLOOKUP($B210,Seqs!$A:$B,2,0),Y210,1),"")</f>
        <v>M</v>
      </c>
      <c r="Y210" s="107">
        <v>149</v>
      </c>
      <c r="Z210" s="3" t="str">
        <f>IFERROR(MID(VLOOKUP($B210,Seqs!$A:$B,2,0),AA210,1),"")</f>
        <v>S</v>
      </c>
      <c r="AA210" s="107">
        <v>155</v>
      </c>
      <c r="AB210" s="3" t="str">
        <f>IFERROR(MID(VLOOKUP($B210,Seqs!$A:$B,2,0),AC210,1),"")</f>
        <v>N</v>
      </c>
      <c r="AC210" s="107">
        <v>156</v>
      </c>
      <c r="AD210" s="3" t="str">
        <f>IFERROR(MID(VLOOKUP($B210,Seqs!$A:$B,2,0),AE210,1),"")</f>
        <v>G</v>
      </c>
      <c r="AE210" s="3">
        <v>181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H</v>
      </c>
      <c r="AK210" s="3">
        <v>199</v>
      </c>
      <c r="AL210" s="3" t="str">
        <f>IFERROR(MID(VLOOKUP($B210,Seqs!$A:$B,2,0),AM210,1),"")</f>
        <v>T</v>
      </c>
      <c r="AM210" s="3">
        <v>236</v>
      </c>
      <c r="AN210" s="3" t="str">
        <f>IFERROR(MID(VLOOKUP($B210,Seqs!$A:$B,2,0),AO210,1),"")</f>
        <v>S</v>
      </c>
      <c r="AO210" s="3">
        <v>245</v>
      </c>
      <c r="AP210" s="3" t="str">
        <f>IFERROR(MID(VLOOKUP($B210,Seqs!$A:$B,2,0),AQ210,1),"")</f>
        <v>C</v>
      </c>
      <c r="AQ210" s="3">
        <v>282</v>
      </c>
      <c r="AR210" s="3" t="str">
        <f>IFERROR(MID(VLOOKUP($B210,Seqs!$A:$B,2,0),AS210,1),"")</f>
        <v>D</v>
      </c>
      <c r="AS210" s="3">
        <v>288</v>
      </c>
      <c r="AT210" s="3" t="str">
        <f>IFERROR(MID(VLOOKUP($B210,Seqs!$A:$B,2,0),AU210,1),"")</f>
        <v>T</v>
      </c>
      <c r="AU210" s="3">
        <v>314</v>
      </c>
      <c r="AV210" s="3" t="str">
        <f>IFERROR(MID(VLOOKUP($B210,Seqs!$A:$B,2,0),AW210,1),"")</f>
        <v>N</v>
      </c>
      <c r="AW210" s="3">
        <v>315</v>
      </c>
      <c r="AX210" s="3" t="str">
        <f>IFERROR(MID(VLOOKUP($B210,Seqs!$A:$B,2,0),AY210,1),"")</f>
        <v>S</v>
      </c>
      <c r="AY210" s="3">
        <v>327</v>
      </c>
      <c r="AZ210" s="79" t="str">
        <f>VLOOKUP(B210,Classification!A:D,2,0)</f>
        <v>A</v>
      </c>
      <c r="BA210" s="96" t="str">
        <f>VLOOKUP(B210,Classification!A:D,4,0)</f>
        <v>Lysophospholipid(S1P)</v>
      </c>
      <c r="BB210" s="27" t="b">
        <f t="shared" si="1396"/>
        <v>1</v>
      </c>
      <c r="BC210" s="23">
        <f t="shared" si="1369"/>
        <v>256</v>
      </c>
      <c r="BD210" s="57" t="s">
        <v>1379</v>
      </c>
      <c r="BE210" s="3" t="s">
        <v>23</v>
      </c>
      <c r="BF210" s="121" t="s">
        <v>23</v>
      </c>
      <c r="BG210" s="50" t="s">
        <v>1379</v>
      </c>
      <c r="BH210" s="50" t="s">
        <v>1384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si="1370"/>
        <v>42</v>
      </c>
      <c r="BW210" s="73">
        <f t="shared" si="1371"/>
        <v>74</v>
      </c>
      <c r="BX210" s="74">
        <f t="shared" si="1372"/>
        <v>78</v>
      </c>
      <c r="BY210" s="73">
        <f t="shared" si="1373"/>
        <v>106</v>
      </c>
      <c r="BZ210" s="74">
        <f t="shared" si="1374"/>
        <v>113</v>
      </c>
      <c r="CA210" s="73">
        <f t="shared" si="1375"/>
        <v>149</v>
      </c>
      <c r="CB210" s="74">
        <f t="shared" si="1376"/>
        <v>156</v>
      </c>
      <c r="CC210" s="73" t="str">
        <f t="shared" si="1377"/>
        <v>-</v>
      </c>
      <c r="CD210" s="74">
        <f t="shared" si="1378"/>
        <v>199</v>
      </c>
      <c r="CE210" s="73">
        <f t="shared" si="1379"/>
        <v>245</v>
      </c>
      <c r="CF210" s="74">
        <f t="shared" si="1380"/>
        <v>288</v>
      </c>
      <c r="CG210" s="73">
        <f t="shared" si="1381"/>
        <v>315</v>
      </c>
      <c r="CH210" s="72">
        <f t="shared" si="1382"/>
        <v>73</v>
      </c>
      <c r="CI210" s="73">
        <f t="shared" si="1383"/>
        <v>77</v>
      </c>
      <c r="CJ210" s="74">
        <f t="shared" si="1384"/>
        <v>104</v>
      </c>
      <c r="CK210" s="74">
        <f t="shared" si="1385"/>
        <v>112</v>
      </c>
      <c r="CL210" s="74">
        <f t="shared" si="1386"/>
        <v>148</v>
      </c>
      <c r="CM210" s="74">
        <f t="shared" si="1387"/>
        <v>155</v>
      </c>
      <c r="CN210" s="74">
        <f t="shared" si="1388"/>
        <v>181</v>
      </c>
      <c r="CO210" s="74" t="str">
        <f t="shared" si="1389"/>
        <v>-</v>
      </c>
      <c r="CP210" s="74">
        <f t="shared" si="1390"/>
        <v>236</v>
      </c>
      <c r="CQ210" s="74">
        <f t="shared" si="1391"/>
        <v>282</v>
      </c>
      <c r="CR210" s="74">
        <f t="shared" si="1392"/>
        <v>314</v>
      </c>
      <c r="CS210" s="74">
        <f t="shared" si="1393"/>
        <v>327</v>
      </c>
      <c r="CT210" s="23">
        <f t="shared" si="1394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1395"/>
        <v>s1pr1_human_3V2Y</v>
      </c>
      <c r="B211" s="3" t="s">
        <v>104</v>
      </c>
      <c r="C211" s="3" t="s">
        <v>94</v>
      </c>
      <c r="D211" s="3" t="str">
        <f>IFERROR(MID(VLOOKUP($B211,Seqs!$A:$B,2,0),E211,1),"")</f>
        <v>E</v>
      </c>
      <c r="E211" s="3">
        <v>42</v>
      </c>
      <c r="F211" s="3" t="str">
        <f>IFERROR(MID(VLOOKUP($B211,Seqs!$A:$B,2,0),G211,1),"")</f>
        <v>T</v>
      </c>
      <c r="G211" s="3">
        <v>73</v>
      </c>
      <c r="H211" s="3" t="str">
        <f>IFERROR(MID(VLOOKUP($B211,Seqs!$A:$B,2,0),I211,1),"")</f>
        <v>K</v>
      </c>
      <c r="I211" s="23">
        <v>74</v>
      </c>
      <c r="J211" s="3" t="str">
        <f>IFERROR(MID(VLOOKUP($B211,Seqs!$A:$B,2,0),K211,1),"")</f>
        <v>H</v>
      </c>
      <c r="K211" s="23">
        <v>77</v>
      </c>
      <c r="L211" s="3" t="str">
        <f>IFERROR(MID(VLOOKUP($B211,Seqs!$A:$B,2,0),M211,1),"")</f>
        <v>R</v>
      </c>
      <c r="M211" s="3">
        <v>78</v>
      </c>
      <c r="N211" s="3" t="str">
        <f>IFERROR(MID(VLOOKUP($B211,Seqs!$A:$B,2,0),O211,1),"")</f>
        <v>L</v>
      </c>
      <c r="O211" s="3">
        <v>104</v>
      </c>
      <c r="P211" s="3" t="str">
        <f>IFERROR(MID(VLOOKUP($B211,Seqs!$A:$B,2,0),Q211,1),"")</f>
        <v>G</v>
      </c>
      <c r="Q211" s="3">
        <v>106</v>
      </c>
      <c r="R211" s="3" t="str">
        <f>IFERROR(MID(VLOOKUP($B211,Seqs!$A:$B,2,0),S211,1),"")</f>
        <v>L</v>
      </c>
      <c r="S211" s="3">
        <v>112</v>
      </c>
      <c r="T211" s="3" t="str">
        <f>IFERROR(MID(VLOOKUP($B211,Seqs!$A:$B,2,0),U211,1),"")</f>
        <v>T</v>
      </c>
      <c r="U211" s="3">
        <v>113</v>
      </c>
      <c r="V211" s="3" t="str">
        <f>IFERROR(MID(VLOOKUP($B211,Seqs!$A:$B,2,0),W211,1),"")</f>
        <v>T</v>
      </c>
      <c r="W211" s="107">
        <v>145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N</v>
      </c>
      <c r="AC211" s="107">
        <v>156</v>
      </c>
      <c r="AD211" s="3" t="str">
        <f>IFERROR(MID(VLOOKUP($B211,Seqs!$A:$B,2,0),AE211,1),"")</f>
        <v>G</v>
      </c>
      <c r="AE211" s="3">
        <v>181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H</v>
      </c>
      <c r="AK211" s="3">
        <v>199</v>
      </c>
      <c r="AL211" s="3" t="str">
        <f>IFERROR(MID(VLOOKUP($B211,Seqs!$A:$B,2,0),AM211,1),"")</f>
        <v>R</v>
      </c>
      <c r="AM211" s="3">
        <v>231</v>
      </c>
      <c r="AN211" s="3" t="str">
        <f>IFERROR(MID(VLOOKUP($B211,Seqs!$A:$B,2,0),AO211,1),"")</f>
        <v>S</v>
      </c>
      <c r="AO211" s="3">
        <v>251</v>
      </c>
      <c r="AP211" s="3" t="str">
        <f>IFERROR(MID(VLOOKUP($B211,Seqs!$A:$B,2,0),AQ211,1),"")</f>
        <v>C</v>
      </c>
      <c r="AQ211" s="3">
        <v>282</v>
      </c>
      <c r="AR211" s="3" t="str">
        <f>IFERROR(MID(VLOOKUP($B211,Seqs!$A:$B,2,0),AS211,1),"")</f>
        <v>D</v>
      </c>
      <c r="AS211" s="3">
        <v>288</v>
      </c>
      <c r="AT211" s="3" t="str">
        <f>IFERROR(MID(VLOOKUP($B211,Seqs!$A:$B,2,0),AU211,1),"")</f>
        <v>T</v>
      </c>
      <c r="AU211" s="3">
        <v>314</v>
      </c>
      <c r="AV211" s="3" t="str">
        <f>IFERROR(MID(VLOOKUP($B211,Seqs!$A:$B,2,0),AW211,1),"")</f>
        <v>N</v>
      </c>
      <c r="AW211" s="3">
        <v>315</v>
      </c>
      <c r="AX211" s="3" t="str">
        <f>IFERROR(MID(VLOOKUP($B211,Seqs!$A:$B,2,0),AY211,1),"")</f>
        <v>I</v>
      </c>
      <c r="AY211" s="3">
        <v>323</v>
      </c>
      <c r="AZ211" s="79" t="str">
        <f>VLOOKUP(B211,Classification!A:D,2,0)</f>
        <v>A</v>
      </c>
      <c r="BA211" s="96" t="str">
        <f>VLOOKUP(B211,Classification!A:D,4,0)</f>
        <v>Lysophospholipid(S1P)</v>
      </c>
      <c r="BB211" s="27" t="b">
        <f t="shared" si="1396"/>
        <v>1</v>
      </c>
      <c r="BC211" s="23">
        <f t="shared" si="1369"/>
        <v>232</v>
      </c>
      <c r="BD211" s="2" t="s">
        <v>1383</v>
      </c>
      <c r="BE211" s="3" t="s">
        <v>1381</v>
      </c>
      <c r="BF211" s="121">
        <v>2.8</v>
      </c>
      <c r="BG211" s="50" t="s">
        <v>1384</v>
      </c>
      <c r="BH211" s="50" t="s">
        <v>1384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si="1370"/>
        <v>42</v>
      </c>
      <c r="BW211" s="73">
        <f t="shared" si="1371"/>
        <v>74</v>
      </c>
      <c r="BX211" s="74">
        <f t="shared" si="1372"/>
        <v>78</v>
      </c>
      <c r="BY211" s="73">
        <f t="shared" si="1373"/>
        <v>106</v>
      </c>
      <c r="BZ211" s="74">
        <f t="shared" si="1374"/>
        <v>113</v>
      </c>
      <c r="CA211" s="73" t="str">
        <f t="shared" si="1375"/>
        <v>-</v>
      </c>
      <c r="CB211" s="74">
        <f t="shared" si="1376"/>
        <v>156</v>
      </c>
      <c r="CC211" s="73" t="str">
        <f t="shared" si="1377"/>
        <v>-</v>
      </c>
      <c r="CD211" s="74">
        <f t="shared" si="1378"/>
        <v>199</v>
      </c>
      <c r="CE211" s="73">
        <f t="shared" si="1379"/>
        <v>251</v>
      </c>
      <c r="CF211" s="74">
        <f t="shared" si="1380"/>
        <v>288</v>
      </c>
      <c r="CG211" s="73">
        <f t="shared" si="1381"/>
        <v>315</v>
      </c>
      <c r="CH211" s="72">
        <f t="shared" si="1382"/>
        <v>73</v>
      </c>
      <c r="CI211" s="73">
        <f t="shared" si="1383"/>
        <v>77</v>
      </c>
      <c r="CJ211" s="74">
        <f t="shared" si="1384"/>
        <v>104</v>
      </c>
      <c r="CK211" s="74">
        <f t="shared" si="1385"/>
        <v>112</v>
      </c>
      <c r="CL211" s="74">
        <f t="shared" si="1386"/>
        <v>145</v>
      </c>
      <c r="CM211" s="74" t="str">
        <f t="shared" si="1387"/>
        <v>-</v>
      </c>
      <c r="CN211" s="74">
        <f t="shared" si="1388"/>
        <v>181</v>
      </c>
      <c r="CO211" s="74" t="str">
        <f t="shared" si="1389"/>
        <v>-</v>
      </c>
      <c r="CP211" s="74">
        <f t="shared" si="1390"/>
        <v>231</v>
      </c>
      <c r="CQ211" s="74">
        <f t="shared" si="1391"/>
        <v>282</v>
      </c>
      <c r="CR211" s="74">
        <f t="shared" si="1392"/>
        <v>314</v>
      </c>
      <c r="CS211" s="74">
        <f t="shared" si="1393"/>
        <v>323</v>
      </c>
      <c r="CT211" s="23">
        <f t="shared" si="1394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1395"/>
        <v>us28_hcmva__wt</v>
      </c>
      <c r="B212" s="3" t="s">
        <v>924</v>
      </c>
      <c r="C212" s="3" t="s">
        <v>100</v>
      </c>
      <c r="D212" s="3" t="str">
        <f>IFERROR(MID(VLOOKUP($B212,Seqs!$A:$B,2,0),E212,1),"")</f>
        <v>T</v>
      </c>
      <c r="E212" s="3">
        <v>26</v>
      </c>
      <c r="F212" s="3" t="str">
        <f>IFERROR(MID(VLOOKUP($B212,Seqs!$A:$B,2,0),G212,1),"")</f>
        <v>R</v>
      </c>
      <c r="G212" s="3">
        <v>61</v>
      </c>
      <c r="H212" s="3" t="str">
        <f>IFERROR(MID(VLOOKUP($B212,Seqs!$A:$B,2,0),I212,1),"")</f>
        <v>R</v>
      </c>
      <c r="I212" s="23">
        <v>62</v>
      </c>
      <c r="J212" s="3" t="str">
        <f>IFERROR(MID(VLOOKUP($B212,Seqs!$A:$B,2,0),K212,1),"")</f>
        <v>Q</v>
      </c>
      <c r="K212" s="23">
        <v>65</v>
      </c>
      <c r="L212" s="3" t="str">
        <f>IFERROR(MID(VLOOKUP($B212,Seqs!$A:$B,2,0),M212,1),"")</f>
        <v>C</v>
      </c>
      <c r="M212" s="3">
        <v>66</v>
      </c>
      <c r="N212" s="3" t="str">
        <f>IFERROR(MID(VLOOKUP($B212,Seqs!$A:$B,2,0),O212,1),"")</f>
        <v>D</v>
      </c>
      <c r="O212" s="3">
        <v>95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P</v>
      </c>
      <c r="U212" s="3">
        <v>103</v>
      </c>
      <c r="V212" s="3" t="str">
        <f>IFERROR(MID(VLOOKUP($B212,Seqs!$A:$B,2,0),W212,1),"")</f>
        <v>Y</v>
      </c>
      <c r="W212" s="3">
        <v>135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P</v>
      </c>
      <c r="AC212" s="9">
        <v>140</v>
      </c>
      <c r="AD212" s="3" t="str">
        <f>IFERROR(MID(VLOOKUP($B212,Seqs!$A:$B,2,0),AE212,1),"")</f>
        <v>V</v>
      </c>
      <c r="AE212" s="3">
        <v>165</v>
      </c>
      <c r="AF212" s="3" t="str">
        <f>IFERROR(MID(VLOOKUP($B212,Seqs!$A:$B,2,0),AG212,1),"")</f>
        <v>C</v>
      </c>
      <c r="AG212" s="3">
        <v>173</v>
      </c>
      <c r="AH212" s="3" t="str">
        <f>IFERROR(MID(VLOOKUP($B212,Seqs!$A:$B,2,0),AI212,1),"")</f>
        <v>T</v>
      </c>
      <c r="AI212" s="3">
        <v>175</v>
      </c>
      <c r="AJ212" s="3" t="str">
        <f>IFERROR(MID(VLOOKUP($B212,Seqs!$A:$B,2,0),AK212,1),"")</f>
        <v>V</v>
      </c>
      <c r="AK212" s="3">
        <v>182</v>
      </c>
      <c r="AL212" s="3" t="str">
        <f>IFERROR(MID(VLOOKUP($B212,Seqs!$A:$B,2,0),AM212,1),"")</f>
        <v>S</v>
      </c>
      <c r="AM212" s="3">
        <v>218</v>
      </c>
      <c r="AN212" s="3" t="str">
        <f>IFERROR(MID(VLOOKUP($B212,Seqs!$A:$B,2,0),AO212,1),"")</f>
        <v>H</v>
      </c>
      <c r="AO212" s="3">
        <v>222</v>
      </c>
      <c r="AP212" s="3" t="str">
        <f>IFERROR(MID(VLOOKUP($B212,Seqs!$A:$B,2,0),AQ212,1),"")</f>
        <v>K</v>
      </c>
      <c r="AQ212" s="3">
        <v>257</v>
      </c>
      <c r="AR212" s="3" t="str">
        <f>IFERROR(MID(VLOOKUP($B212,Seqs!$A:$B,2,0),AS212,1),"")</f>
        <v>S</v>
      </c>
      <c r="AS212" s="3">
        <v>262</v>
      </c>
      <c r="AT212" s="3" t="str">
        <f>IFERROR(MID(VLOOKUP($B212,Seqs!$A:$B,2,0),AU212,1),"")</f>
        <v>V</v>
      </c>
      <c r="AU212" s="3">
        <v>294</v>
      </c>
      <c r="AV212" s="3" t="str">
        <f>IFERROR(MID(VLOOKUP($B212,Seqs!$A:$B,2,0),AW212,1),"")</f>
        <v>G</v>
      </c>
      <c r="AW212" s="3">
        <v>295</v>
      </c>
      <c r="AX212" s="3" t="str">
        <f>IFERROR(MID(VLOOKUP($B212,Seqs!$A:$B,2,0),AY212,1),"")</f>
        <v>R</v>
      </c>
      <c r="AY212" s="3">
        <v>310</v>
      </c>
      <c r="AZ212" s="79" t="str">
        <f>VLOOKUP(B212,Classification!A:D,2,0)</f>
        <v>A</v>
      </c>
      <c r="BA212" s="96" t="str">
        <f>VLOOKUP(B212,Classification!A:D,4,0)</f>
        <v>Chemokine</v>
      </c>
      <c r="BB212" s="27" t="b">
        <f t="shared" si="1396"/>
        <v>1</v>
      </c>
      <c r="BC212" s="23">
        <f t="shared" si="1369"/>
        <v>256</v>
      </c>
      <c r="BD212" s="57" t="s">
        <v>1379</v>
      </c>
      <c r="BE212" s="3" t="s">
        <v>23</v>
      </c>
      <c r="BF212" s="121" t="s">
        <v>23</v>
      </c>
      <c r="BG212" s="50" t="s">
        <v>1379</v>
      </c>
      <c r="BH212" s="50" t="s">
        <v>1384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370"/>
        <v>26</v>
      </c>
      <c r="BW212" s="73">
        <f t="shared" si="1371"/>
        <v>62</v>
      </c>
      <c r="BX212" s="74">
        <f t="shared" si="1372"/>
        <v>66</v>
      </c>
      <c r="BY212" s="73" t="str">
        <f t="shared" si="1373"/>
        <v>-</v>
      </c>
      <c r="BZ212" s="74">
        <f t="shared" si="1374"/>
        <v>103</v>
      </c>
      <c r="CA212" s="73" t="str">
        <f t="shared" si="1375"/>
        <v>-</v>
      </c>
      <c r="CB212" s="74">
        <f t="shared" si="1376"/>
        <v>140</v>
      </c>
      <c r="CC212" s="73">
        <f t="shared" si="1377"/>
        <v>173</v>
      </c>
      <c r="CD212" s="74">
        <f t="shared" si="1378"/>
        <v>182</v>
      </c>
      <c r="CE212" s="73">
        <f t="shared" si="1379"/>
        <v>222</v>
      </c>
      <c r="CF212" s="74">
        <f t="shared" si="1380"/>
        <v>262</v>
      </c>
      <c r="CG212" s="73">
        <f t="shared" si="1381"/>
        <v>295</v>
      </c>
      <c r="CH212" s="72">
        <f t="shared" si="1382"/>
        <v>61</v>
      </c>
      <c r="CI212" s="73">
        <f t="shared" si="1383"/>
        <v>65</v>
      </c>
      <c r="CJ212" s="74">
        <f t="shared" si="1384"/>
        <v>95</v>
      </c>
      <c r="CK212" s="74" t="str">
        <f t="shared" si="1385"/>
        <v>-</v>
      </c>
      <c r="CL212" s="74">
        <f t="shared" si="1386"/>
        <v>135</v>
      </c>
      <c r="CM212" s="74" t="str">
        <f t="shared" si="1387"/>
        <v>-</v>
      </c>
      <c r="CN212" s="74">
        <f t="shared" si="1388"/>
        <v>165</v>
      </c>
      <c r="CO212" s="74">
        <f t="shared" si="1389"/>
        <v>175</v>
      </c>
      <c r="CP212" s="74">
        <f t="shared" si="1390"/>
        <v>218</v>
      </c>
      <c r="CQ212" s="74">
        <f t="shared" si="1391"/>
        <v>257</v>
      </c>
      <c r="CR212" s="74">
        <f t="shared" si="1392"/>
        <v>294</v>
      </c>
      <c r="CS212" s="74">
        <f t="shared" si="1393"/>
        <v>310</v>
      </c>
      <c r="CT212" s="23">
        <f t="shared" si="1394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395"/>
        <v>us28_hcmva_4XT1</v>
      </c>
      <c r="B213" s="3" t="s">
        <v>924</v>
      </c>
      <c r="C213" s="3" t="s">
        <v>1124</v>
      </c>
      <c r="D213" s="3" t="str">
        <f>IFERROR(MID(VLOOKUP($B213,Seqs!$A:$B,2,0),E213,1),"")</f>
        <v>T</v>
      </c>
      <c r="E213" s="3">
        <v>26</v>
      </c>
      <c r="F213" s="3" t="str">
        <f>IFERROR(MID(VLOOKUP($B213,Seqs!$A:$B,2,0),G213,1),"")</f>
        <v>R</v>
      </c>
      <c r="G213" s="3">
        <v>61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C</v>
      </c>
      <c r="M213" s="3">
        <v>66</v>
      </c>
      <c r="N213" s="3" t="str">
        <f>IFERROR(MID(VLOOKUP($B213,Seqs!$A:$B,2,0),O213,1),"")</f>
        <v>D</v>
      </c>
      <c r="O213" s="3">
        <v>95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P</v>
      </c>
      <c r="U213" s="3">
        <v>103</v>
      </c>
      <c r="V213" s="3" t="str">
        <f>IFERROR(MID(VLOOKUP($B213,Seqs!$A:$B,2,0),W213,1),"")</f>
        <v>Y</v>
      </c>
      <c r="W213" s="3">
        <v>135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P</v>
      </c>
      <c r="AC213" s="9">
        <v>140</v>
      </c>
      <c r="AD213" s="3" t="str">
        <f>IFERROR(MID(VLOOKUP($B213,Seqs!$A:$B,2,0),AE213,1),"")</f>
        <v>V</v>
      </c>
      <c r="AE213" s="3">
        <v>165</v>
      </c>
      <c r="AF213" s="3" t="str">
        <f>IFERROR(MID(VLOOKUP($B213,Seqs!$A:$B,2,0),AG213,1),"")</f>
        <v>C</v>
      </c>
      <c r="AG213" s="3">
        <v>173</v>
      </c>
      <c r="AH213" s="3" t="str">
        <f>IFERROR(MID(VLOOKUP($B213,Seqs!$A:$B,2,0),AI213,1),"")</f>
        <v>T</v>
      </c>
      <c r="AI213" s="3">
        <v>175</v>
      </c>
      <c r="AJ213" s="3" t="str">
        <f>IFERROR(MID(VLOOKUP($B213,Seqs!$A:$B,2,0),AK213,1),"")</f>
        <v>V</v>
      </c>
      <c r="AK213" s="3">
        <v>182</v>
      </c>
      <c r="AL213" s="3" t="str">
        <f>IFERROR(MID(VLOOKUP($B213,Seqs!$A:$B,2,0),AM213,1),"")</f>
        <v>S</v>
      </c>
      <c r="AM213" s="3">
        <v>218</v>
      </c>
      <c r="AN213" s="3" t="str">
        <f>IFERROR(MID(VLOOKUP($B213,Seqs!$A:$B,2,0),AO213,1),"")</f>
        <v>H</v>
      </c>
      <c r="AO213" s="3">
        <v>222</v>
      </c>
      <c r="AP213" s="3" t="str">
        <f>IFERROR(MID(VLOOKUP($B213,Seqs!$A:$B,2,0),AQ213,1),"")</f>
        <v>K</v>
      </c>
      <c r="AQ213" s="3">
        <v>257</v>
      </c>
      <c r="AR213" s="3" t="str">
        <f>IFERROR(MID(VLOOKUP($B213,Seqs!$A:$B,2,0),AS213,1),"")</f>
        <v>C</v>
      </c>
      <c r="AS213" s="3">
        <v>263</v>
      </c>
      <c r="AT213" s="3" t="str">
        <f>IFERROR(MID(VLOOKUP($B213,Seqs!$A:$B,2,0),AU213,1),"")</f>
        <v>V</v>
      </c>
      <c r="AU213" s="3">
        <v>294</v>
      </c>
      <c r="AV213" s="3" t="str">
        <f>IFERROR(MID(VLOOKUP($B213,Seqs!$A:$B,2,0),AW213,1),"")</f>
        <v>G</v>
      </c>
      <c r="AW213" s="3">
        <v>295</v>
      </c>
      <c r="AX213" s="3" t="str">
        <f>IFERROR(MID(VLOOKUP($B213,Seqs!$A:$B,2,0),AY213,1),"")</f>
        <v>R</v>
      </c>
      <c r="AY213" s="3">
        <v>310</v>
      </c>
      <c r="AZ213" s="79" t="str">
        <f>VLOOKUP(B213,Classification!A:D,2,0)</f>
        <v>A</v>
      </c>
      <c r="BA213" s="96" t="str">
        <f>VLOOKUP(B213,Classification!A:D,4,0)</f>
        <v>Chemokine</v>
      </c>
      <c r="BB213" s="27" t="b">
        <f t="shared" si="1396"/>
        <v>1</v>
      </c>
      <c r="BC213" s="23">
        <f t="shared" si="1369"/>
        <v>252</v>
      </c>
      <c r="BD213" s="4" t="s">
        <v>1382</v>
      </c>
      <c r="BE213" s="3" t="s">
        <v>1297</v>
      </c>
      <c r="BF213" s="121">
        <v>2.89</v>
      </c>
      <c r="BG213" s="50" t="s">
        <v>1384</v>
      </c>
      <c r="BH213" s="50" t="s">
        <v>1384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370"/>
        <v>26</v>
      </c>
      <c r="BW213" s="73" t="str">
        <f t="shared" si="1371"/>
        <v>-</v>
      </c>
      <c r="BX213" s="74">
        <f t="shared" si="1372"/>
        <v>66</v>
      </c>
      <c r="BY213" s="73" t="str">
        <f t="shared" si="1373"/>
        <v>-</v>
      </c>
      <c r="BZ213" s="74">
        <f t="shared" si="1374"/>
        <v>103</v>
      </c>
      <c r="CA213" s="73" t="str">
        <f t="shared" si="1375"/>
        <v>-</v>
      </c>
      <c r="CB213" s="74">
        <f t="shared" si="1376"/>
        <v>140</v>
      </c>
      <c r="CC213" s="73">
        <f t="shared" si="1377"/>
        <v>173</v>
      </c>
      <c r="CD213" s="74">
        <f t="shared" si="1378"/>
        <v>182</v>
      </c>
      <c r="CE213" s="73">
        <f t="shared" si="1379"/>
        <v>222</v>
      </c>
      <c r="CF213" s="74">
        <f t="shared" si="1380"/>
        <v>263</v>
      </c>
      <c r="CG213" s="73">
        <f t="shared" si="1381"/>
        <v>295</v>
      </c>
      <c r="CH213" s="72">
        <f t="shared" si="1382"/>
        <v>61</v>
      </c>
      <c r="CI213" s="73" t="str">
        <f t="shared" si="1383"/>
        <v>-</v>
      </c>
      <c r="CJ213" s="74">
        <f t="shared" si="1384"/>
        <v>95</v>
      </c>
      <c r="CK213" s="74" t="str">
        <f t="shared" si="1385"/>
        <v>-</v>
      </c>
      <c r="CL213" s="74">
        <f t="shared" si="1386"/>
        <v>135</v>
      </c>
      <c r="CM213" s="74" t="str">
        <f t="shared" si="1387"/>
        <v>-</v>
      </c>
      <c r="CN213" s="74">
        <f t="shared" si="1388"/>
        <v>165</v>
      </c>
      <c r="CO213" s="74">
        <f t="shared" si="1389"/>
        <v>175</v>
      </c>
      <c r="CP213" s="74">
        <f t="shared" si="1390"/>
        <v>218</v>
      </c>
      <c r="CQ213" s="74">
        <f t="shared" si="1391"/>
        <v>257</v>
      </c>
      <c r="CR213" s="74">
        <f t="shared" si="1392"/>
        <v>294</v>
      </c>
      <c r="CS213" s="74">
        <f t="shared" si="1393"/>
        <v>310</v>
      </c>
      <c r="CT213" s="23" t="e">
        <f t="shared" si="1394"/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395"/>
        <v>us28_hcmva_4XT3</v>
      </c>
      <c r="B214" s="2" t="s">
        <v>924</v>
      </c>
      <c r="C214" s="3" t="s">
        <v>1378</v>
      </c>
      <c r="D214" s="3" t="str">
        <f>IFERROR(MID(VLOOKUP($B214,Seqs!$A:$B,2,0),E214,1),"")</f>
        <v>T</v>
      </c>
      <c r="E214" s="3">
        <v>26</v>
      </c>
      <c r="F214" s="3" t="str">
        <f>IFERROR(MID(VLOOKUP($B214,Seqs!$A:$B,2,0),G214,1),"")</f>
        <v>R</v>
      </c>
      <c r="G214" s="107">
        <v>62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C</v>
      </c>
      <c r="M214" s="3">
        <v>66</v>
      </c>
      <c r="N214" s="3" t="str">
        <f>IFERROR(MID(VLOOKUP($B214,Seqs!$A:$B,2,0),O214,1),"")</f>
        <v>D</v>
      </c>
      <c r="O214" s="3">
        <v>95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P</v>
      </c>
      <c r="U214" s="3">
        <v>103</v>
      </c>
      <c r="V214" s="3" t="str">
        <f>IFERROR(MID(VLOOKUP($B214,Seqs!$A:$B,2,0),W214,1),"")</f>
        <v>Y</v>
      </c>
      <c r="W214" s="3">
        <v>135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P</v>
      </c>
      <c r="AC214" s="9">
        <v>140</v>
      </c>
      <c r="AD214" s="3" t="str">
        <f>IFERROR(MID(VLOOKUP($B214,Seqs!$A:$B,2,0),AE214,1),"")</f>
        <v>V</v>
      </c>
      <c r="AE214" s="3">
        <v>165</v>
      </c>
      <c r="AF214" s="3" t="str">
        <f>IFERROR(MID(VLOOKUP($B214,Seqs!$A:$B,2,0),AG214,1),"")</f>
        <v>C</v>
      </c>
      <c r="AG214" s="3">
        <v>173</v>
      </c>
      <c r="AH214" s="3" t="str">
        <f>IFERROR(MID(VLOOKUP($B214,Seqs!$A:$B,2,0),AI214,1),"")</f>
        <v>T</v>
      </c>
      <c r="AI214" s="3">
        <v>175</v>
      </c>
      <c r="AJ214" s="3" t="str">
        <f>IFERROR(MID(VLOOKUP($B214,Seqs!$A:$B,2,0),AK214,1),"")</f>
        <v>V</v>
      </c>
      <c r="AK214" s="3">
        <v>182</v>
      </c>
      <c r="AL214" s="3" t="str">
        <f>IFERROR(MID(VLOOKUP($B214,Seqs!$A:$B,2,0),AM214,1),"")</f>
        <v>S</v>
      </c>
      <c r="AM214" s="3">
        <v>218</v>
      </c>
      <c r="AN214" s="3" t="str">
        <f>IFERROR(MID(VLOOKUP($B214,Seqs!$A:$B,2,0),AO214,1),"")</f>
        <v>H</v>
      </c>
      <c r="AO214" s="3">
        <v>222</v>
      </c>
      <c r="AP214" s="3" t="str">
        <f>IFERROR(MID(VLOOKUP($B214,Seqs!$A:$B,2,0),AQ214,1),"")</f>
        <v>K</v>
      </c>
      <c r="AQ214" s="3">
        <v>257</v>
      </c>
      <c r="AR214" s="3" t="str">
        <f>IFERROR(MID(VLOOKUP($B214,Seqs!$A:$B,2,0),AS214,1),"")</f>
        <v>C</v>
      </c>
      <c r="AS214" s="3">
        <v>263</v>
      </c>
      <c r="AT214" s="3" t="str">
        <f>IFERROR(MID(VLOOKUP($B214,Seqs!$A:$B,2,0),AU214,1),"")</f>
        <v>V</v>
      </c>
      <c r="AU214" s="3">
        <v>294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9" t="str">
        <f>VLOOKUP(B214,Classification!A:D,2,0)</f>
        <v>A</v>
      </c>
      <c r="BA214" s="96" t="str">
        <f>VLOOKUP(B214,Classification!A:D,4,0)</f>
        <v>Chemokine</v>
      </c>
      <c r="BB214" s="27" t="b">
        <f t="shared" ref="BB214" si="1761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762">_xlfn.AGGREGATE(9,6,CH214:CS214)-_xlfn.AGGREGATE(9,6,BV214:CG214)+12</f>
        <v>238</v>
      </c>
      <c r="BD214" s="4" t="s">
        <v>23</v>
      </c>
      <c r="BE214" s="3" t="s">
        <v>1297</v>
      </c>
      <c r="BF214" s="121">
        <v>3.8</v>
      </c>
      <c r="BG214" s="50" t="s">
        <v>1384</v>
      </c>
      <c r="BH214" s="50" t="s">
        <v>1384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ref="BV214" si="1763">E214</f>
        <v>26</v>
      </c>
      <c r="BW214" s="73" t="str">
        <f t="shared" ref="BW214" si="1764">I214</f>
        <v>-</v>
      </c>
      <c r="BX214" s="74">
        <f t="shared" ref="BX214" si="1765">M214</f>
        <v>66</v>
      </c>
      <c r="BY214" s="73" t="str">
        <f t="shared" ref="BY214" si="1766">Q214</f>
        <v>-</v>
      </c>
      <c r="BZ214" s="74">
        <f t="shared" ref="BZ214" si="1767">U214</f>
        <v>103</v>
      </c>
      <c r="CA214" s="73" t="str">
        <f t="shared" ref="CA214" si="1768">Y214</f>
        <v>-</v>
      </c>
      <c r="CB214" s="74">
        <f t="shared" ref="CB214" si="1769">AC214</f>
        <v>140</v>
      </c>
      <c r="CC214" s="73">
        <f t="shared" ref="CC214" si="1770">AG214</f>
        <v>173</v>
      </c>
      <c r="CD214" s="74">
        <f t="shared" ref="CD214" si="1771">AK214</f>
        <v>182</v>
      </c>
      <c r="CE214" s="73">
        <f t="shared" ref="CE214" si="1772">AO214</f>
        <v>222</v>
      </c>
      <c r="CF214" s="74">
        <f t="shared" ref="CF214" si="1773">AS214</f>
        <v>263</v>
      </c>
      <c r="CG214" s="73" t="str">
        <f t="shared" ref="CG214" si="1774">AW214</f>
        <v>-</v>
      </c>
      <c r="CH214" s="72">
        <f t="shared" ref="CH214" si="1775">G214</f>
        <v>62</v>
      </c>
      <c r="CI214" s="73" t="str">
        <f t="shared" ref="CI214" si="1776">K214</f>
        <v>-</v>
      </c>
      <c r="CJ214" s="74">
        <f t="shared" ref="CJ214" si="1777">O214</f>
        <v>95</v>
      </c>
      <c r="CK214" s="74" t="str">
        <f t="shared" ref="CK214" si="1778">S214</f>
        <v>-</v>
      </c>
      <c r="CL214" s="74">
        <f t="shared" ref="CL214" si="1779">W214</f>
        <v>135</v>
      </c>
      <c r="CM214" s="74" t="str">
        <f t="shared" ref="CM214" si="1780">AA214</f>
        <v>-</v>
      </c>
      <c r="CN214" s="74">
        <f t="shared" ref="CN214" si="1781">AE214</f>
        <v>165</v>
      </c>
      <c r="CO214" s="74">
        <f t="shared" ref="CO214" si="1782">AI214</f>
        <v>175</v>
      </c>
      <c r="CP214" s="74">
        <f t="shared" ref="CP214" si="1783">AM214</f>
        <v>218</v>
      </c>
      <c r="CQ214" s="74">
        <f t="shared" ref="CQ214" si="1784">AQ214</f>
        <v>257</v>
      </c>
      <c r="CR214" s="74">
        <f t="shared" ref="CR214" si="1785">AU214</f>
        <v>294</v>
      </c>
      <c r="CS214" s="74" t="str">
        <f t="shared" ref="CS214" si="1786">AY214</f>
        <v>-</v>
      </c>
      <c r="CT214" s="23" t="e">
        <f t="shared" ref="CT214" si="1787">M214-K214</f>
        <v>#VALUE!</v>
      </c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6"/>
      <c r="ACQ214" s="6"/>
      <c r="ACR214" s="6"/>
      <c r="ACS214" s="6"/>
      <c r="ACT214" s="6"/>
      <c r="ACU214" s="6"/>
      <c r="ACV214" s="6"/>
      <c r="ACW214" s="6"/>
      <c r="ACX214" s="6"/>
      <c r="ACY214" s="6"/>
      <c r="ACZ214" s="6"/>
      <c r="ADA214" s="6"/>
      <c r="ADB214" s="6"/>
      <c r="ADC214" s="6"/>
      <c r="ADD214" s="6"/>
      <c r="ADE214" s="6"/>
      <c r="ADF214" s="6"/>
      <c r="ADG214" s="6"/>
      <c r="ADH214" s="6"/>
      <c r="ADI214" s="6"/>
      <c r="ADJ214" s="6"/>
      <c r="ADK214" s="6"/>
      <c r="ADL214" s="6"/>
      <c r="ADM214" s="6"/>
      <c r="ADN214" s="6"/>
      <c r="ADO214" s="6"/>
      <c r="ADP214" s="6"/>
      <c r="ADQ214" s="6"/>
      <c r="ADR214" s="6"/>
      <c r="ADS214" s="6"/>
      <c r="ADT214" s="6"/>
      <c r="ADU214" s="6"/>
      <c r="ADV214" s="6"/>
      <c r="ADW214" s="6"/>
      <c r="ADX214" s="6"/>
      <c r="ADY214" s="6"/>
      <c r="ADZ214" s="6"/>
      <c r="AEA214" s="6"/>
      <c r="AEB214" s="6"/>
      <c r="AEC214" s="6"/>
      <c r="AED214" s="6"/>
      <c r="AEE214" s="6"/>
      <c r="AEF214" s="6"/>
      <c r="AEG214" s="6"/>
      <c r="AEH214" s="6"/>
      <c r="AEI214" s="6"/>
      <c r="AEJ214" s="6"/>
      <c r="AEK214" s="6"/>
      <c r="AEL214" s="6"/>
      <c r="AEM214" s="6"/>
      <c r="AEN214" s="6"/>
      <c r="AEO214" s="6"/>
      <c r="AEP214" s="6"/>
      <c r="AEQ214" s="6"/>
      <c r="AER214" s="6"/>
      <c r="AES214" s="6"/>
      <c r="AET214" s="6"/>
      <c r="AEU214" s="6"/>
      <c r="AEV214" s="6"/>
      <c r="AEW214" s="6"/>
      <c r="AEX214" s="6"/>
      <c r="AEY214" s="6"/>
      <c r="AEZ214" s="6"/>
      <c r="AFA214" s="6"/>
      <c r="AFB214" s="6"/>
      <c r="AFC214" s="6"/>
      <c r="AFD214" s="6"/>
      <c r="AFE214" s="6"/>
      <c r="AFF214" s="6"/>
      <c r="AFG214" s="6"/>
      <c r="AFH214" s="6"/>
      <c r="AFI214" s="6"/>
      <c r="AFJ214" s="6"/>
      <c r="AFK214" s="6"/>
      <c r="AFL214" s="6"/>
      <c r="AFM214" s="6"/>
      <c r="AFN214" s="6"/>
      <c r="AFO214" s="6"/>
      <c r="AFP214" s="6"/>
      <c r="AFQ214" s="6"/>
      <c r="AFR214" s="6"/>
      <c r="AFS214" s="6"/>
      <c r="AFT214" s="6"/>
      <c r="AFU214" s="6"/>
      <c r="AFV214" s="6"/>
      <c r="AFW214" s="6"/>
      <c r="AFX214" s="6"/>
      <c r="AFY214" s="6"/>
      <c r="AFZ214" s="6"/>
      <c r="AGA214" s="6"/>
      <c r="AGB214" s="6"/>
      <c r="AGC214" s="6"/>
      <c r="AGD214" s="6"/>
      <c r="AGE214" s="6"/>
      <c r="AGF214" s="6"/>
      <c r="AGG214" s="6"/>
      <c r="AGH214" s="6"/>
      <c r="AGI214" s="6"/>
      <c r="AGJ214" s="6"/>
      <c r="AGK214" s="6"/>
      <c r="AGL214" s="6"/>
      <c r="AGM214" s="6"/>
      <c r="AGN214" s="6"/>
      <c r="AGO214" s="6"/>
      <c r="AGP214" s="6"/>
      <c r="AGQ214" s="6"/>
      <c r="AGR214" s="6"/>
      <c r="AGS214" s="6"/>
      <c r="AGT214" s="6"/>
      <c r="AGU214" s="6"/>
      <c r="AGV214" s="6"/>
      <c r="AGW214" s="6"/>
      <c r="AGX214" s="6"/>
      <c r="AGY214" s="6"/>
      <c r="AGZ214" s="6"/>
      <c r="AHA214" s="6"/>
      <c r="AHB214" s="6"/>
      <c r="AHC214" s="6"/>
      <c r="AHD214" s="6"/>
      <c r="AHE214" s="6"/>
      <c r="AHF214" s="6"/>
      <c r="AHG214" s="6"/>
      <c r="AHH214" s="6"/>
      <c r="AHI214" s="6"/>
      <c r="AHJ214" s="6"/>
      <c r="AHK214" s="6"/>
      <c r="AHL214" s="6"/>
      <c r="AHM214" s="6"/>
      <c r="AHN214" s="6"/>
      <c r="AHO214" s="6"/>
      <c r="AHP214" s="6"/>
      <c r="AHQ214" s="6"/>
      <c r="AHR214" s="6"/>
      <c r="AHS214" s="6"/>
      <c r="AHT214" s="6"/>
      <c r="AHU214" s="6"/>
      <c r="AHV214" s="6"/>
      <c r="AHW214" s="6"/>
      <c r="AHX214" s="6"/>
      <c r="AHY214" s="6"/>
      <c r="AHZ214" s="6"/>
      <c r="AIA214" s="6"/>
      <c r="AIB214" s="6"/>
      <c r="AIC214" s="6"/>
      <c r="AID214" s="6"/>
      <c r="AIE214" s="6"/>
      <c r="AIF214" s="6"/>
      <c r="AIG214" s="6"/>
      <c r="AIH214" s="6"/>
      <c r="AII214" s="6"/>
      <c r="AIJ214" s="6"/>
      <c r="AIK214" s="6"/>
      <c r="AIL214" s="6"/>
      <c r="AIM214" s="6"/>
      <c r="AIN214" s="6"/>
      <c r="AIO214" s="6"/>
      <c r="AIP214" s="6"/>
      <c r="AIQ214" s="6"/>
      <c r="AIR214" s="6"/>
      <c r="AIS214" s="6"/>
      <c r="AIT214" s="6"/>
      <c r="AIU214" s="6"/>
      <c r="AIV214" s="6"/>
      <c r="AIW214" s="6"/>
      <c r="AIX214" s="6"/>
      <c r="AIY214" s="6"/>
      <c r="AIZ214" s="6"/>
      <c r="AJA214" s="6"/>
      <c r="AJB214" s="6"/>
      <c r="AJC214" s="6"/>
      <c r="AJD214" s="6"/>
      <c r="AJE214" s="6"/>
      <c r="AJF214" s="6"/>
      <c r="AJG214" s="6"/>
      <c r="AJH214" s="6"/>
      <c r="AJI214" s="6"/>
      <c r="AJJ214" s="6"/>
      <c r="AJK214" s="6"/>
      <c r="AJL214" s="6"/>
      <c r="AJM214" s="6"/>
      <c r="AJN214" s="6"/>
      <c r="AJO214" s="6"/>
      <c r="AJP214" s="6"/>
      <c r="AJQ214" s="6"/>
      <c r="AJR214" s="6"/>
      <c r="AJS214" s="6"/>
      <c r="AJT214" s="6"/>
      <c r="AJU214" s="6"/>
      <c r="AJV214" s="6"/>
      <c r="AJW214" s="6"/>
      <c r="AJX214" s="6"/>
      <c r="AJY214" s="6"/>
      <c r="AJZ214" s="6"/>
      <c r="AKA214" s="6"/>
      <c r="AKB214" s="6"/>
      <c r="AKC214" s="6"/>
      <c r="AKD214" s="6"/>
      <c r="AKE214" s="6"/>
      <c r="AKF214" s="6"/>
      <c r="AKG214" s="6"/>
      <c r="AKH214" s="6"/>
      <c r="AKI214" s="6"/>
      <c r="AKJ214" s="6"/>
      <c r="AKK214" s="6"/>
      <c r="AKL214" s="6"/>
      <c r="AKM214" s="6"/>
      <c r="AKN214" s="6"/>
      <c r="AKO214" s="6"/>
      <c r="AKP214" s="6"/>
      <c r="AKQ214" s="6"/>
      <c r="AKR214" s="6"/>
      <c r="AKS214" s="6"/>
      <c r="AKT214" s="6"/>
      <c r="AKU214" s="6"/>
      <c r="AKV214" s="6"/>
      <c r="AKW214" s="6"/>
      <c r="AKX214" s="6"/>
      <c r="AKY214" s="6"/>
      <c r="AKZ214" s="6"/>
      <c r="ALA214" s="6"/>
      <c r="ALB214" s="6"/>
      <c r="ALC214" s="6"/>
      <c r="ALD214" s="6"/>
      <c r="ALE214" s="6"/>
      <c r="ALF214" s="6"/>
      <c r="ALG214" s="6"/>
      <c r="ALH214" s="6"/>
      <c r="ALI214" s="6"/>
      <c r="ALJ214" s="6"/>
      <c r="ALK214" s="6"/>
      <c r="ALL214" s="6"/>
      <c r="ALM214" s="6"/>
      <c r="ALN214" s="6"/>
      <c r="ALO214" s="6"/>
      <c r="ALP214" s="6"/>
      <c r="ALQ214" s="6"/>
      <c r="ALR214" s="6"/>
      <c r="ALS214" s="6"/>
      <c r="ALT214" s="6"/>
      <c r="ALU214" s="6"/>
      <c r="ALV214" s="6"/>
      <c r="ALW214" s="6"/>
      <c r="ALX214" s="6"/>
      <c r="ALY214" s="6"/>
      <c r="ALZ214" s="6"/>
      <c r="AMA214" s="6"/>
      <c r="AMB214" s="6"/>
      <c r="AMC214" s="6"/>
      <c r="AMD214" s="6"/>
      <c r="AME214" s="6"/>
      <c r="AMF214" s="6"/>
      <c r="AMG214" s="6"/>
      <c r="AMH214" s="6"/>
      <c r="AMI214" s="6"/>
      <c r="AMJ214" s="6"/>
      <c r="AMK214" s="6"/>
      <c r="AML214" s="6"/>
      <c r="AMM214" s="6"/>
      <c r="AMN214" s="6"/>
      <c r="AMO214" s="6"/>
      <c r="AMP214" s="6"/>
    </row>
    <row r="215" spans="1:1030" x14ac:dyDescent="0.2">
      <c r="A215" s="3" t="str">
        <f t="shared" ref="A215:A216" si="1788">CONCATENATE(B215,"_",C215)</f>
        <v>calcr_human__wt</v>
      </c>
      <c r="B215" s="2" t="s">
        <v>401</v>
      </c>
      <c r="C215" s="3" t="s">
        <v>100</v>
      </c>
      <c r="D215" s="3" t="str">
        <f>IFERROR(MID(VLOOKUP($B215,Seqs!$A:$B,2,0),E215,1),"")</f>
        <v>T</v>
      </c>
      <c r="E215" s="3">
        <v>132</v>
      </c>
      <c r="F215" s="3" t="str">
        <f>IFERROR(MID(VLOOKUP($B215,Seqs!$A:$B,2,0),G215,1),"")</f>
        <v>F</v>
      </c>
      <c r="G215" s="3">
        <v>173</v>
      </c>
      <c r="H215" s="3" t="str">
        <f>IFERROR(MID(VLOOKUP($B215,Seqs!$A:$B,2,0),I215,1),"")</f>
        <v>R</v>
      </c>
      <c r="I215" s="23">
        <v>174</v>
      </c>
      <c r="J215" s="3" t="str">
        <f>IFERROR(MID(VLOOKUP($B215,Seqs!$A:$B,2,0),K215,1),"")</f>
        <v>G</v>
      </c>
      <c r="K215" s="23">
        <v>177</v>
      </c>
      <c r="L215" s="3" t="str">
        <f>IFERROR(MID(VLOOKUP($B215,Seqs!$A:$B,2,0),M215,1),"")</f>
        <v>C</v>
      </c>
      <c r="M215" s="3">
        <v>178</v>
      </c>
      <c r="N215" s="3" t="str">
        <f>IFERROR(MID(VLOOKUP($B215,Seqs!$A:$B,2,0),O215,1),"")</f>
        <v>V</v>
      </c>
      <c r="O215" s="3">
        <v>205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D</v>
      </c>
      <c r="U215" s="3">
        <v>215</v>
      </c>
      <c r="V215" s="3" t="str">
        <f>IFERROR(MID(VLOOKUP($B215,Seqs!$A:$B,2,0),W215,1),"")</f>
        <v>V</v>
      </c>
      <c r="W215" s="3">
        <v>250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R</v>
      </c>
      <c r="AC215" s="3">
        <v>258</v>
      </c>
      <c r="AD215" s="3" t="str">
        <f>IFERROR(MID(VLOOKUP($B215,Seqs!$A:$B,2,0),AE215,1),"")</f>
        <v>F</v>
      </c>
      <c r="AE215" s="3">
        <v>285</v>
      </c>
      <c r="AF215" s="3" t="str">
        <f>IFERROR(MID(VLOOKUP($B215,Seqs!$A:$B,2,0),AG215,1),"")</f>
        <v>C</v>
      </c>
      <c r="AG215" s="3">
        <v>289</v>
      </c>
      <c r="AH215" s="3" t="str">
        <f>IFERROR(MID(VLOOKUP($B215,Seqs!$A:$B,2,0),AI215,1),"")</f>
        <v>L</v>
      </c>
      <c r="AI215" s="3">
        <v>291</v>
      </c>
      <c r="AJ215" s="3" t="str">
        <f>IFERROR(MID(VLOOKUP($B215,Seqs!$A:$B,2,0),AK215,1),"")</f>
        <v>L</v>
      </c>
      <c r="AK215" s="3">
        <v>298</v>
      </c>
      <c r="AL215" s="3" t="str">
        <f>IFERROR(MID(VLOOKUP($B215,Seqs!$A:$B,2,0),AM215,1),"")</f>
        <v>R</v>
      </c>
      <c r="AM215" s="3">
        <v>328</v>
      </c>
      <c r="AN215" s="3" t="str">
        <f>IFERROR(MID(VLOOKUP($B215,Seqs!$A:$B,2,0),AO215,1),"")</f>
        <v>Y</v>
      </c>
      <c r="AO215" s="3">
        <v>338</v>
      </c>
      <c r="AP215" s="3" t="str">
        <f>IFERROR(MID(VLOOKUP($B215,Seqs!$A:$B,2,0),AQ215,1),"")</f>
        <v>W</v>
      </c>
      <c r="AQ215" s="3">
        <v>361</v>
      </c>
      <c r="AR215" s="3" t="str">
        <f>IFERROR(MID(VLOOKUP($B215,Seqs!$A:$B,2,0),AS215,1),"")</f>
        <v>K</v>
      </c>
      <c r="AS215" s="3">
        <v>366</v>
      </c>
      <c r="AT215" s="3" t="str">
        <f>IFERROR(MID(VLOOKUP($B215,Seqs!$A:$B,2,0),AU215,1),"")</f>
        <v>C</v>
      </c>
      <c r="AU215" s="3">
        <v>394</v>
      </c>
      <c r="AV215" s="3" t="str">
        <f>IFERROR(MID(VLOOKUP($B215,Seqs!$A:$B,2,0),AW215,1),"")</f>
        <v>N</v>
      </c>
      <c r="AW215" s="3">
        <v>395</v>
      </c>
      <c r="AX215" s="3" t="str">
        <f>IFERROR(MID(VLOOKUP($B215,Seqs!$A:$B,2,0),AY215,1),"")</f>
        <v>R</v>
      </c>
      <c r="AY215" s="3">
        <v>420</v>
      </c>
      <c r="AZ215" s="79" t="str">
        <f>VLOOKUP(B215,Classification!A:D,2,0)</f>
        <v>B1</v>
      </c>
      <c r="BA215" s="96" t="str">
        <f>VLOOKUP(B215,Classification!A:D,4,0)</f>
        <v>Calcitonin</v>
      </c>
      <c r="BB215" s="27" t="b">
        <f t="shared" ref="BB215:BB216" si="1789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:BC216" si="1790">_xlfn.AGGREGATE(9,6,CH215:CS215)-_xlfn.AGGREGATE(9,6,BV215:CG215)+12</f>
        <v>253</v>
      </c>
      <c r="BD215" s="4" t="s">
        <v>23</v>
      </c>
      <c r="BE215" s="3" t="s">
        <v>23</v>
      </c>
      <c r="BF215" s="121" t="s">
        <v>23</v>
      </c>
      <c r="BG215" s="50" t="s">
        <v>1384</v>
      </c>
      <c r="BH215" s="50" t="s">
        <v>1384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ref="BV215:BV216" si="1791">E215</f>
        <v>132</v>
      </c>
      <c r="BW215" s="73">
        <f t="shared" ref="BW215:BW216" si="1792">I215</f>
        <v>174</v>
      </c>
      <c r="BX215" s="74">
        <f t="shared" ref="BX215:BX216" si="1793">M215</f>
        <v>178</v>
      </c>
      <c r="BY215" s="73" t="str">
        <f t="shared" ref="BY215:BY216" si="1794">Q215</f>
        <v>-</v>
      </c>
      <c r="BZ215" s="74">
        <f t="shared" ref="BZ215:BZ216" si="1795">U215</f>
        <v>215</v>
      </c>
      <c r="CA215" s="73" t="str">
        <f t="shared" ref="CA215:CA216" si="1796">Y215</f>
        <v>-</v>
      </c>
      <c r="CB215" s="74">
        <f t="shared" ref="CB215:CB216" si="1797">AC215</f>
        <v>258</v>
      </c>
      <c r="CC215" s="73">
        <f t="shared" ref="CC215:CC216" si="1798">AG215</f>
        <v>289</v>
      </c>
      <c r="CD215" s="74">
        <f t="shared" ref="CD215:CD216" si="1799">AK215</f>
        <v>298</v>
      </c>
      <c r="CE215" s="73">
        <f t="shared" ref="CE215:CE216" si="1800">AO215</f>
        <v>338</v>
      </c>
      <c r="CF215" s="74">
        <f t="shared" ref="CF215:CF216" si="1801">AS215</f>
        <v>366</v>
      </c>
      <c r="CG215" s="73">
        <f t="shared" ref="CG215:CG216" si="1802">AW215</f>
        <v>395</v>
      </c>
      <c r="CH215" s="72">
        <f t="shared" ref="CH215:CH216" si="1803">G215</f>
        <v>173</v>
      </c>
      <c r="CI215" s="73">
        <f t="shared" ref="CI215:CI216" si="1804">K215</f>
        <v>177</v>
      </c>
      <c r="CJ215" s="74">
        <f t="shared" ref="CJ215:CJ216" si="1805">O215</f>
        <v>205</v>
      </c>
      <c r="CK215" s="74" t="str">
        <f t="shared" ref="CK215:CK216" si="1806">S215</f>
        <v>-</v>
      </c>
      <c r="CL215" s="74">
        <f t="shared" ref="CL215:CL216" si="1807">W215</f>
        <v>250</v>
      </c>
      <c r="CM215" s="74" t="str">
        <f t="shared" ref="CM215:CM216" si="1808">AA215</f>
        <v>-</v>
      </c>
      <c r="CN215" s="74">
        <f t="shared" ref="CN215:CN216" si="1809">AE215</f>
        <v>285</v>
      </c>
      <c r="CO215" s="74">
        <f t="shared" ref="CO215:CO216" si="1810">AI215</f>
        <v>291</v>
      </c>
      <c r="CP215" s="74">
        <f t="shared" ref="CP215:CP216" si="1811">AM215</f>
        <v>328</v>
      </c>
      <c r="CQ215" s="74">
        <f t="shared" ref="CQ215:CQ216" si="1812">AQ215</f>
        <v>361</v>
      </c>
      <c r="CR215" s="74">
        <f t="shared" ref="CR215:CR216" si="1813">AU215</f>
        <v>394</v>
      </c>
      <c r="CS215" s="74">
        <f t="shared" ref="CS215:CS216" si="1814">AY215</f>
        <v>420</v>
      </c>
      <c r="CT215" s="23">
        <f t="shared" ref="CT215:CT216" si="1815">M215-K215</f>
        <v>1</v>
      </c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  <c r="AMK215" s="6"/>
      <c r="AML215" s="6"/>
      <c r="AMM215" s="6"/>
      <c r="AMN215" s="6"/>
      <c r="AMO215" s="6"/>
      <c r="AMP215" s="6"/>
    </row>
    <row r="216" spans="1:1030" x14ac:dyDescent="0.2">
      <c r="A216" s="3" t="str">
        <f t="shared" si="1788"/>
        <v>calcr_human_5UZ7</v>
      </c>
      <c r="B216" s="2" t="s">
        <v>401</v>
      </c>
      <c r="C216" s="3" t="s">
        <v>1409</v>
      </c>
      <c r="D216" s="3" t="str">
        <f>IFERROR(MID(VLOOKUP($B216,Seqs!$A:$B,2,0),E216,1),"")</f>
        <v>A</v>
      </c>
      <c r="E216" s="3">
        <v>136</v>
      </c>
      <c r="F216" s="3" t="str">
        <f>IFERROR(MID(VLOOKUP($B216,Seqs!$A:$B,2,0),G216,1),"")</f>
        <v>F</v>
      </c>
      <c r="G216" s="3">
        <v>173</v>
      </c>
      <c r="H216" s="3" t="str">
        <f>IFERROR(MID(VLOOKUP($B216,Seqs!$A:$B,2,0),I216,1),"")</f>
        <v>R</v>
      </c>
      <c r="I216" s="23">
        <v>174</v>
      </c>
      <c r="J216" s="3" t="str">
        <f>IFERROR(MID(VLOOKUP($B216,Seqs!$A:$B,2,0),K216,1),"")</f>
        <v>G</v>
      </c>
      <c r="K216" s="23">
        <v>177</v>
      </c>
      <c r="L216" s="3" t="str">
        <f>IFERROR(MID(VLOOKUP($B216,Seqs!$A:$B,2,0),M216,1),"")</f>
        <v>C</v>
      </c>
      <c r="M216" s="3">
        <v>178</v>
      </c>
      <c r="N216" s="3" t="str">
        <f>IFERROR(MID(VLOOKUP($B216,Seqs!$A:$B,2,0),O216,1),"")</f>
        <v>V</v>
      </c>
      <c r="O216" s="3">
        <v>205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D</v>
      </c>
      <c r="U216" s="3">
        <v>215</v>
      </c>
      <c r="V216" s="3" t="str">
        <f>IFERROR(MID(VLOOKUP($B216,Seqs!$A:$B,2,0),W216,1),"")</f>
        <v>V</v>
      </c>
      <c r="W216" s="3">
        <v>250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258</v>
      </c>
      <c r="AD216" s="3" t="str">
        <f>IFERROR(MID(VLOOKUP($B216,Seqs!$A:$B,2,0),AE216,1),"")</f>
        <v>F</v>
      </c>
      <c r="AE216" s="3">
        <v>285</v>
      </c>
      <c r="AF216" s="3" t="str">
        <f>IFERROR(MID(VLOOKUP($B216,Seqs!$A:$B,2,0),AG216,1),"")</f>
        <v>C</v>
      </c>
      <c r="AG216" s="3">
        <v>289</v>
      </c>
      <c r="AH216" s="3" t="str">
        <f>IFERROR(MID(VLOOKUP($B216,Seqs!$A:$B,2,0),AI216,1),"")</f>
        <v>L</v>
      </c>
      <c r="AI216" s="3">
        <v>291</v>
      </c>
      <c r="AJ216" s="3" t="str">
        <f>IFERROR(MID(VLOOKUP($B216,Seqs!$A:$B,2,0),AK216,1),"")</f>
        <v>L</v>
      </c>
      <c r="AK216" s="3">
        <v>298</v>
      </c>
      <c r="AL216" s="3" t="str">
        <f>IFERROR(MID(VLOOKUP($B216,Seqs!$A:$B,2,0),AM216,1),"")</f>
        <v>R</v>
      </c>
      <c r="AM216" s="3">
        <v>328</v>
      </c>
      <c r="AN216" s="3" t="str">
        <f>IFERROR(MID(VLOOKUP($B216,Seqs!$A:$B,2,0),AO216,1),"")</f>
        <v>Y</v>
      </c>
      <c r="AO216" s="3">
        <v>338</v>
      </c>
      <c r="AP216" s="3" t="str">
        <f>IFERROR(MID(VLOOKUP($B216,Seqs!$A:$B,2,0),AQ216,1),"")</f>
        <v>P</v>
      </c>
      <c r="AQ216" s="3">
        <v>360</v>
      </c>
      <c r="AR216" s="3" t="str">
        <f>IFERROR(MID(VLOOKUP($B216,Seqs!$A:$B,2,0),AS216,1),"")</f>
        <v>K</v>
      </c>
      <c r="AS216" s="3">
        <v>366</v>
      </c>
      <c r="AT216" s="3" t="str">
        <f>IFERROR(MID(VLOOKUP($B216,Seqs!$A:$B,2,0),AU216,1),"")</f>
        <v>C</v>
      </c>
      <c r="AU216" s="3">
        <v>394</v>
      </c>
      <c r="AV216" s="3" t="str">
        <f>IFERROR(MID(VLOOKUP($B216,Seqs!$A:$B,2,0),AW216,1),"")</f>
        <v>N</v>
      </c>
      <c r="AW216" s="3">
        <v>395</v>
      </c>
      <c r="AX216" s="3" t="str">
        <f>IFERROR(MID(VLOOKUP($B216,Seqs!$A:$B,2,0),AY216,1),"")</f>
        <v>G</v>
      </c>
      <c r="AY216" s="3">
        <v>418</v>
      </c>
      <c r="AZ216" s="79" t="str">
        <f>VLOOKUP(B216,Classification!A:D,2,0)</f>
        <v>B1</v>
      </c>
      <c r="BA216" s="96" t="str">
        <f>VLOOKUP(B216,Classification!A:D,4,0)</f>
        <v>Calcitonin</v>
      </c>
      <c r="BB216" s="27" t="b">
        <f t="shared" si="1789"/>
        <v>1</v>
      </c>
      <c r="BC216" s="23">
        <f t="shared" si="1790"/>
        <v>246</v>
      </c>
      <c r="BD216" s="4" t="s">
        <v>1382</v>
      </c>
      <c r="BE216" s="3" t="s">
        <v>1297</v>
      </c>
      <c r="BF216" s="121">
        <v>4.0999999999999996</v>
      </c>
      <c r="BG216" s="50" t="s">
        <v>1384</v>
      </c>
      <c r="BH216" s="50" t="s">
        <v>1384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si="1791"/>
        <v>136</v>
      </c>
      <c r="BW216" s="73">
        <f t="shared" si="1792"/>
        <v>174</v>
      </c>
      <c r="BX216" s="74">
        <f t="shared" si="1793"/>
        <v>178</v>
      </c>
      <c r="BY216" s="73" t="str">
        <f t="shared" si="1794"/>
        <v>-</v>
      </c>
      <c r="BZ216" s="74">
        <f t="shared" si="1795"/>
        <v>215</v>
      </c>
      <c r="CA216" s="73" t="str">
        <f t="shared" si="1796"/>
        <v>-</v>
      </c>
      <c r="CB216" s="74">
        <f t="shared" si="1797"/>
        <v>258</v>
      </c>
      <c r="CC216" s="73">
        <f t="shared" si="1798"/>
        <v>289</v>
      </c>
      <c r="CD216" s="74">
        <f t="shared" si="1799"/>
        <v>298</v>
      </c>
      <c r="CE216" s="73">
        <f t="shared" si="1800"/>
        <v>338</v>
      </c>
      <c r="CF216" s="74">
        <f t="shared" si="1801"/>
        <v>366</v>
      </c>
      <c r="CG216" s="73">
        <f t="shared" si="1802"/>
        <v>395</v>
      </c>
      <c r="CH216" s="72">
        <f t="shared" si="1803"/>
        <v>173</v>
      </c>
      <c r="CI216" s="73">
        <f t="shared" si="1804"/>
        <v>177</v>
      </c>
      <c r="CJ216" s="74">
        <f t="shared" si="1805"/>
        <v>205</v>
      </c>
      <c r="CK216" s="74" t="str">
        <f t="shared" si="1806"/>
        <v>-</v>
      </c>
      <c r="CL216" s="74">
        <f t="shared" si="1807"/>
        <v>250</v>
      </c>
      <c r="CM216" s="74" t="str">
        <f t="shared" si="1808"/>
        <v>-</v>
      </c>
      <c r="CN216" s="74">
        <f t="shared" si="1809"/>
        <v>285</v>
      </c>
      <c r="CO216" s="74">
        <f t="shared" si="1810"/>
        <v>291</v>
      </c>
      <c r="CP216" s="74">
        <f t="shared" si="1811"/>
        <v>328</v>
      </c>
      <c r="CQ216" s="74">
        <f t="shared" si="1812"/>
        <v>360</v>
      </c>
      <c r="CR216" s="74">
        <f t="shared" si="1813"/>
        <v>394</v>
      </c>
      <c r="CS216" s="74">
        <f t="shared" si="1814"/>
        <v>418</v>
      </c>
      <c r="CT216" s="23">
        <f t="shared" si="1815"/>
        <v>1</v>
      </c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  <c r="AMK216" s="6"/>
      <c r="AML216" s="6"/>
      <c r="AMM216" s="6"/>
      <c r="AMN216" s="6"/>
      <c r="AMO216" s="6"/>
      <c r="AMP216" s="6"/>
    </row>
    <row r="217" spans="1:1030" x14ac:dyDescent="0.2">
      <c r="A217" s="3" t="str">
        <f t="shared" si="1395"/>
        <v>crfr1_human__wt</v>
      </c>
      <c r="B217" s="3" t="s">
        <v>38</v>
      </c>
      <c r="C217" s="3" t="s">
        <v>100</v>
      </c>
      <c r="D217" s="3" t="str">
        <f>IFERROR(MID(VLOOKUP($B217,Seqs!$A:$B,2,0),E217,1),"")</f>
        <v>Q</v>
      </c>
      <c r="E217" s="3">
        <v>103</v>
      </c>
      <c r="F217" s="3" t="str">
        <f>IFERROR(MID(VLOOKUP($B217,Seqs!$A:$B,2,0),G217,1),"")</f>
        <v>L</v>
      </c>
      <c r="G217" s="3">
        <v>144</v>
      </c>
      <c r="H217" s="3" t="str">
        <f>IFERROR(MID(VLOOKUP($B217,Seqs!$A:$B,2,0),I217,1),"")</f>
        <v>R</v>
      </c>
      <c r="I217" s="23">
        <v>145</v>
      </c>
      <c r="J217" s="3" t="str">
        <f>IFERROR(MID(VLOOKUP($B217,Seqs!$A:$B,2,0),K217,1),"")</f>
        <v>R</v>
      </c>
      <c r="K217" s="23">
        <v>148</v>
      </c>
      <c r="L217" s="3" t="str">
        <f>IFERROR(MID(VLOOKUP($B217,Seqs!$A:$B,2,0),M217,1),"")</f>
        <v>C</v>
      </c>
      <c r="M217" s="23">
        <v>149</v>
      </c>
      <c r="N217" s="3" t="str">
        <f>IFERROR(MID(VLOOKUP($B217,Seqs!$A:$B,2,0),O217,1),"")</f>
        <v>T</v>
      </c>
      <c r="O217" s="3">
        <v>175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V</v>
      </c>
      <c r="U217" s="3">
        <v>185</v>
      </c>
      <c r="V217" s="3" t="str">
        <f>IFERROR(MID(VLOOKUP($B217,Seqs!$A:$B,2,0),W217,1),"")</f>
        <v>L</v>
      </c>
      <c r="W217" s="3">
        <v>219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L</v>
      </c>
      <c r="AC217" s="9">
        <v>226</v>
      </c>
      <c r="AD217" s="3" t="str">
        <f>IFERROR(MID(VLOOKUP($B217,Seqs!$A:$B,2,0),AE217,1),"")</f>
        <v>D</v>
      </c>
      <c r="AE217" s="3">
        <v>254</v>
      </c>
      <c r="AF217" s="3" t="str">
        <f>IFERROR(MID(VLOOKUP($B217,Seqs!$A:$B,2,0),AG217,1),"")</f>
        <v>C</v>
      </c>
      <c r="AG217" s="3">
        <v>258</v>
      </c>
      <c r="AH217" s="3" t="str">
        <f>IFERROR(MID(VLOOKUP($B217,Seqs!$A:$B,2,0),AI217,1),"")</f>
        <v>F</v>
      </c>
      <c r="AI217" s="3">
        <v>260</v>
      </c>
      <c r="AJ217" s="3" t="str">
        <f>IFERROR(MID(VLOOKUP($B217,Seqs!$A:$B,2,0),AK217,1),"")</f>
        <v>T</v>
      </c>
      <c r="AK217" s="3">
        <v>268</v>
      </c>
      <c r="AL217" s="3" t="str">
        <f>IFERROR(MID(VLOOKUP($B217,Seqs!$A:$B,2,0),AM217,1),"")</f>
        <v>L</v>
      </c>
      <c r="AM217" s="3">
        <v>298</v>
      </c>
      <c r="AN217" s="3" t="str">
        <f>IFERROR(MID(VLOOKUP($B217,Seqs!$A:$B,2,0),AO217,1),"")</f>
        <v>S</v>
      </c>
      <c r="AO217" s="3">
        <v>304</v>
      </c>
      <c r="AP217" s="3" t="str">
        <f>IFERROR(MID(VLOOKUP($B217,Seqs!$A:$B,2,0),AQ217,1),"")</f>
        <v>V</v>
      </c>
      <c r="AQ217" s="3">
        <v>332</v>
      </c>
      <c r="AR217" s="3" t="str">
        <f>IFERROR(MID(VLOOKUP($B217,Seqs!$A:$B,2,0),AS217,1),"")</f>
        <v>V</v>
      </c>
      <c r="AS217" s="3">
        <v>339</v>
      </c>
      <c r="AT217" s="3" t="str">
        <f>IFERROR(MID(VLOOKUP($B217,Seqs!$A:$B,2,0),AU217,1),"")</f>
        <v>L</v>
      </c>
      <c r="AU217" s="3">
        <v>366</v>
      </c>
      <c r="AV217" s="3" t="str">
        <f>IFERROR(MID(VLOOKUP($B217,Seqs!$A:$B,2,0),AW217,1),"")</f>
        <v>N</v>
      </c>
      <c r="AW217" s="3">
        <v>367</v>
      </c>
      <c r="AX217" s="3" t="str">
        <f>IFERROR(MID(VLOOKUP($B217,Seqs!$A:$B,2,0),AY217,1),"")</f>
        <v>A</v>
      </c>
      <c r="AY217" s="3">
        <v>392</v>
      </c>
      <c r="AZ217" s="79" t="str">
        <f>VLOOKUP(B217,Classification!A:D,2,0)</f>
        <v>B1</v>
      </c>
      <c r="BA217" s="96" t="str">
        <f>VLOOKUP(B217,Classification!A:D,4,0)</f>
        <v>Corticotropin-releasingfact</v>
      </c>
      <c r="BB217" s="27" t="b">
        <f t="shared" si="1396"/>
        <v>1</v>
      </c>
      <c r="BC217" s="23">
        <f t="shared" ref="BC217:BC248" si="1816">_xlfn.AGGREGATE(9,6,CH217:CS217)-_xlfn.AGGREGATE(9,6,BV217:CG217)+12</f>
        <v>256</v>
      </c>
      <c r="BD217" s="57" t="s">
        <v>1379</v>
      </c>
      <c r="BE217" s="3" t="s">
        <v>23</v>
      </c>
      <c r="BF217" s="121" t="s">
        <v>23</v>
      </c>
      <c r="BG217" s="50" t="s">
        <v>1379</v>
      </c>
      <c r="BH217" s="50" t="s">
        <v>1384</v>
      </c>
      <c r="BI217" s="1"/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ref="BV217:BV248" si="1817">E217</f>
        <v>103</v>
      </c>
      <c r="BW217" s="73">
        <f t="shared" ref="BW217:BW248" si="1818">I217</f>
        <v>145</v>
      </c>
      <c r="BX217" s="74">
        <f t="shared" ref="BX217:BX248" si="1819">M217</f>
        <v>149</v>
      </c>
      <c r="BY217" s="73" t="str">
        <f t="shared" ref="BY217:BY248" si="1820">Q217</f>
        <v>-</v>
      </c>
      <c r="BZ217" s="74">
        <f t="shared" ref="BZ217:BZ248" si="1821">U217</f>
        <v>185</v>
      </c>
      <c r="CA217" s="73" t="str">
        <f t="shared" ref="CA217:CA248" si="1822">Y217</f>
        <v>-</v>
      </c>
      <c r="CB217" s="74">
        <f t="shared" ref="CB217:CB248" si="1823">AC217</f>
        <v>226</v>
      </c>
      <c r="CC217" s="73">
        <f t="shared" ref="CC217:CC248" si="1824">AG217</f>
        <v>258</v>
      </c>
      <c r="CD217" s="74">
        <f t="shared" ref="CD217:CD248" si="1825">AK217</f>
        <v>268</v>
      </c>
      <c r="CE217" s="73">
        <f t="shared" ref="CE217:CE248" si="1826">AO217</f>
        <v>304</v>
      </c>
      <c r="CF217" s="74">
        <f t="shared" ref="CF217:CF248" si="1827">AS217</f>
        <v>339</v>
      </c>
      <c r="CG217" s="73">
        <f t="shared" ref="CG217:CG248" si="1828">AW217</f>
        <v>367</v>
      </c>
      <c r="CH217" s="72">
        <f t="shared" ref="CH217:CH248" si="1829">G217</f>
        <v>144</v>
      </c>
      <c r="CI217" s="73">
        <f t="shared" ref="CI217:CI248" si="1830">K217</f>
        <v>148</v>
      </c>
      <c r="CJ217" s="74">
        <f t="shared" ref="CJ217:CJ248" si="1831">O217</f>
        <v>175</v>
      </c>
      <c r="CK217" s="74" t="str">
        <f t="shared" ref="CK217:CK248" si="1832">S217</f>
        <v>-</v>
      </c>
      <c r="CL217" s="74">
        <f t="shared" ref="CL217:CL248" si="1833">W217</f>
        <v>219</v>
      </c>
      <c r="CM217" s="74" t="str">
        <f t="shared" ref="CM217:CM248" si="1834">AA217</f>
        <v>-</v>
      </c>
      <c r="CN217" s="74">
        <f t="shared" ref="CN217:CN248" si="1835">AE217</f>
        <v>254</v>
      </c>
      <c r="CO217" s="74">
        <f t="shared" ref="CO217:CO248" si="1836">AI217</f>
        <v>260</v>
      </c>
      <c r="CP217" s="74">
        <f t="shared" ref="CP217:CP248" si="1837">AM217</f>
        <v>298</v>
      </c>
      <c r="CQ217" s="74">
        <f t="shared" ref="CQ217:CQ248" si="1838">AQ217</f>
        <v>332</v>
      </c>
      <c r="CR217" s="74">
        <f t="shared" ref="CR217:CR248" si="1839">AU217</f>
        <v>366</v>
      </c>
      <c r="CS217" s="74">
        <f t="shared" ref="CS217:CS248" si="1840">AY217</f>
        <v>392</v>
      </c>
      <c r="CT217" s="23">
        <f t="shared" ref="CT217:CT248" si="1841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395"/>
        <v>crfr1_human_4K5Y</v>
      </c>
      <c r="B218" s="3" t="s">
        <v>38</v>
      </c>
      <c r="C218" s="3" t="s">
        <v>95</v>
      </c>
      <c r="D218" s="3" t="str">
        <f>IFERROR(MID(VLOOKUP($B218,Seqs!$A:$B,2,0),E218,1),"")</f>
        <v>H</v>
      </c>
      <c r="E218" s="3">
        <v>117</v>
      </c>
      <c r="F218" s="3" t="str">
        <f>IFERROR(MID(VLOOKUP($B218,Seqs!$A:$B,2,0),G218,1),"")</f>
        <v>L</v>
      </c>
      <c r="G218" s="3">
        <v>144</v>
      </c>
      <c r="H218" s="3" t="str">
        <f>IFERROR(MID(VLOOKUP($B218,Seqs!$A:$B,2,0),I218,1),"")</f>
        <v>R</v>
      </c>
      <c r="I218" s="23">
        <v>145</v>
      </c>
      <c r="J218" s="3" t="str">
        <f>IFERROR(MID(VLOOKUP($B218,Seqs!$A:$B,2,0),K218,1),"")</f>
        <v>R</v>
      </c>
      <c r="K218" s="23">
        <v>148</v>
      </c>
      <c r="L218" s="3" t="str">
        <f>IFERROR(MID(VLOOKUP($B218,Seqs!$A:$B,2,0),M218,1),"")</f>
        <v>C</v>
      </c>
      <c r="M218" s="23">
        <v>149</v>
      </c>
      <c r="N218" s="3" t="str">
        <f>IFERROR(MID(VLOOKUP($B218,Seqs!$A:$B,2,0),O218,1),"")</f>
        <v>T</v>
      </c>
      <c r="O218" s="3">
        <v>175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V</v>
      </c>
      <c r="U218" s="3">
        <v>185</v>
      </c>
      <c r="V218" s="3" t="str">
        <f>IFERROR(MID(VLOOKUP($B218,Seqs!$A:$B,2,0),W218,1),"")</f>
        <v>L</v>
      </c>
      <c r="W218" s="3">
        <v>219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L</v>
      </c>
      <c r="AC218" s="9">
        <v>226</v>
      </c>
      <c r="AD218" s="3" t="str">
        <f>IFERROR(MID(VLOOKUP($B218,Seqs!$A:$B,2,0),AE218,1),"")</f>
        <v>D</v>
      </c>
      <c r="AE218" s="3">
        <v>254</v>
      </c>
      <c r="AF218" s="3" t="str">
        <f>IFERROR(MID(VLOOKUP($B218,Seqs!$A:$B,2,0),AG218,1),"")</f>
        <v>C</v>
      </c>
      <c r="AG218" s="3">
        <v>258</v>
      </c>
      <c r="AH218" s="3" t="str">
        <f>IFERROR(MID(VLOOKUP($B218,Seqs!$A:$B,2,0),AI218,1),"")</f>
        <v>F</v>
      </c>
      <c r="AI218" s="3">
        <v>260</v>
      </c>
      <c r="AJ218" s="3" t="str">
        <f>IFERROR(MID(VLOOKUP($B218,Seqs!$A:$B,2,0),AK218,1),"")</f>
        <v>T</v>
      </c>
      <c r="AK218" s="3">
        <v>268</v>
      </c>
      <c r="AL218" s="3" t="str">
        <f>IFERROR(MID(VLOOKUP($B218,Seqs!$A:$B,2,0),AM218,1),"")</f>
        <v>L</v>
      </c>
      <c r="AM218" s="3">
        <v>298</v>
      </c>
      <c r="AN218" s="3" t="str">
        <f>IFERROR(MID(VLOOKUP($B218,Seqs!$A:$B,2,0),AO218,1),"")</f>
        <v>S</v>
      </c>
      <c r="AO218" s="3">
        <v>304</v>
      </c>
      <c r="AP218" s="3" t="str">
        <f>IFERROR(MID(VLOOKUP($B218,Seqs!$A:$B,2,0),AQ218,1),"")</f>
        <v>V</v>
      </c>
      <c r="AQ218" s="3">
        <v>332</v>
      </c>
      <c r="AR218" s="3" t="str">
        <f>IFERROR(MID(VLOOKUP($B218,Seqs!$A:$B,2,0),AS218,1),"")</f>
        <v>V</v>
      </c>
      <c r="AS218" s="3">
        <v>339</v>
      </c>
      <c r="AT218" s="3" t="str">
        <f>IFERROR(MID(VLOOKUP($B218,Seqs!$A:$B,2,0),AU218,1),"")</f>
        <v>F</v>
      </c>
      <c r="AU218" s="3">
        <v>362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9" t="str">
        <f>VLOOKUP(B218,Classification!A:D,2,0)</f>
        <v>B1</v>
      </c>
      <c r="BA218" s="96" t="str">
        <f>VLOOKUP(B218,Classification!A:D,4,0)</f>
        <v>Corticotropin-releasingfact</v>
      </c>
      <c r="BB218" s="27" t="b">
        <f t="shared" si="1396"/>
        <v>1</v>
      </c>
      <c r="BC218" s="23">
        <f t="shared" si="1816"/>
        <v>213</v>
      </c>
      <c r="BD218" s="4" t="s">
        <v>23</v>
      </c>
      <c r="BE218" s="3" t="s">
        <v>1381</v>
      </c>
      <c r="BF218" s="121">
        <v>2.98</v>
      </c>
      <c r="BG218" s="50" t="s">
        <v>1384</v>
      </c>
      <c r="BH218" s="50" t="s">
        <v>1384</v>
      </c>
      <c r="BI218" s="1"/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817"/>
        <v>117</v>
      </c>
      <c r="BW218" s="73">
        <f t="shared" si="1818"/>
        <v>145</v>
      </c>
      <c r="BX218" s="74">
        <f t="shared" si="1819"/>
        <v>149</v>
      </c>
      <c r="BY218" s="73" t="str">
        <f t="shared" si="1820"/>
        <v>-</v>
      </c>
      <c r="BZ218" s="74">
        <f t="shared" si="1821"/>
        <v>185</v>
      </c>
      <c r="CA218" s="73" t="str">
        <f t="shared" si="1822"/>
        <v>-</v>
      </c>
      <c r="CB218" s="74">
        <f t="shared" si="1823"/>
        <v>226</v>
      </c>
      <c r="CC218" s="73">
        <f t="shared" si="1824"/>
        <v>258</v>
      </c>
      <c r="CD218" s="74">
        <f t="shared" si="1825"/>
        <v>268</v>
      </c>
      <c r="CE218" s="73">
        <f t="shared" si="1826"/>
        <v>304</v>
      </c>
      <c r="CF218" s="74">
        <f t="shared" si="1827"/>
        <v>339</v>
      </c>
      <c r="CG218" s="73" t="str">
        <f t="shared" si="1828"/>
        <v>-</v>
      </c>
      <c r="CH218" s="72">
        <f t="shared" si="1829"/>
        <v>144</v>
      </c>
      <c r="CI218" s="73">
        <f t="shared" si="1830"/>
        <v>148</v>
      </c>
      <c r="CJ218" s="74">
        <f t="shared" si="1831"/>
        <v>175</v>
      </c>
      <c r="CK218" s="74" t="str">
        <f t="shared" si="1832"/>
        <v>-</v>
      </c>
      <c r="CL218" s="74">
        <f t="shared" si="1833"/>
        <v>219</v>
      </c>
      <c r="CM218" s="74" t="str">
        <f t="shared" si="1834"/>
        <v>-</v>
      </c>
      <c r="CN218" s="74">
        <f t="shared" si="1835"/>
        <v>254</v>
      </c>
      <c r="CO218" s="74">
        <f t="shared" si="1836"/>
        <v>260</v>
      </c>
      <c r="CP218" s="74">
        <f t="shared" si="1837"/>
        <v>298</v>
      </c>
      <c r="CQ218" s="74">
        <f t="shared" si="1838"/>
        <v>332</v>
      </c>
      <c r="CR218" s="74">
        <f t="shared" si="1839"/>
        <v>362</v>
      </c>
      <c r="CS218" s="74" t="str">
        <f t="shared" si="1840"/>
        <v>-</v>
      </c>
      <c r="CT218" s="23">
        <f t="shared" si="1841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1395"/>
        <v>crfr1_human_4K5Y_dist</v>
      </c>
      <c r="B219" s="3" t="s">
        <v>38</v>
      </c>
      <c r="C219" s="3" t="s">
        <v>1161</v>
      </c>
      <c r="D219" s="3" t="str">
        <f>IFERROR(MID(VLOOKUP($B219,Seqs!$A:$B,2,0),E219,1),"")</f>
        <v>H</v>
      </c>
      <c r="E219" s="3">
        <v>117</v>
      </c>
      <c r="F219" s="3" t="str">
        <f>IFERROR(MID(VLOOKUP($B219,Seqs!$A:$B,2,0),G219,1),"")</f>
        <v>L</v>
      </c>
      <c r="G219" s="3">
        <v>144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C</v>
      </c>
      <c r="M219" s="23">
        <v>149</v>
      </c>
      <c r="N219" s="3" t="str">
        <f>IFERROR(MID(VLOOKUP($B219,Seqs!$A:$B,2,0),O219,1),"")</f>
        <v>T</v>
      </c>
      <c r="O219" s="3">
        <v>175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185</v>
      </c>
      <c r="V219" s="3" t="str">
        <f>IFERROR(MID(VLOOKUP($B219,Seqs!$A:$B,2,0),W219,1),"")</f>
        <v>L</v>
      </c>
      <c r="W219" s="3">
        <v>219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226</v>
      </c>
      <c r="AD219" s="3" t="str">
        <f>IFERROR(MID(VLOOKUP($B219,Seqs!$A:$B,2,0),AE219,1),"")</f>
        <v>D</v>
      </c>
      <c r="AE219" s="3">
        <v>254</v>
      </c>
      <c r="AF219" s="3" t="str">
        <f>IFERROR(MID(VLOOKUP($B219,Seqs!$A:$B,2,0),AG219,1),"")</f>
        <v>C</v>
      </c>
      <c r="AG219" s="3">
        <v>258</v>
      </c>
      <c r="AH219" s="3" t="str">
        <f>IFERROR(MID(VLOOKUP($B219,Seqs!$A:$B,2,0),AI219,1),"")</f>
        <v>F</v>
      </c>
      <c r="AI219" s="3">
        <v>260</v>
      </c>
      <c r="AJ219" s="3" t="str">
        <f>IFERROR(MID(VLOOKUP($B219,Seqs!$A:$B,2,0),AK219,1),"")</f>
        <v>T</v>
      </c>
      <c r="AK219" s="3">
        <v>268</v>
      </c>
      <c r="AL219" s="3" t="str">
        <f>IFERROR(MID(VLOOKUP($B219,Seqs!$A:$B,2,0),AM219,1),"")</f>
        <v>L</v>
      </c>
      <c r="AM219" s="3">
        <v>298</v>
      </c>
      <c r="AN219" s="3" t="str">
        <f>IFERROR(MID(VLOOKUP($B219,Seqs!$A:$B,2,0),AO219,1),"")</f>
        <v>S</v>
      </c>
      <c r="AO219" s="3">
        <v>304</v>
      </c>
      <c r="AP219" s="3" t="str">
        <f>IFERROR(MID(VLOOKUP($B219,Seqs!$A:$B,2,0),AQ219,1),"")</f>
        <v>V</v>
      </c>
      <c r="AQ219" s="3">
        <v>332</v>
      </c>
      <c r="AR219" s="3" t="str">
        <f>IFERROR(MID(VLOOKUP($B219,Seqs!$A:$B,2,0),AS219,1),"")</f>
        <v>V</v>
      </c>
      <c r="AS219" s="3">
        <v>339</v>
      </c>
      <c r="AT219" s="3" t="str">
        <f>IFERROR(MID(VLOOKUP($B219,Seqs!$A:$B,2,0),AU219,1),"")</f>
        <v>L</v>
      </c>
      <c r="AU219" s="3">
        <v>366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9" t="str">
        <f>VLOOKUP(B219,Classification!A:D,2,0)</f>
        <v>B1</v>
      </c>
      <c r="BA219" s="96" t="str">
        <f>VLOOKUP(B219,Classification!A:D,4,0)</f>
        <v>Corticotropin-releasingfact</v>
      </c>
      <c r="BB219" s="27" t="b">
        <f t="shared" si="1396"/>
        <v>1</v>
      </c>
      <c r="BC219" s="23">
        <f t="shared" si="1816"/>
        <v>217</v>
      </c>
      <c r="BD219" s="57" t="s">
        <v>1379</v>
      </c>
      <c r="BE219" s="3" t="s">
        <v>1381</v>
      </c>
      <c r="BF219" s="121">
        <v>2.98</v>
      </c>
      <c r="BG219" s="50" t="s">
        <v>1384</v>
      </c>
      <c r="BH219" s="50" t="s">
        <v>1384</v>
      </c>
      <c r="BI219" s="3" t="s">
        <v>1163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817"/>
        <v>117</v>
      </c>
      <c r="BW219" s="73">
        <f t="shared" si="1818"/>
        <v>145</v>
      </c>
      <c r="BX219" s="74">
        <f t="shared" si="1819"/>
        <v>149</v>
      </c>
      <c r="BY219" s="73" t="str">
        <f t="shared" si="1820"/>
        <v>-</v>
      </c>
      <c r="BZ219" s="74">
        <f t="shared" si="1821"/>
        <v>185</v>
      </c>
      <c r="CA219" s="73" t="str">
        <f t="shared" si="1822"/>
        <v>-</v>
      </c>
      <c r="CB219" s="74">
        <f t="shared" si="1823"/>
        <v>226</v>
      </c>
      <c r="CC219" s="73">
        <f t="shared" si="1824"/>
        <v>258</v>
      </c>
      <c r="CD219" s="74">
        <f t="shared" si="1825"/>
        <v>268</v>
      </c>
      <c r="CE219" s="73">
        <f t="shared" si="1826"/>
        <v>304</v>
      </c>
      <c r="CF219" s="74">
        <f t="shared" si="1827"/>
        <v>339</v>
      </c>
      <c r="CG219" s="73" t="str">
        <f t="shared" si="1828"/>
        <v>-</v>
      </c>
      <c r="CH219" s="72">
        <f t="shared" si="1829"/>
        <v>144</v>
      </c>
      <c r="CI219" s="73">
        <f t="shared" si="1830"/>
        <v>148</v>
      </c>
      <c r="CJ219" s="74">
        <f t="shared" si="1831"/>
        <v>175</v>
      </c>
      <c r="CK219" s="74" t="str">
        <f t="shared" si="1832"/>
        <v>-</v>
      </c>
      <c r="CL219" s="74">
        <f t="shared" si="1833"/>
        <v>219</v>
      </c>
      <c r="CM219" s="74" t="str">
        <f t="shared" si="1834"/>
        <v>-</v>
      </c>
      <c r="CN219" s="74">
        <f t="shared" si="1835"/>
        <v>254</v>
      </c>
      <c r="CO219" s="74">
        <f t="shared" si="1836"/>
        <v>260</v>
      </c>
      <c r="CP219" s="74">
        <f t="shared" si="1837"/>
        <v>298</v>
      </c>
      <c r="CQ219" s="74">
        <f t="shared" si="1838"/>
        <v>332</v>
      </c>
      <c r="CR219" s="74">
        <f t="shared" si="1839"/>
        <v>366</v>
      </c>
      <c r="CS219" s="74" t="str">
        <f t="shared" si="1840"/>
        <v>-</v>
      </c>
      <c r="CT219" s="23">
        <f t="shared" si="1841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395"/>
        <v>crfr1_human_4Z9G</v>
      </c>
      <c r="B220" s="3" t="s">
        <v>38</v>
      </c>
      <c r="C220" s="3" t="s">
        <v>1060</v>
      </c>
      <c r="D220" s="3" t="str">
        <f>IFERROR(MID(VLOOKUP($B220,Seqs!$A:$B,2,0),E220,1),"")</f>
        <v>S</v>
      </c>
      <c r="E220" s="3">
        <v>112</v>
      </c>
      <c r="F220" s="3" t="str">
        <f>IFERROR(MID(VLOOKUP($B220,Seqs!$A:$B,2,0),G220,1),"")</f>
        <v>L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C</v>
      </c>
      <c r="M220" s="23">
        <v>149</v>
      </c>
      <c r="N220" s="3" t="str">
        <f>IFERROR(MID(VLOOKUP($B220,Seqs!$A:$B,2,0),O220,1),"")</f>
        <v>T</v>
      </c>
      <c r="O220" s="3">
        <v>175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185</v>
      </c>
      <c r="V220" s="3" t="str">
        <f>IFERROR(MID(VLOOKUP($B220,Seqs!$A:$B,2,0),W220,1),"")</f>
        <v>L</v>
      </c>
      <c r="W220" s="3">
        <v>219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L</v>
      </c>
      <c r="AC220" s="9">
        <v>226</v>
      </c>
      <c r="AD220" s="3" t="str">
        <f>IFERROR(MID(VLOOKUP($B220,Seqs!$A:$B,2,0),AE220,1),"")</f>
        <v>D</v>
      </c>
      <c r="AE220" s="3">
        <v>254</v>
      </c>
      <c r="AF220" s="3" t="str">
        <f>IFERROR(MID(VLOOKUP($B220,Seqs!$A:$B,2,0),AG220,1),"")</f>
        <v>C</v>
      </c>
      <c r="AG220" s="3">
        <v>258</v>
      </c>
      <c r="AH220" s="3" t="str">
        <f>IFERROR(MID(VLOOKUP($B220,Seqs!$A:$B,2,0),AI220,1),"")</f>
        <v>F</v>
      </c>
      <c r="AI220" s="3">
        <v>260</v>
      </c>
      <c r="AJ220" s="3" t="str">
        <f>IFERROR(MID(VLOOKUP($B220,Seqs!$A:$B,2,0),AK220,1),"")</f>
        <v>T</v>
      </c>
      <c r="AK220" s="3">
        <v>268</v>
      </c>
      <c r="AL220" s="3" t="str">
        <f>IFERROR(MID(VLOOKUP($B220,Seqs!$A:$B,2,0),AM220,1),"")</f>
        <v>L</v>
      </c>
      <c r="AM220" s="3">
        <v>298</v>
      </c>
      <c r="AN220" s="3" t="str">
        <f>IFERROR(MID(VLOOKUP($B220,Seqs!$A:$B,2,0),AO220,1),"")</f>
        <v>S</v>
      </c>
      <c r="AO220" s="3">
        <v>304</v>
      </c>
      <c r="AP220" s="3" t="str">
        <f>IFERROR(MID(VLOOKUP($B220,Seqs!$A:$B,2,0),AQ220,1),"")</f>
        <v>V</v>
      </c>
      <c r="AQ220" s="3">
        <v>332</v>
      </c>
      <c r="AR220" s="3" t="str">
        <f>IFERROR(MID(VLOOKUP($B220,Seqs!$A:$B,2,0),AS220,1),"")</f>
        <v>V</v>
      </c>
      <c r="AS220" s="3">
        <v>339</v>
      </c>
      <c r="AT220" s="3" t="str">
        <f>IFERROR(MID(VLOOKUP($B220,Seqs!$A:$B,2,0),AU220,1),"")</f>
        <v>F</v>
      </c>
      <c r="AU220" s="3">
        <v>362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9" t="str">
        <f>VLOOKUP(B220,Classification!A:D,2,0)</f>
        <v>B1</v>
      </c>
      <c r="BA220" s="96" t="str">
        <f>VLOOKUP(B220,Classification!A:D,4,0)</f>
        <v>Corticotropin-releasingfact</v>
      </c>
      <c r="BB220" s="27" t="b">
        <f t="shared" si="1396"/>
        <v>1</v>
      </c>
      <c r="BC220" s="23">
        <f t="shared" si="1816"/>
        <v>218</v>
      </c>
      <c r="BD220" s="2" t="s">
        <v>1383</v>
      </c>
      <c r="BE220" s="3" t="s">
        <v>1381</v>
      </c>
      <c r="BF220" s="121">
        <v>3.18</v>
      </c>
      <c r="BG220" s="50" t="s">
        <v>1384</v>
      </c>
      <c r="BH220" s="50" t="s">
        <v>1384</v>
      </c>
      <c r="BI220" s="1"/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817"/>
        <v>112</v>
      </c>
      <c r="BW220" s="73">
        <f t="shared" si="1818"/>
        <v>145</v>
      </c>
      <c r="BX220" s="74">
        <f t="shared" si="1819"/>
        <v>149</v>
      </c>
      <c r="BY220" s="73" t="str">
        <f t="shared" si="1820"/>
        <v>-</v>
      </c>
      <c r="BZ220" s="74">
        <f t="shared" si="1821"/>
        <v>185</v>
      </c>
      <c r="CA220" s="73" t="str">
        <f t="shared" si="1822"/>
        <v>-</v>
      </c>
      <c r="CB220" s="74">
        <f t="shared" si="1823"/>
        <v>226</v>
      </c>
      <c r="CC220" s="73">
        <f t="shared" si="1824"/>
        <v>258</v>
      </c>
      <c r="CD220" s="74">
        <f t="shared" si="1825"/>
        <v>268</v>
      </c>
      <c r="CE220" s="73">
        <f t="shared" si="1826"/>
        <v>304</v>
      </c>
      <c r="CF220" s="74">
        <f t="shared" si="1827"/>
        <v>339</v>
      </c>
      <c r="CG220" s="73" t="str">
        <f t="shared" si="1828"/>
        <v>-</v>
      </c>
      <c r="CH220" s="72">
        <f t="shared" si="1829"/>
        <v>144</v>
      </c>
      <c r="CI220" s="73">
        <f t="shared" si="1830"/>
        <v>148</v>
      </c>
      <c r="CJ220" s="74">
        <f t="shared" si="1831"/>
        <v>175</v>
      </c>
      <c r="CK220" s="74" t="str">
        <f t="shared" si="1832"/>
        <v>-</v>
      </c>
      <c r="CL220" s="74">
        <f t="shared" si="1833"/>
        <v>219</v>
      </c>
      <c r="CM220" s="74" t="str">
        <f t="shared" si="1834"/>
        <v>-</v>
      </c>
      <c r="CN220" s="74">
        <f t="shared" si="1835"/>
        <v>254</v>
      </c>
      <c r="CO220" s="74">
        <f t="shared" si="1836"/>
        <v>260</v>
      </c>
      <c r="CP220" s="74">
        <f t="shared" si="1837"/>
        <v>298</v>
      </c>
      <c r="CQ220" s="74">
        <f t="shared" si="1838"/>
        <v>332</v>
      </c>
      <c r="CR220" s="74">
        <f t="shared" si="1839"/>
        <v>362</v>
      </c>
      <c r="CS220" s="74" t="str">
        <f t="shared" si="1840"/>
        <v>-</v>
      </c>
      <c r="CT220" s="23">
        <f t="shared" si="1841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1395"/>
        <v>crfr1_human_4Z9G_dist</v>
      </c>
      <c r="B221" s="3" t="s">
        <v>38</v>
      </c>
      <c r="C221" s="3" t="s">
        <v>1162</v>
      </c>
      <c r="D221" s="3" t="str">
        <f>IFERROR(MID(VLOOKUP($B221,Seqs!$A:$B,2,0),E221,1),"")</f>
        <v>S</v>
      </c>
      <c r="E221" s="3">
        <v>112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E</v>
      </c>
      <c r="AU221" s="3">
        <v>369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9" t="str">
        <f>VLOOKUP(B221,Classification!A:D,2,0)</f>
        <v>B1</v>
      </c>
      <c r="BA221" s="96" t="str">
        <f>VLOOKUP(B221,Classification!A:D,4,0)</f>
        <v>Corticotropin-releasingfact</v>
      </c>
      <c r="BB221" s="27" t="b">
        <f t="shared" si="1396"/>
        <v>1</v>
      </c>
      <c r="BC221" s="23">
        <f t="shared" si="1816"/>
        <v>225</v>
      </c>
      <c r="BD221" s="57" t="s">
        <v>1379</v>
      </c>
      <c r="BE221" s="3" t="s">
        <v>1381</v>
      </c>
      <c r="BF221" s="121">
        <v>3.18</v>
      </c>
      <c r="BG221" s="50" t="s">
        <v>1384</v>
      </c>
      <c r="BH221" s="50" t="s">
        <v>1384</v>
      </c>
      <c r="BI221" s="3" t="s">
        <v>1163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817"/>
        <v>112</v>
      </c>
      <c r="BW221" s="73">
        <f t="shared" si="1818"/>
        <v>145</v>
      </c>
      <c r="BX221" s="74">
        <f t="shared" si="1819"/>
        <v>149</v>
      </c>
      <c r="BY221" s="73" t="str">
        <f t="shared" si="1820"/>
        <v>-</v>
      </c>
      <c r="BZ221" s="74">
        <f t="shared" si="1821"/>
        <v>185</v>
      </c>
      <c r="CA221" s="73" t="str">
        <f t="shared" si="1822"/>
        <v>-</v>
      </c>
      <c r="CB221" s="74">
        <f t="shared" si="1823"/>
        <v>226</v>
      </c>
      <c r="CC221" s="73">
        <f t="shared" si="1824"/>
        <v>258</v>
      </c>
      <c r="CD221" s="74">
        <f t="shared" si="1825"/>
        <v>268</v>
      </c>
      <c r="CE221" s="73">
        <f t="shared" si="1826"/>
        <v>304</v>
      </c>
      <c r="CF221" s="74">
        <f t="shared" si="1827"/>
        <v>339</v>
      </c>
      <c r="CG221" s="73" t="str">
        <f t="shared" si="1828"/>
        <v>-</v>
      </c>
      <c r="CH221" s="72">
        <f t="shared" si="1829"/>
        <v>144</v>
      </c>
      <c r="CI221" s="73">
        <f t="shared" si="1830"/>
        <v>148</v>
      </c>
      <c r="CJ221" s="74">
        <f t="shared" si="1831"/>
        <v>175</v>
      </c>
      <c r="CK221" s="74" t="str">
        <f t="shared" si="1832"/>
        <v>-</v>
      </c>
      <c r="CL221" s="74">
        <f t="shared" si="1833"/>
        <v>219</v>
      </c>
      <c r="CM221" s="74" t="str">
        <f t="shared" si="1834"/>
        <v>-</v>
      </c>
      <c r="CN221" s="74">
        <f t="shared" si="1835"/>
        <v>254</v>
      </c>
      <c r="CO221" s="74">
        <f t="shared" si="1836"/>
        <v>260</v>
      </c>
      <c r="CP221" s="74">
        <f t="shared" si="1837"/>
        <v>298</v>
      </c>
      <c r="CQ221" s="74">
        <f t="shared" si="1838"/>
        <v>332</v>
      </c>
      <c r="CR221" s="74">
        <f t="shared" si="1839"/>
        <v>369</v>
      </c>
      <c r="CS221" s="74" t="str">
        <f t="shared" si="1840"/>
        <v>-</v>
      </c>
      <c r="CT221" s="23">
        <f t="shared" si="1841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395"/>
        <v>glr_human__wt</v>
      </c>
      <c r="B222" s="3" t="s">
        <v>32</v>
      </c>
      <c r="C222" s="3" t="s">
        <v>100</v>
      </c>
      <c r="D222" s="3" t="str">
        <f>IFERROR(MID(VLOOKUP($B222,Seqs!$A:$B,2,0),E222,1),"")</f>
        <v>Q</v>
      </c>
      <c r="E222" s="107">
        <v>131</v>
      </c>
      <c r="F222" s="3" t="str">
        <f>IFERROR(MID(VLOOKUP($B222,Seqs!$A:$B,2,0),G222,1),"")</f>
        <v>L</v>
      </c>
      <c r="G222" s="3">
        <v>166</v>
      </c>
      <c r="H222" s="3" t="str">
        <f>IFERROR(MID(VLOOKUP($B222,Seqs!$A:$B,2,0),I222,1),"")</f>
        <v>S</v>
      </c>
      <c r="I222" s="23">
        <v>167</v>
      </c>
      <c r="J222" s="3" t="str">
        <f>IFERROR(MID(VLOOKUP($B222,Seqs!$A:$B,2,0),K222,1),"")</f>
        <v>H</v>
      </c>
      <c r="K222" s="23">
        <v>170</v>
      </c>
      <c r="L222" s="3" t="str">
        <f>IFERROR(MID(VLOOKUP($B222,Seqs!$A:$B,2,0),M222,1),"")</f>
        <v>C</v>
      </c>
      <c r="M222" s="23">
        <v>171</v>
      </c>
      <c r="N222" s="3" t="str">
        <f>IFERROR(MID(VLOOKUP($B222,Seqs!$A:$B,2,0),O222,1),"")</f>
        <v>R</v>
      </c>
      <c r="O222" s="107">
        <v>201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S</v>
      </c>
      <c r="U222" s="3">
        <v>217</v>
      </c>
      <c r="V222" s="3" t="str">
        <f>IFERROR(MID(VLOOKUP($B222,Seqs!$A:$B,2,0),W222,1),"")</f>
        <v>L</v>
      </c>
      <c r="W222" s="3">
        <v>255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262</v>
      </c>
      <c r="AD222" s="3" t="str">
        <f>IFERROR(MID(VLOOKUP($B222,Seqs!$A:$B,2,0),AE222,1),"")</f>
        <v>E</v>
      </c>
      <c r="AE222" s="3">
        <v>290</v>
      </c>
      <c r="AF222" s="3" t="str">
        <f>IFERROR(MID(VLOOKUP($B222,Seqs!$A:$B,2,0),AG222,1),"")</f>
        <v>C</v>
      </c>
      <c r="AG222" s="3">
        <v>294</v>
      </c>
      <c r="AH222" s="3" t="str">
        <f>IFERROR(MID(VLOOKUP($B222,Seqs!$A:$B,2,0),AI222,1),"")</f>
        <v>T</v>
      </c>
      <c r="AI222" s="3">
        <v>296</v>
      </c>
      <c r="AJ222" s="3" t="str">
        <f>IFERROR(MID(VLOOKUP($B222,Seqs!$A:$B,2,0),AK222,1),"")</f>
        <v>N</v>
      </c>
      <c r="AK222" s="3">
        <v>300</v>
      </c>
      <c r="AL222" s="3" t="str">
        <f>IFERROR(MID(VLOOKUP($B222,Seqs!$A:$B,2,0),AM222,1),"")</f>
        <v>A</v>
      </c>
      <c r="AM222" s="3">
        <v>335</v>
      </c>
      <c r="AN222" s="3" t="str">
        <f>IFERROR(MID(VLOOKUP($B222,Seqs!$A:$B,2,0),AO222,1),"")</f>
        <v>D</v>
      </c>
      <c r="AO222" s="3">
        <v>342</v>
      </c>
      <c r="AP222" s="3" t="str">
        <f>IFERROR(MID(VLOOKUP($B222,Seqs!$A:$B,2,0),AQ222,1),"")</f>
        <v>F</v>
      </c>
      <c r="AQ222" s="3">
        <v>367</v>
      </c>
      <c r="AR222" s="3" t="str">
        <f>IFERROR(MID(VLOOKUP($B222,Seqs!$A:$B,2,0),AS222,1),"")</f>
        <v>Q</v>
      </c>
      <c r="AS222" s="3">
        <v>374</v>
      </c>
      <c r="AT222" s="3" t="str">
        <f>IFERROR(MID(VLOOKUP($B222,Seqs!$A:$B,2,0),AU222,1),"")</f>
        <v>L</v>
      </c>
      <c r="AU222" s="3">
        <v>403</v>
      </c>
      <c r="AV222" s="3" t="str">
        <f>IFERROR(MID(VLOOKUP($B222,Seqs!$A:$B,2,0),AW222,1),"")</f>
        <v>N</v>
      </c>
      <c r="AW222" s="3">
        <v>404</v>
      </c>
      <c r="AX222" s="3" t="str">
        <f>IFERROR(MID(VLOOKUP($B222,Seqs!$A:$B,2,0),AY222,1),"")</f>
        <v>N</v>
      </c>
      <c r="AY222" s="3">
        <v>429</v>
      </c>
      <c r="AZ222" s="79" t="str">
        <f>VLOOKUP(B222,Classification!A:D,2,0)</f>
        <v>B1</v>
      </c>
      <c r="BA222" s="96" t="str">
        <f>VLOOKUP(B222,Classification!A:D,4,0)</f>
        <v>Glucagonreceptorfamily</v>
      </c>
      <c r="BB222" s="27" t="b">
        <f t="shared" si="1396"/>
        <v>1</v>
      </c>
      <c r="BC222" s="23">
        <f t="shared" si="1816"/>
        <v>262</v>
      </c>
      <c r="BD222" s="57" t="s">
        <v>1379</v>
      </c>
      <c r="BE222" s="3" t="s">
        <v>23</v>
      </c>
      <c r="BF222" s="121" t="s">
        <v>23</v>
      </c>
      <c r="BG222" s="50" t="s">
        <v>1379</v>
      </c>
      <c r="BH222" s="50" t="s">
        <v>1384</v>
      </c>
      <c r="BI222" s="1"/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817"/>
        <v>131</v>
      </c>
      <c r="BW222" s="73">
        <f t="shared" si="1818"/>
        <v>167</v>
      </c>
      <c r="BX222" s="74">
        <f t="shared" si="1819"/>
        <v>171</v>
      </c>
      <c r="BY222" s="73" t="str">
        <f t="shared" si="1820"/>
        <v>-</v>
      </c>
      <c r="BZ222" s="74">
        <f t="shared" si="1821"/>
        <v>217</v>
      </c>
      <c r="CA222" s="73" t="str">
        <f t="shared" si="1822"/>
        <v>-</v>
      </c>
      <c r="CB222" s="74">
        <f t="shared" si="1823"/>
        <v>262</v>
      </c>
      <c r="CC222" s="73">
        <f t="shared" si="1824"/>
        <v>294</v>
      </c>
      <c r="CD222" s="74">
        <f t="shared" si="1825"/>
        <v>300</v>
      </c>
      <c r="CE222" s="73">
        <f t="shared" si="1826"/>
        <v>342</v>
      </c>
      <c r="CF222" s="74">
        <f t="shared" si="1827"/>
        <v>374</v>
      </c>
      <c r="CG222" s="73">
        <f t="shared" si="1828"/>
        <v>404</v>
      </c>
      <c r="CH222" s="72">
        <f t="shared" si="1829"/>
        <v>166</v>
      </c>
      <c r="CI222" s="73">
        <f t="shared" si="1830"/>
        <v>170</v>
      </c>
      <c r="CJ222" s="74">
        <f t="shared" si="1831"/>
        <v>201</v>
      </c>
      <c r="CK222" s="74" t="str">
        <f t="shared" si="1832"/>
        <v>-</v>
      </c>
      <c r="CL222" s="74">
        <f t="shared" si="1833"/>
        <v>255</v>
      </c>
      <c r="CM222" s="74" t="str">
        <f t="shared" si="1834"/>
        <v>-</v>
      </c>
      <c r="CN222" s="74">
        <f t="shared" si="1835"/>
        <v>290</v>
      </c>
      <c r="CO222" s="74">
        <f t="shared" si="1836"/>
        <v>296</v>
      </c>
      <c r="CP222" s="74">
        <f t="shared" si="1837"/>
        <v>335</v>
      </c>
      <c r="CQ222" s="74">
        <f t="shared" si="1838"/>
        <v>367</v>
      </c>
      <c r="CR222" s="74">
        <f t="shared" si="1839"/>
        <v>403</v>
      </c>
      <c r="CS222" s="74">
        <f t="shared" si="1840"/>
        <v>429</v>
      </c>
      <c r="CT222" s="23">
        <f t="shared" si="1841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395"/>
        <v>glr_human_4L6R</v>
      </c>
      <c r="B223" s="3" t="s">
        <v>32</v>
      </c>
      <c r="C223" s="3" t="s">
        <v>51</v>
      </c>
      <c r="D223" s="3" t="str">
        <f>IFERROR(MID(VLOOKUP($B223,Seqs!$A:$B,2,0),E223,1),"")</f>
        <v>G</v>
      </c>
      <c r="E223" s="3">
        <v>125</v>
      </c>
      <c r="F223" s="3" t="str">
        <f>IFERROR(MID(VLOOKUP($B223,Seqs!$A:$B,2,0),G223,1),"")</f>
        <v>G</v>
      </c>
      <c r="G223" s="3">
        <v>164</v>
      </c>
      <c r="H223" s="3" t="str">
        <f>IFERROR(MID(VLOOKUP($B223,Seqs!$A:$B,2,0),I223,1),"")</f>
        <v>S</v>
      </c>
      <c r="I223" s="23">
        <v>167</v>
      </c>
      <c r="J223" s="3" t="str">
        <f>IFERROR(MID(VLOOKUP($B223,Seqs!$A:$B,2,0),K223,1),"")</f>
        <v>H</v>
      </c>
      <c r="K223" s="23">
        <v>170</v>
      </c>
      <c r="L223" s="3" t="str">
        <f>IFERROR(MID(VLOOKUP($B223,Seqs!$A:$B,2,0),M223,1),"")</f>
        <v>C</v>
      </c>
      <c r="M223" s="23">
        <v>171</v>
      </c>
      <c r="N223" s="3" t="str">
        <f>IFERROR(MID(VLOOKUP($B223,Seqs!$A:$B,2,0),O223,1),"")</f>
        <v>R</v>
      </c>
      <c r="O223" s="3">
        <v>199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S</v>
      </c>
      <c r="U223" s="3">
        <v>217</v>
      </c>
      <c r="V223" s="3" t="str">
        <f>IFERROR(MID(VLOOKUP($B223,Seqs!$A:$B,2,0),W223,1),"")</f>
        <v>L</v>
      </c>
      <c r="W223" s="3">
        <v>255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A</v>
      </c>
      <c r="AC223" s="9">
        <v>274</v>
      </c>
      <c r="AD223" s="3" t="str">
        <f>IFERROR(MID(VLOOKUP($B223,Seqs!$A:$B,2,0),AE223,1),"")</f>
        <v>E</v>
      </c>
      <c r="AE223" s="3">
        <v>290</v>
      </c>
      <c r="AF223" s="3" t="str">
        <f>IFERROR(MID(VLOOKUP($B223,Seqs!$A:$B,2,0),AG223,1),"")</f>
        <v>C</v>
      </c>
      <c r="AG223" s="3">
        <v>294</v>
      </c>
      <c r="AH223" s="3" t="str">
        <f>IFERROR(MID(VLOOKUP($B223,Seqs!$A:$B,2,0),AI223,1),"")</f>
        <v>T</v>
      </c>
      <c r="AI223" s="3">
        <v>296</v>
      </c>
      <c r="AJ223" s="3" t="str">
        <f>IFERROR(MID(VLOOKUP($B223,Seqs!$A:$B,2,0),AK223,1),"")</f>
        <v>N</v>
      </c>
      <c r="AK223" s="3">
        <v>300</v>
      </c>
      <c r="AL223" s="3" t="str">
        <f>IFERROR(MID(VLOOKUP($B223,Seqs!$A:$B,2,0),AM223,1),"")</f>
        <v>A</v>
      </c>
      <c r="AM223" s="3">
        <v>335</v>
      </c>
      <c r="AN223" s="3" t="str">
        <f>IFERROR(MID(VLOOKUP($B223,Seqs!$A:$B,2,0),AO223,1),"")</f>
        <v>D</v>
      </c>
      <c r="AO223" s="3">
        <v>342</v>
      </c>
      <c r="AP223" s="3" t="str">
        <f>IFERROR(MID(VLOOKUP($B223,Seqs!$A:$B,2,0),AQ223,1),"")</f>
        <v>F</v>
      </c>
      <c r="AQ223" s="3">
        <v>367</v>
      </c>
      <c r="AR223" s="3" t="str">
        <f>IFERROR(MID(VLOOKUP($B223,Seqs!$A:$B,2,0),AS223,1),"")</f>
        <v>Q</v>
      </c>
      <c r="AS223" s="3">
        <v>374</v>
      </c>
      <c r="AT223" s="3" t="str">
        <f>IFERROR(MID(VLOOKUP($B223,Seqs!$A:$B,2,0),AU223,1),"")</f>
        <v>L</v>
      </c>
      <c r="AU223" s="3">
        <v>403</v>
      </c>
      <c r="AV223" s="3" t="str">
        <f>IFERROR(MID(VLOOKUP($B223,Seqs!$A:$B,2,0),AW223,1),"")</f>
        <v>N</v>
      </c>
      <c r="AW223" s="3">
        <v>404</v>
      </c>
      <c r="AX223" s="3" t="str">
        <f>IFERROR(MID(VLOOKUP($B223,Seqs!$A:$B,2,0),AY223,1),"")</f>
        <v>N</v>
      </c>
      <c r="AY223" s="3">
        <v>429</v>
      </c>
      <c r="AZ223" s="79" t="str">
        <f>VLOOKUP(B223,Classification!A:D,2,0)</f>
        <v>B1</v>
      </c>
      <c r="BA223" s="96" t="str">
        <f>VLOOKUP(B223,Classification!A:D,4,0)</f>
        <v>Glucagonreceptorfamily</v>
      </c>
      <c r="BB223" s="27" t="b">
        <f t="shared" si="1396"/>
        <v>1</v>
      </c>
      <c r="BC223" s="23">
        <f t="shared" si="1816"/>
        <v>252</v>
      </c>
      <c r="BD223" s="2" t="s">
        <v>23</v>
      </c>
      <c r="BE223" s="3" t="s">
        <v>1381</v>
      </c>
      <c r="BF223" s="121">
        <v>3.3</v>
      </c>
      <c r="BG223" s="50" t="s">
        <v>1384</v>
      </c>
      <c r="BH223" s="50" t="s">
        <v>1384</v>
      </c>
      <c r="BI223" s="1"/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817"/>
        <v>125</v>
      </c>
      <c r="BW223" s="73">
        <f t="shared" si="1818"/>
        <v>167</v>
      </c>
      <c r="BX223" s="74">
        <f t="shared" si="1819"/>
        <v>171</v>
      </c>
      <c r="BY223" s="73" t="str">
        <f t="shared" si="1820"/>
        <v>-</v>
      </c>
      <c r="BZ223" s="74">
        <f t="shared" si="1821"/>
        <v>217</v>
      </c>
      <c r="CA223" s="73" t="str">
        <f t="shared" si="1822"/>
        <v>-</v>
      </c>
      <c r="CB223" s="74">
        <f t="shared" si="1823"/>
        <v>274</v>
      </c>
      <c r="CC223" s="73">
        <f t="shared" si="1824"/>
        <v>294</v>
      </c>
      <c r="CD223" s="74">
        <f t="shared" si="1825"/>
        <v>300</v>
      </c>
      <c r="CE223" s="73">
        <f t="shared" si="1826"/>
        <v>342</v>
      </c>
      <c r="CF223" s="74">
        <f t="shared" si="1827"/>
        <v>374</v>
      </c>
      <c r="CG223" s="73">
        <f t="shared" si="1828"/>
        <v>404</v>
      </c>
      <c r="CH223" s="72">
        <f t="shared" si="1829"/>
        <v>164</v>
      </c>
      <c r="CI223" s="73">
        <f t="shared" si="1830"/>
        <v>170</v>
      </c>
      <c r="CJ223" s="74">
        <f t="shared" si="1831"/>
        <v>199</v>
      </c>
      <c r="CK223" s="74" t="str">
        <f t="shared" si="1832"/>
        <v>-</v>
      </c>
      <c r="CL223" s="74">
        <f t="shared" si="1833"/>
        <v>255</v>
      </c>
      <c r="CM223" s="74" t="str">
        <f t="shared" si="1834"/>
        <v>-</v>
      </c>
      <c r="CN223" s="74">
        <f t="shared" si="1835"/>
        <v>290</v>
      </c>
      <c r="CO223" s="74">
        <f t="shared" si="1836"/>
        <v>296</v>
      </c>
      <c r="CP223" s="74">
        <f t="shared" si="1837"/>
        <v>335</v>
      </c>
      <c r="CQ223" s="74">
        <f t="shared" si="1838"/>
        <v>367</v>
      </c>
      <c r="CR223" s="74">
        <f t="shared" si="1839"/>
        <v>403</v>
      </c>
      <c r="CS223" s="74">
        <f t="shared" si="1840"/>
        <v>429</v>
      </c>
      <c r="CT223" s="23">
        <f t="shared" si="1841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395"/>
        <v>glr_human_4L6R_dist</v>
      </c>
      <c r="B224" s="3" t="s">
        <v>32</v>
      </c>
      <c r="C224" s="3" t="s">
        <v>1282</v>
      </c>
      <c r="D224" s="3" t="str">
        <f>IFERROR(MID(VLOOKUP($B224,Seqs!$A:$B,2,0),E224,1),"")</f>
        <v>G</v>
      </c>
      <c r="E224" s="3">
        <v>125</v>
      </c>
      <c r="F224" s="3" t="str">
        <f>IFERROR(MID(VLOOKUP($B224,Seqs!$A:$B,2,0),G224,1),"")</f>
        <v>G</v>
      </c>
      <c r="G224" s="3">
        <v>164</v>
      </c>
      <c r="H224" s="3" t="str">
        <f>IFERROR(MID(VLOOKUP($B224,Seqs!$A:$B,2,0),I224,1),"")</f>
        <v>S</v>
      </c>
      <c r="I224" s="23">
        <v>167</v>
      </c>
      <c r="J224" s="3" t="str">
        <f>IFERROR(MID(VLOOKUP($B224,Seqs!$A:$B,2,0),K224,1),"")</f>
        <v>H</v>
      </c>
      <c r="K224" s="23">
        <v>170</v>
      </c>
      <c r="L224" s="3" t="str">
        <f>IFERROR(MID(VLOOKUP($B224,Seqs!$A:$B,2,0),M224,1),"")</f>
        <v>C</v>
      </c>
      <c r="M224" s="23">
        <v>171</v>
      </c>
      <c r="N224" s="3" t="str">
        <f>IFERROR(MID(VLOOKUP($B224,Seqs!$A:$B,2,0),O224,1),"")</f>
        <v>R</v>
      </c>
      <c r="O224" s="3">
        <v>199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217</v>
      </c>
      <c r="V224" s="3" t="str">
        <f>IFERROR(MID(VLOOKUP($B224,Seqs!$A:$B,2,0),W224,1),"")</f>
        <v>L</v>
      </c>
      <c r="W224" s="3">
        <v>255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262</v>
      </c>
      <c r="AD224" s="3" t="str">
        <f>IFERROR(MID(VLOOKUP($B224,Seqs!$A:$B,2,0),AE224,1),"")</f>
        <v>E</v>
      </c>
      <c r="AE224" s="3">
        <v>290</v>
      </c>
      <c r="AF224" s="3" t="str">
        <f>IFERROR(MID(VLOOKUP($B224,Seqs!$A:$B,2,0),AG224,1),"")</f>
        <v>C</v>
      </c>
      <c r="AG224" s="3">
        <v>294</v>
      </c>
      <c r="AH224" s="3" t="str">
        <f>IFERROR(MID(VLOOKUP($B224,Seqs!$A:$B,2,0),AI224,1),"")</f>
        <v>T</v>
      </c>
      <c r="AI224" s="3">
        <v>296</v>
      </c>
      <c r="AJ224" s="3" t="str">
        <f>IFERROR(MID(VLOOKUP($B224,Seqs!$A:$B,2,0),AK224,1),"")</f>
        <v>N</v>
      </c>
      <c r="AK224" s="3">
        <v>300</v>
      </c>
      <c r="AL224" s="3" t="str">
        <f>IFERROR(MID(VLOOKUP($B224,Seqs!$A:$B,2,0),AM224,1),"")</f>
        <v>A</v>
      </c>
      <c r="AM224" s="3">
        <v>335</v>
      </c>
      <c r="AN224" s="3" t="str">
        <f>IFERROR(MID(VLOOKUP($B224,Seqs!$A:$B,2,0),AO224,1),"")</f>
        <v>D</v>
      </c>
      <c r="AO224" s="3">
        <v>342</v>
      </c>
      <c r="AP224" s="3" t="str">
        <f>IFERROR(MID(VLOOKUP($B224,Seqs!$A:$B,2,0),AQ224,1),"")</f>
        <v>F</v>
      </c>
      <c r="AQ224" s="3">
        <v>367</v>
      </c>
      <c r="AR224" s="3" t="str">
        <f>IFERROR(MID(VLOOKUP($B224,Seqs!$A:$B,2,0),AS224,1),"")</f>
        <v>Q</v>
      </c>
      <c r="AS224" s="3">
        <v>374</v>
      </c>
      <c r="AT224" s="3" t="str">
        <f>IFERROR(MID(VLOOKUP($B224,Seqs!$A:$B,2,0),AU224,1),"")</f>
        <v>L</v>
      </c>
      <c r="AU224" s="3">
        <v>403</v>
      </c>
      <c r="AV224" s="3" t="str">
        <f>IFERROR(MID(VLOOKUP($B224,Seqs!$A:$B,2,0),AW224,1),"")</f>
        <v>N</v>
      </c>
      <c r="AW224" s="3">
        <v>404</v>
      </c>
      <c r="AX224" s="3" t="str">
        <f>IFERROR(MID(VLOOKUP($B224,Seqs!$A:$B,2,0),AY224,1),"")</f>
        <v>N</v>
      </c>
      <c r="AY224" s="3">
        <v>429</v>
      </c>
      <c r="AZ224" s="79" t="str">
        <f>VLOOKUP(B224,Classification!A:D,2,0)</f>
        <v>B1</v>
      </c>
      <c r="BA224" s="96" t="str">
        <f>VLOOKUP(B224,Classification!A:D,4,0)</f>
        <v>Glucagonreceptorfamily</v>
      </c>
      <c r="BB224" s="27" t="b">
        <f t="shared" si="1396"/>
        <v>1</v>
      </c>
      <c r="BC224" s="23">
        <f t="shared" si="1816"/>
        <v>264</v>
      </c>
      <c r="BD224" s="57" t="s">
        <v>1379</v>
      </c>
      <c r="BE224" s="3" t="s">
        <v>1381</v>
      </c>
      <c r="BF224" s="121">
        <v>3.3</v>
      </c>
      <c r="BG224" s="50" t="s">
        <v>1384</v>
      </c>
      <c r="BH224" s="50" t="s">
        <v>1384</v>
      </c>
      <c r="BI224" s="1"/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817"/>
        <v>125</v>
      </c>
      <c r="BW224" s="73">
        <f t="shared" si="1818"/>
        <v>167</v>
      </c>
      <c r="BX224" s="74">
        <f t="shared" si="1819"/>
        <v>171</v>
      </c>
      <c r="BY224" s="73" t="str">
        <f t="shared" si="1820"/>
        <v>-</v>
      </c>
      <c r="BZ224" s="74">
        <f t="shared" si="1821"/>
        <v>217</v>
      </c>
      <c r="CA224" s="73" t="str">
        <f t="shared" si="1822"/>
        <v>-</v>
      </c>
      <c r="CB224" s="74">
        <f t="shared" si="1823"/>
        <v>262</v>
      </c>
      <c r="CC224" s="73">
        <f t="shared" si="1824"/>
        <v>294</v>
      </c>
      <c r="CD224" s="74">
        <f t="shared" si="1825"/>
        <v>300</v>
      </c>
      <c r="CE224" s="73">
        <f t="shared" si="1826"/>
        <v>342</v>
      </c>
      <c r="CF224" s="74">
        <f t="shared" si="1827"/>
        <v>374</v>
      </c>
      <c r="CG224" s="73">
        <f t="shared" si="1828"/>
        <v>404</v>
      </c>
      <c r="CH224" s="72">
        <f t="shared" si="1829"/>
        <v>164</v>
      </c>
      <c r="CI224" s="73">
        <f t="shared" si="1830"/>
        <v>170</v>
      </c>
      <c r="CJ224" s="74">
        <f t="shared" si="1831"/>
        <v>199</v>
      </c>
      <c r="CK224" s="74" t="str">
        <f t="shared" si="1832"/>
        <v>-</v>
      </c>
      <c r="CL224" s="74">
        <f t="shared" si="1833"/>
        <v>255</v>
      </c>
      <c r="CM224" s="74" t="str">
        <f t="shared" si="1834"/>
        <v>-</v>
      </c>
      <c r="CN224" s="74">
        <f t="shared" si="1835"/>
        <v>290</v>
      </c>
      <c r="CO224" s="74">
        <f t="shared" si="1836"/>
        <v>296</v>
      </c>
      <c r="CP224" s="74">
        <f t="shared" si="1837"/>
        <v>335</v>
      </c>
      <c r="CQ224" s="74">
        <f t="shared" si="1838"/>
        <v>367</v>
      </c>
      <c r="CR224" s="74">
        <f t="shared" si="1839"/>
        <v>403</v>
      </c>
      <c r="CS224" s="74">
        <f t="shared" si="1840"/>
        <v>429</v>
      </c>
      <c r="CT224" s="23">
        <f t="shared" si="1841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ref="A225:A248" si="1842">CONCATENATE(B225,"_",C225)</f>
        <v>glr_human_5EE7</v>
      </c>
      <c r="B225" s="3" t="s">
        <v>32</v>
      </c>
      <c r="C225" s="3" t="s">
        <v>49</v>
      </c>
      <c r="D225" s="3" t="str">
        <f>IFERROR(MID(VLOOKUP($B225,Seqs!$A:$B,2,0),E225,1),"")</f>
        <v>Y</v>
      </c>
      <c r="E225" s="3">
        <v>138</v>
      </c>
      <c r="F225" s="3" t="str">
        <f>IFERROR(MID(VLOOKUP($B225,Seqs!$A:$B,2,0),G225,1),"")</f>
        <v>L</v>
      </c>
      <c r="G225" s="3">
        <v>166</v>
      </c>
      <c r="H225" s="3" t="str">
        <f>IFERROR(MID(VLOOKUP($B225,Seqs!$A:$B,2,0),I225,1),"")</f>
        <v>S</v>
      </c>
      <c r="I225" s="23">
        <v>167</v>
      </c>
      <c r="J225" s="3" t="str">
        <f>IFERROR(MID(VLOOKUP($B225,Seqs!$A:$B,2,0),K225,1),"")</f>
        <v>H</v>
      </c>
      <c r="K225" s="23">
        <v>170</v>
      </c>
      <c r="L225" s="3" t="str">
        <f>IFERROR(MID(VLOOKUP($B225,Seqs!$A:$B,2,0),M225,1),"")</f>
        <v>C</v>
      </c>
      <c r="M225" s="23">
        <v>171</v>
      </c>
      <c r="N225" s="3" t="str">
        <f>IFERROR(MID(VLOOKUP($B225,Seqs!$A:$B,2,0),O225,1),"")</f>
        <v>R</v>
      </c>
      <c r="O225" s="3">
        <v>199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D</v>
      </c>
      <c r="U225" s="3">
        <v>218</v>
      </c>
      <c r="V225" s="3" t="str">
        <f>IFERROR(MID(VLOOKUP($B225,Seqs!$A:$B,2,0),W225,1),"")</f>
        <v>G</v>
      </c>
      <c r="W225" s="3">
        <v>254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S</v>
      </c>
      <c r="AC225" s="9">
        <v>262</v>
      </c>
      <c r="AD225" s="3" t="str">
        <f>IFERROR(MID(VLOOKUP($B225,Seqs!$A:$B,2,0),AE225,1),"")</f>
        <v>E</v>
      </c>
      <c r="AE225" s="3">
        <v>290</v>
      </c>
      <c r="AF225" s="3" t="str">
        <f>IFERROR(MID(VLOOKUP($B225,Seqs!$A:$B,2,0),AG225,1),"")</f>
        <v>C</v>
      </c>
      <c r="AG225" s="3">
        <v>294</v>
      </c>
      <c r="AH225" s="3" t="str">
        <f>IFERROR(MID(VLOOKUP($B225,Seqs!$A:$B,2,0),AI225,1),"")</f>
        <v>T</v>
      </c>
      <c r="AI225" s="3">
        <v>296</v>
      </c>
      <c r="AJ225" s="3" t="str">
        <f>IFERROR(MID(VLOOKUP($B225,Seqs!$A:$B,2,0),AK225,1),"")</f>
        <v>R</v>
      </c>
      <c r="AK225" s="107">
        <v>308</v>
      </c>
      <c r="AL225" s="3" t="str">
        <f>IFERROR(MID(VLOOKUP($B225,Seqs!$A:$B,2,0),AM225,1),"")</f>
        <v>A</v>
      </c>
      <c r="AM225" s="3">
        <v>335</v>
      </c>
      <c r="AN225" s="3" t="str">
        <f>IFERROR(MID(VLOOKUP($B225,Seqs!$A:$B,2,0),AO225,1),"")</f>
        <v>D</v>
      </c>
      <c r="AO225" s="3">
        <v>342</v>
      </c>
      <c r="AP225" s="3" t="str">
        <f>IFERROR(MID(VLOOKUP($B225,Seqs!$A:$B,2,0),AQ225,1),"")</f>
        <v>D</v>
      </c>
      <c r="AQ225" s="3">
        <v>370</v>
      </c>
      <c r="AR225" s="3" t="str">
        <f>IFERROR(MID(VLOOKUP($B225,Seqs!$A:$B,2,0),AS225,1),"")</f>
        <v>S</v>
      </c>
      <c r="AS225" s="3">
        <v>379</v>
      </c>
      <c r="AT225" s="3" t="str">
        <f>IFERROR(MID(VLOOKUP($B225,Seqs!$A:$B,2,0),AU225,1),"")</f>
        <v>F</v>
      </c>
      <c r="AU225" s="3">
        <v>402</v>
      </c>
      <c r="AV225" s="3" t="str">
        <f>IFERROR(MID(VLOOKUP($B225,Seqs!$A:$B,2,0),AW225,1),"")</f>
        <v>N</v>
      </c>
      <c r="AW225" s="3">
        <v>404</v>
      </c>
      <c r="AX225" s="3" t="str">
        <f>IFERROR(MID(VLOOKUP($B225,Seqs!$A:$B,2,0),AY225,1),"")</f>
        <v>R</v>
      </c>
      <c r="AY225" s="3">
        <v>417</v>
      </c>
      <c r="AZ225" s="79" t="str">
        <f>VLOOKUP(B225,Classification!A:D,2,0)</f>
        <v>B1</v>
      </c>
      <c r="BA225" s="96" t="str">
        <f>VLOOKUP(B225,Classification!A:D,4,0)</f>
        <v>Glucagonreceptorfamily</v>
      </c>
      <c r="BB225" s="27" t="b">
        <f t="shared" ref="BB225:BB248" si="1843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si="1816"/>
        <v>228</v>
      </c>
      <c r="BD225" s="4" t="s">
        <v>23</v>
      </c>
      <c r="BE225" s="3" t="s">
        <v>1381</v>
      </c>
      <c r="BF225" s="121">
        <v>2.5</v>
      </c>
      <c r="BG225" s="50" t="s">
        <v>1384</v>
      </c>
      <c r="BH225" s="50" t="s">
        <v>1384</v>
      </c>
      <c r="BI225" s="1"/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817"/>
        <v>138</v>
      </c>
      <c r="BW225" s="73">
        <f t="shared" si="1818"/>
        <v>167</v>
      </c>
      <c r="BX225" s="74">
        <f t="shared" si="1819"/>
        <v>171</v>
      </c>
      <c r="BY225" s="73" t="str">
        <f t="shared" si="1820"/>
        <v>-</v>
      </c>
      <c r="BZ225" s="74">
        <f t="shared" si="1821"/>
        <v>218</v>
      </c>
      <c r="CA225" s="73" t="str">
        <f t="shared" si="1822"/>
        <v>-</v>
      </c>
      <c r="CB225" s="74">
        <f t="shared" si="1823"/>
        <v>262</v>
      </c>
      <c r="CC225" s="73">
        <f t="shared" si="1824"/>
        <v>294</v>
      </c>
      <c r="CD225" s="74">
        <f t="shared" si="1825"/>
        <v>308</v>
      </c>
      <c r="CE225" s="73">
        <f t="shared" si="1826"/>
        <v>342</v>
      </c>
      <c r="CF225" s="74">
        <f t="shared" si="1827"/>
        <v>379</v>
      </c>
      <c r="CG225" s="73">
        <f t="shared" si="1828"/>
        <v>404</v>
      </c>
      <c r="CH225" s="72">
        <f t="shared" si="1829"/>
        <v>166</v>
      </c>
      <c r="CI225" s="73">
        <f t="shared" si="1830"/>
        <v>170</v>
      </c>
      <c r="CJ225" s="74">
        <f t="shared" si="1831"/>
        <v>199</v>
      </c>
      <c r="CK225" s="74" t="str">
        <f t="shared" si="1832"/>
        <v>-</v>
      </c>
      <c r="CL225" s="74">
        <f t="shared" si="1833"/>
        <v>254</v>
      </c>
      <c r="CM225" s="74" t="str">
        <f t="shared" si="1834"/>
        <v>-</v>
      </c>
      <c r="CN225" s="74">
        <f t="shared" si="1835"/>
        <v>290</v>
      </c>
      <c r="CO225" s="74">
        <f t="shared" si="1836"/>
        <v>296</v>
      </c>
      <c r="CP225" s="74">
        <f t="shared" si="1837"/>
        <v>335</v>
      </c>
      <c r="CQ225" s="74">
        <f t="shared" si="1838"/>
        <v>370</v>
      </c>
      <c r="CR225" s="74">
        <f t="shared" si="1839"/>
        <v>402</v>
      </c>
      <c r="CS225" s="74">
        <f t="shared" si="1840"/>
        <v>417</v>
      </c>
      <c r="CT225" s="23">
        <f t="shared" si="1841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ref="A226" si="1844">CONCATENATE(B226,"_",C226)</f>
        <v>glr_human_5XEZ</v>
      </c>
      <c r="B226" s="3" t="s">
        <v>32</v>
      </c>
      <c r="C226" s="3" t="s">
        <v>1419</v>
      </c>
      <c r="D226" s="3" t="str">
        <f>IFERROR(MID(VLOOKUP($B226,Seqs!$A:$B,2,0),E226,1),"")</f>
        <v>Q</v>
      </c>
      <c r="E226" s="3">
        <v>131</v>
      </c>
      <c r="F226" s="3" t="str">
        <f>IFERROR(MID(VLOOKUP($B226,Seqs!$A:$B,2,0),G226,1),"")</f>
        <v>G</v>
      </c>
      <c r="G226" s="3">
        <v>164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3">
        <v>201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E</v>
      </c>
      <c r="AC226" s="3">
        <v>260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G</v>
      </c>
      <c r="AK226" s="3">
        <v>302</v>
      </c>
      <c r="AL226" s="3" t="str">
        <f>IFERROR(MID(VLOOKUP($B226,Seqs!$A:$B,2,0),AM226,1),"")</f>
        <v>R</v>
      </c>
      <c r="AM226" s="3">
        <v>334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G</v>
      </c>
      <c r="AS226" s="3">
        <v>375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W</v>
      </c>
      <c r="AY226" s="3">
        <v>415</v>
      </c>
      <c r="AZ226" s="79" t="str">
        <f>VLOOKUP(B226,Classification!A:D,2,0)</f>
        <v>B1</v>
      </c>
      <c r="BA226" s="96" t="str">
        <f>VLOOKUP(B226,Classification!A:D,4,0)</f>
        <v>Glucagonreceptorfamily</v>
      </c>
      <c r="BB226" s="27" t="b">
        <f t="shared" ref="BB226" si="1845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" si="1846">_xlfn.AGGREGATE(9,6,CH226:CS226)-_xlfn.AGGREGATE(9,6,BV226:CG226)+12</f>
        <v>244</v>
      </c>
      <c r="BD226" s="4" t="s">
        <v>1383</v>
      </c>
      <c r="BE226" s="3" t="s">
        <v>1381</v>
      </c>
      <c r="BF226" s="121">
        <v>3</v>
      </c>
      <c r="BG226" s="50" t="s">
        <v>1287</v>
      </c>
      <c r="BH226" s="50" t="s">
        <v>1287</v>
      </c>
      <c r="BI226" s="1"/>
      <c r="BJ226" s="72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2">
        <f t="shared" ref="BV226" si="1847">E226</f>
        <v>131</v>
      </c>
      <c r="BW226" s="73">
        <f t="shared" ref="BW226" si="1848">I226</f>
        <v>167</v>
      </c>
      <c r="BX226" s="74">
        <f t="shared" ref="BX226" si="1849">M226</f>
        <v>171</v>
      </c>
      <c r="BY226" s="73" t="str">
        <f t="shared" ref="BY226" si="1850">Q226</f>
        <v>-</v>
      </c>
      <c r="BZ226" s="74">
        <f t="shared" ref="BZ226" si="1851">U226</f>
        <v>217</v>
      </c>
      <c r="CA226" s="73" t="str">
        <f t="shared" ref="CA226" si="1852">Y226</f>
        <v>-</v>
      </c>
      <c r="CB226" s="74">
        <f t="shared" ref="CB226" si="1853">AC226</f>
        <v>260</v>
      </c>
      <c r="CC226" s="73">
        <f t="shared" ref="CC226" si="1854">AG226</f>
        <v>294</v>
      </c>
      <c r="CD226" s="74">
        <f t="shared" ref="CD226" si="1855">AK226</f>
        <v>302</v>
      </c>
      <c r="CE226" s="73">
        <f t="shared" ref="CE226" si="1856">AO226</f>
        <v>342</v>
      </c>
      <c r="CF226" s="74">
        <f t="shared" ref="CF226" si="1857">AS226</f>
        <v>375</v>
      </c>
      <c r="CG226" s="73">
        <f t="shared" ref="CG226" si="1858">AW226</f>
        <v>404</v>
      </c>
      <c r="CH226" s="72">
        <f t="shared" ref="CH226" si="1859">G226</f>
        <v>164</v>
      </c>
      <c r="CI226" s="73">
        <f t="shared" ref="CI226" si="1860">K226</f>
        <v>170</v>
      </c>
      <c r="CJ226" s="74">
        <f t="shared" ref="CJ226" si="1861">O226</f>
        <v>201</v>
      </c>
      <c r="CK226" s="74" t="str">
        <f t="shared" ref="CK226" si="1862">S226</f>
        <v>-</v>
      </c>
      <c r="CL226" s="74">
        <f t="shared" ref="CL226" si="1863">W226</f>
        <v>255</v>
      </c>
      <c r="CM226" s="74" t="str">
        <f t="shared" ref="CM226" si="1864">AA226</f>
        <v>-</v>
      </c>
      <c r="CN226" s="74">
        <f t="shared" ref="CN226" si="1865">AE226</f>
        <v>290</v>
      </c>
      <c r="CO226" s="74">
        <f t="shared" ref="CO226" si="1866">AI226</f>
        <v>296</v>
      </c>
      <c r="CP226" s="74">
        <f t="shared" ref="CP226" si="1867">AM226</f>
        <v>334</v>
      </c>
      <c r="CQ226" s="74">
        <f t="shared" ref="CQ226" si="1868">AQ226</f>
        <v>367</v>
      </c>
      <c r="CR226" s="74">
        <f t="shared" ref="CR226" si="1869">AU226</f>
        <v>403</v>
      </c>
      <c r="CS226" s="74">
        <f t="shared" ref="CS226" si="1870">AY226</f>
        <v>415</v>
      </c>
      <c r="CT226" s="23">
        <f t="shared" ref="CT226" si="1871"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ref="A227" si="1872">CONCATENATE(B227,"_",C227)</f>
        <v>glr_human_5XF1</v>
      </c>
      <c r="B227" s="3" t="s">
        <v>32</v>
      </c>
      <c r="C227" s="3" t="s">
        <v>1420</v>
      </c>
      <c r="D227" s="3" t="str">
        <f>IFERROR(MID(VLOOKUP($B227,Seqs!$A:$B,2,0),E227,1),"")</f>
        <v>Q</v>
      </c>
      <c r="E227" s="3">
        <v>131</v>
      </c>
      <c r="F227" s="3" t="str">
        <f>IFERROR(MID(VLOOKUP($B227,Seqs!$A:$B,2,0),G227,1),"")</f>
        <v>L</v>
      </c>
      <c r="G227" s="3">
        <v>166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N</v>
      </c>
      <c r="M227" s="23">
        <v>174</v>
      </c>
      <c r="N227" s="3" t="str">
        <f>IFERROR(MID(VLOOKUP($B227,Seqs!$A:$B,2,0),O227,1),"")</f>
        <v>R</v>
      </c>
      <c r="O227" s="3">
        <v>201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217</v>
      </c>
      <c r="V227" s="3" t="str">
        <f>IFERROR(MID(VLOOKUP($B227,Seqs!$A:$B,2,0),W227,1),"")</f>
        <v>L</v>
      </c>
      <c r="W227" s="3">
        <v>255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261</v>
      </c>
      <c r="AD227" s="3" t="str">
        <f>IFERROR(MID(VLOOKUP($B227,Seqs!$A:$B,2,0),AE227,1),"")</f>
        <v>F</v>
      </c>
      <c r="AE227" s="3">
        <v>289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D</v>
      </c>
      <c r="AK227" s="3">
        <v>299</v>
      </c>
      <c r="AL227" s="3" t="str">
        <f>IFERROR(MID(VLOOKUP($B227,Seqs!$A:$B,2,0),AM227,1),"")</f>
        <v>L</v>
      </c>
      <c r="AM227" s="3">
        <v>333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V</v>
      </c>
      <c r="AQ227" s="3">
        <v>368</v>
      </c>
      <c r="AR227" s="3" t="str">
        <f>IFERROR(MID(VLOOKUP($B227,Seqs!$A:$B,2,0),AS227,1),"")</f>
        <v>L</v>
      </c>
      <c r="AS227" s="3">
        <v>377</v>
      </c>
      <c r="AT227" s="3" t="str">
        <f>IFERROR(MID(VLOOKUP($B227,Seqs!$A:$B,2,0),AU227,1),"")</f>
        <v>L</v>
      </c>
      <c r="AU227" s="3">
        <v>403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W</v>
      </c>
      <c r="AY227" s="3">
        <v>415</v>
      </c>
      <c r="AZ227" s="79" t="str">
        <f>VLOOKUP(B227,Classification!A:D,2,0)</f>
        <v>B1</v>
      </c>
      <c r="BA227" s="96" t="str">
        <f>VLOOKUP(B227,Classification!A:D,4,0)</f>
        <v>Glucagonreceptorfamily</v>
      </c>
      <c r="BB227" s="27" t="b">
        <f t="shared" ref="BB227" si="1873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" si="1874">_xlfn.AGGREGATE(9,6,CH227:CS227)-_xlfn.AGGREGATE(9,6,BV227:CG227)+12</f>
        <v>242</v>
      </c>
      <c r="BD227" s="4" t="s">
        <v>23</v>
      </c>
      <c r="BE227" s="3" t="s">
        <v>1381</v>
      </c>
      <c r="BF227" s="121">
        <v>3.19</v>
      </c>
      <c r="BG227" s="50" t="s">
        <v>1287</v>
      </c>
      <c r="BH227" s="50" t="s">
        <v>1287</v>
      </c>
      <c r="BI227" s="1"/>
      <c r="BJ227" s="72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2">
        <f t="shared" ref="BV227" si="1875">E227</f>
        <v>131</v>
      </c>
      <c r="BW227" s="73">
        <f t="shared" ref="BW227" si="1876">I227</f>
        <v>167</v>
      </c>
      <c r="BX227" s="74">
        <f t="shared" ref="BX227" si="1877">M227</f>
        <v>174</v>
      </c>
      <c r="BY227" s="73" t="str">
        <f t="shared" ref="BY227" si="1878">Q227</f>
        <v>-</v>
      </c>
      <c r="BZ227" s="74">
        <f t="shared" ref="BZ227" si="1879">U227</f>
        <v>217</v>
      </c>
      <c r="CA227" s="73" t="str">
        <f t="shared" ref="CA227" si="1880">Y227</f>
        <v>-</v>
      </c>
      <c r="CB227" s="74">
        <f t="shared" ref="CB227" si="1881">AC227</f>
        <v>261</v>
      </c>
      <c r="CC227" s="73">
        <f t="shared" ref="CC227" si="1882">AG227</f>
        <v>294</v>
      </c>
      <c r="CD227" s="74">
        <f t="shared" ref="CD227" si="1883">AK227</f>
        <v>299</v>
      </c>
      <c r="CE227" s="73">
        <f t="shared" ref="CE227" si="1884">AO227</f>
        <v>342</v>
      </c>
      <c r="CF227" s="74">
        <f t="shared" ref="CF227" si="1885">AS227</f>
        <v>377</v>
      </c>
      <c r="CG227" s="73">
        <f t="shared" ref="CG227" si="1886">AW227</f>
        <v>404</v>
      </c>
      <c r="CH227" s="72">
        <f t="shared" ref="CH227" si="1887">G227</f>
        <v>166</v>
      </c>
      <c r="CI227" s="73">
        <f t="shared" ref="CI227" si="1888">K227</f>
        <v>170</v>
      </c>
      <c r="CJ227" s="74">
        <f t="shared" ref="CJ227" si="1889">O227</f>
        <v>201</v>
      </c>
      <c r="CK227" s="74" t="str">
        <f t="shared" ref="CK227" si="1890">S227</f>
        <v>-</v>
      </c>
      <c r="CL227" s="74">
        <f t="shared" ref="CL227" si="1891">W227</f>
        <v>255</v>
      </c>
      <c r="CM227" s="74" t="str">
        <f t="shared" ref="CM227" si="1892">AA227</f>
        <v>-</v>
      </c>
      <c r="CN227" s="74">
        <f t="shared" ref="CN227" si="1893">AE227</f>
        <v>289</v>
      </c>
      <c r="CO227" s="74">
        <f t="shared" ref="CO227" si="1894">AI227</f>
        <v>296</v>
      </c>
      <c r="CP227" s="74">
        <f t="shared" ref="CP227" si="1895">AM227</f>
        <v>333</v>
      </c>
      <c r="CQ227" s="74">
        <f t="shared" ref="CQ227" si="1896">AQ227</f>
        <v>368</v>
      </c>
      <c r="CR227" s="74">
        <f t="shared" ref="CR227" si="1897">AU227</f>
        <v>403</v>
      </c>
      <c r="CS227" s="74">
        <f t="shared" ref="CS227" si="1898">AY227</f>
        <v>415</v>
      </c>
      <c r="CT227" s="23">
        <f t="shared" ref="CT227" si="1899">M227-K227</f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s="12" customFormat="1" x14ac:dyDescent="0.2">
      <c r="A228" s="9" t="str">
        <f t="shared" ref="A228" si="1900">CONCATENATE(B228,"_",C228)</f>
        <v>glr_human_5YQZ</v>
      </c>
      <c r="B228" s="9" t="s">
        <v>32</v>
      </c>
      <c r="C228" s="9" t="s">
        <v>1475</v>
      </c>
      <c r="D228" s="9" t="str">
        <f>IFERROR(MID(VLOOKUP($B228,Seqs!$A:$B,2,0),E228,1),"")</f>
        <v>D</v>
      </c>
      <c r="E228" s="9">
        <v>124</v>
      </c>
      <c r="F228" s="9" t="str">
        <f>IFERROR(MID(VLOOKUP($B228,Seqs!$A:$B,2,0),G228,1),"")</f>
        <v>L</v>
      </c>
      <c r="G228" s="9">
        <v>166</v>
      </c>
      <c r="H228" s="9" t="str">
        <f>IFERROR(MID(VLOOKUP($B228,Seqs!$A:$B,2,0),I228,1),"")</f>
        <v>S</v>
      </c>
      <c r="I228" s="111">
        <v>167</v>
      </c>
      <c r="J228" s="9" t="str">
        <f>IFERROR(MID(VLOOKUP($B228,Seqs!$A:$B,2,0),K228,1),"")</f>
        <v>H</v>
      </c>
      <c r="K228" s="111">
        <v>170</v>
      </c>
      <c r="L228" s="9" t="str">
        <f>IFERROR(MID(VLOOKUP($B228,Seqs!$A:$B,2,0),M228,1),"")</f>
        <v>C</v>
      </c>
      <c r="M228" s="111">
        <v>171</v>
      </c>
      <c r="N228" s="9" t="str">
        <f>IFERROR(MID(VLOOKUP($B228,Seqs!$A:$B,2,0),O228,1),"")</f>
        <v>S</v>
      </c>
      <c r="O228" s="9">
        <v>203</v>
      </c>
      <c r="P228" s="9" t="str">
        <f>IFERROR(MID(VLOOKUP($B228,Seqs!$A:$B,2,0),Q228,1),"")</f>
        <v/>
      </c>
      <c r="Q228" s="9" t="s">
        <v>23</v>
      </c>
      <c r="R228" s="9" t="str">
        <f>IFERROR(MID(VLOOKUP($B228,Seqs!$A:$B,2,0),S228,1),"")</f>
        <v/>
      </c>
      <c r="S228" s="9" t="s">
        <v>23</v>
      </c>
      <c r="T228" s="9" t="str">
        <f>IFERROR(MID(VLOOKUP($B228,Seqs!$A:$B,2,0),U228,1),"")</f>
        <v>A</v>
      </c>
      <c r="U228" s="9">
        <v>220</v>
      </c>
      <c r="V228" s="9" t="str">
        <f>IFERROR(MID(VLOOKUP($B228,Seqs!$A:$B,2,0),W228,1),"")</f>
        <v>L</v>
      </c>
      <c r="W228" s="9">
        <v>255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F</v>
      </c>
      <c r="AC228" s="9">
        <v>263</v>
      </c>
      <c r="AD228" s="9" t="str">
        <f>IFERROR(MID(VLOOKUP($B228,Seqs!$A:$B,2,0),AE228,1),"")</f>
        <v>E</v>
      </c>
      <c r="AE228" s="9">
        <v>290</v>
      </c>
      <c r="AF228" s="9" t="str">
        <f>IFERROR(MID(VLOOKUP($B228,Seqs!$A:$B,2,0),AG228,1),"")</f>
        <v>C</v>
      </c>
      <c r="AG228" s="9">
        <v>294</v>
      </c>
      <c r="AH228" s="9" t="str">
        <f>IFERROR(MID(VLOOKUP($B228,Seqs!$A:$B,2,0),AI228,1),"")</f>
        <v>T</v>
      </c>
      <c r="AI228" s="9">
        <v>296</v>
      </c>
      <c r="AJ228" s="9" t="str">
        <f>IFERROR(MID(VLOOKUP($B228,Seqs!$A:$B,2,0),AK228,1),"")</f>
        <v>F</v>
      </c>
      <c r="AK228" s="9">
        <v>303</v>
      </c>
      <c r="AL228" s="9" t="str">
        <f>IFERROR(MID(VLOOKUP($B228,Seqs!$A:$B,2,0),AM228,1),"")</f>
        <v>A</v>
      </c>
      <c r="AM228" s="9">
        <v>335</v>
      </c>
      <c r="AN228" s="9" t="str">
        <f>IFERROR(MID(VLOOKUP($B228,Seqs!$A:$B,2,0),AO228,1),"")</f>
        <v>D</v>
      </c>
      <c r="AO228" s="9">
        <v>342</v>
      </c>
      <c r="AP228" s="9" t="str">
        <f>IFERROR(MID(VLOOKUP($B228,Seqs!$A:$B,2,0),AQ228,1),"")</f>
        <v>T</v>
      </c>
      <c r="AQ228" s="9">
        <v>369</v>
      </c>
      <c r="AR228" s="9" t="str">
        <f>IFERROR(MID(VLOOKUP($B228,Seqs!$A:$B,2,0),AS228,1),"")</f>
        <v>G</v>
      </c>
      <c r="AS228" s="9">
        <v>375</v>
      </c>
      <c r="AT228" s="9" t="str">
        <f>IFERROR(MID(VLOOKUP($B228,Seqs!$A:$B,2,0),AU228,1),"")</f>
        <v>L</v>
      </c>
      <c r="AU228" s="9">
        <v>403</v>
      </c>
      <c r="AV228" s="9" t="str">
        <f>IFERROR(MID(VLOOKUP($B228,Seqs!$A:$B,2,0),AW228,1),"")</f>
        <v>N</v>
      </c>
      <c r="AW228" s="9">
        <v>404</v>
      </c>
      <c r="AX228" s="9" t="str">
        <f>IFERROR(MID(VLOOKUP($B228,Seqs!$A:$B,2,0),AY228,1),"")</f>
        <v>E</v>
      </c>
      <c r="AY228" s="9">
        <v>426</v>
      </c>
      <c r="AZ228" s="112" t="str">
        <f>VLOOKUP(B228,Classification!A:D,2,0)</f>
        <v>B1</v>
      </c>
      <c r="BA228" s="100" t="str">
        <f>VLOOKUP(B228,Classification!A:D,4,0)</f>
        <v>Glucagonreceptorfamily</v>
      </c>
      <c r="BB228" s="37" t="b">
        <f t="shared" ref="BB228" si="1901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11">
        <f t="shared" ref="BC228" si="1902">_xlfn.AGGREGATE(9,6,CH228:CS228)-_xlfn.AGGREGATE(9,6,BV228:CG228)+12</f>
        <v>262</v>
      </c>
      <c r="BD228" s="11" t="s">
        <v>23</v>
      </c>
      <c r="BE228" s="9" t="s">
        <v>1381</v>
      </c>
      <c r="BF228" s="122">
        <v>3</v>
      </c>
      <c r="BG228" s="52" t="s">
        <v>1433</v>
      </c>
      <c r="BH228" s="52" t="s">
        <v>1433</v>
      </c>
      <c r="BJ228" s="113" t="s">
        <v>1293</v>
      </c>
      <c r="BK228" s="114" t="s">
        <v>1293</v>
      </c>
      <c r="BL228" s="114" t="s">
        <v>1293</v>
      </c>
      <c r="BM228" s="114" t="s">
        <v>1293</v>
      </c>
      <c r="BN228" s="114" t="s">
        <v>1293</v>
      </c>
      <c r="BO228" s="114" t="s">
        <v>1293</v>
      </c>
      <c r="BP228" s="114" t="s">
        <v>1293</v>
      </c>
      <c r="BQ228" s="114" t="s">
        <v>1293</v>
      </c>
      <c r="BR228" s="114" t="s">
        <v>1293</v>
      </c>
      <c r="BS228" s="114" t="s">
        <v>1293</v>
      </c>
      <c r="BT228" s="114" t="s">
        <v>1293</v>
      </c>
      <c r="BU228" s="114" t="s">
        <v>1293</v>
      </c>
      <c r="BV228" s="113">
        <f t="shared" ref="BV228" si="1903">E228</f>
        <v>124</v>
      </c>
      <c r="BW228" s="115">
        <f t="shared" ref="BW228" si="1904">I228</f>
        <v>167</v>
      </c>
      <c r="BX228" s="116">
        <f t="shared" ref="BX228" si="1905">M228</f>
        <v>171</v>
      </c>
      <c r="BY228" s="115" t="str">
        <f t="shared" ref="BY228" si="1906">Q228</f>
        <v>-</v>
      </c>
      <c r="BZ228" s="116">
        <f t="shared" ref="BZ228" si="1907">U228</f>
        <v>220</v>
      </c>
      <c r="CA228" s="115" t="str">
        <f t="shared" ref="CA228" si="1908">Y228</f>
        <v>-</v>
      </c>
      <c r="CB228" s="116">
        <f t="shared" ref="CB228" si="1909">AC228</f>
        <v>263</v>
      </c>
      <c r="CC228" s="115">
        <f t="shared" ref="CC228" si="1910">AG228</f>
        <v>294</v>
      </c>
      <c r="CD228" s="116">
        <f t="shared" ref="CD228" si="1911">AK228</f>
        <v>303</v>
      </c>
      <c r="CE228" s="115">
        <f t="shared" ref="CE228" si="1912">AO228</f>
        <v>342</v>
      </c>
      <c r="CF228" s="116">
        <f t="shared" ref="CF228" si="1913">AS228</f>
        <v>375</v>
      </c>
      <c r="CG228" s="115">
        <f t="shared" ref="CG228" si="1914">AW228</f>
        <v>404</v>
      </c>
      <c r="CH228" s="113">
        <f t="shared" ref="CH228" si="1915">G228</f>
        <v>166</v>
      </c>
      <c r="CI228" s="115">
        <f t="shared" ref="CI228" si="1916">K228</f>
        <v>170</v>
      </c>
      <c r="CJ228" s="116">
        <f t="shared" ref="CJ228" si="1917">O228</f>
        <v>203</v>
      </c>
      <c r="CK228" s="116" t="str">
        <f t="shared" ref="CK228" si="1918">S228</f>
        <v>-</v>
      </c>
      <c r="CL228" s="116">
        <f t="shared" ref="CL228" si="1919">W228</f>
        <v>255</v>
      </c>
      <c r="CM228" s="116" t="str">
        <f t="shared" ref="CM228" si="1920">AA228</f>
        <v>-</v>
      </c>
      <c r="CN228" s="116">
        <f t="shared" ref="CN228" si="1921">AE228</f>
        <v>290</v>
      </c>
      <c r="CO228" s="116">
        <f t="shared" ref="CO228" si="1922">AI228</f>
        <v>296</v>
      </c>
      <c r="CP228" s="116">
        <f t="shared" ref="CP228" si="1923">AM228</f>
        <v>335</v>
      </c>
      <c r="CQ228" s="116">
        <f t="shared" ref="CQ228" si="1924">AQ228</f>
        <v>369</v>
      </c>
      <c r="CR228" s="116">
        <f t="shared" ref="CR228" si="1925">AU228</f>
        <v>403</v>
      </c>
      <c r="CS228" s="116">
        <f t="shared" ref="CS228" si="1926">AY228</f>
        <v>426</v>
      </c>
      <c r="CT228" s="111">
        <f t="shared" ref="CT228" si="1927">M228-K228</f>
        <v>1</v>
      </c>
    </row>
    <row r="229" spans="1:1030" x14ac:dyDescent="0.2">
      <c r="A229" s="3" t="str">
        <f t="shared" ref="A229:A231" si="1928">CONCATENATE(B229,"_",C229)</f>
        <v>glp1r_human__wt</v>
      </c>
      <c r="B229" s="3" t="s">
        <v>406</v>
      </c>
      <c r="C229" s="3" t="s">
        <v>100</v>
      </c>
      <c r="D229" s="3" t="str">
        <f>IFERROR(MID(VLOOKUP($B229,Seqs!$A:$B,2,0),E229,1),"")</f>
        <v>E</v>
      </c>
      <c r="E229" s="3">
        <v>138</v>
      </c>
      <c r="F229" s="3" t="str">
        <f>IFERROR(MID(VLOOKUP($B229,Seqs!$A:$B,2,0),G229,1),"")</f>
        <v>F</v>
      </c>
      <c r="G229" s="3">
        <v>169</v>
      </c>
      <c r="H229" s="3" t="str">
        <f>IFERROR(MID(VLOOKUP($B229,Seqs!$A:$B,2,0),I229,1),"")</f>
        <v>R</v>
      </c>
      <c r="I229" s="23">
        <v>170</v>
      </c>
      <c r="J229" s="3" t="str">
        <f>IFERROR(MID(VLOOKUP($B229,Seqs!$A:$B,2,0),K229,1),"")</f>
        <v>H</v>
      </c>
      <c r="K229" s="23">
        <v>173</v>
      </c>
      <c r="L229" s="3" t="str">
        <f>IFERROR(MID(VLOOKUP($B229,Seqs!$A:$B,2,0),M229,1),"")</f>
        <v>C</v>
      </c>
      <c r="M229" s="23">
        <v>174</v>
      </c>
      <c r="N229" s="3" t="str">
        <f>IFERROR(MID(VLOOKUP($B229,Seqs!$A:$B,2,0),O229,1),"")</f>
        <v>S</v>
      </c>
      <c r="O229" s="3">
        <v>206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L</v>
      </c>
      <c r="U229" s="3">
        <v>224</v>
      </c>
      <c r="V229" s="3" t="str">
        <f>IFERROR(MID(VLOOKUP($B229,Seqs!$A:$B,2,0),W229,1),"")</f>
        <v>F</v>
      </c>
      <c r="W229" s="3">
        <v>257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E</v>
      </c>
      <c r="AC229" s="3">
        <v>262</v>
      </c>
      <c r="AD229" s="3" t="str">
        <f>IFERROR(MID(VLOOKUP($B229,Seqs!$A:$B,2,0),AE229,1),"")</f>
        <v>E</v>
      </c>
      <c r="AE229" s="3">
        <v>292</v>
      </c>
      <c r="AF229" s="3" t="str">
        <f>IFERROR(MID(VLOOKUP($B229,Seqs!$A:$B,2,0),AG229,1),"")</f>
        <v>C</v>
      </c>
      <c r="AG229" s="3">
        <v>296</v>
      </c>
      <c r="AH229" s="3" t="str">
        <f>IFERROR(MID(VLOOKUP($B229,Seqs!$A:$B,2,0),AI229,1),"")</f>
        <v>T</v>
      </c>
      <c r="AI229" s="3">
        <v>298</v>
      </c>
      <c r="AJ229" s="3" t="str">
        <f>IFERROR(MID(VLOOKUP($B229,Seqs!$A:$B,2,0),AK229,1),"")</f>
        <v>N</v>
      </c>
      <c r="AK229" s="3">
        <v>302</v>
      </c>
      <c r="AL229" s="3" t="str">
        <f>IFERROR(MID(VLOOKUP($B229,Seqs!$A:$B,2,0),AM229,1),"")</f>
        <v>A</v>
      </c>
      <c r="AM229" s="3">
        <v>337</v>
      </c>
      <c r="AN229" s="3" t="str">
        <f>IFERROR(MID(VLOOKUP($B229,Seqs!$A:$B,2,0),AO229,1),"")</f>
        <v>D</v>
      </c>
      <c r="AO229" s="3">
        <v>344</v>
      </c>
      <c r="AP229" s="3" t="str">
        <f>IFERROR(MID(VLOOKUP($B229,Seqs!$A:$B,2,0),AQ229,1),"")</f>
        <v>F</v>
      </c>
      <c r="AQ229" s="3">
        <v>369</v>
      </c>
      <c r="AR229" s="3" t="str">
        <f>IFERROR(MID(VLOOKUP($B229,Seqs!$A:$B,2,0),AS229,1),"")</f>
        <v>G</v>
      </c>
      <c r="AS229" s="3">
        <v>377</v>
      </c>
      <c r="AT229" s="3" t="str">
        <f>IFERROR(MID(VLOOKUP($B229,Seqs!$A:$B,2,0),AU229,1),"")</f>
        <v>V</v>
      </c>
      <c r="AU229" s="3">
        <v>405</v>
      </c>
      <c r="AV229" s="3" t="str">
        <f>IFERROR(MID(VLOOKUP($B229,Seqs!$A:$B,2,0),AW229,1),"")</f>
        <v>N</v>
      </c>
      <c r="AW229" s="3">
        <v>406</v>
      </c>
      <c r="AX229" s="3" t="str">
        <f>IFERROR(MID(VLOOKUP($B229,Seqs!$A:$B,2,0),AY229,1),"")</f>
        <v>S</v>
      </c>
      <c r="AY229" s="3">
        <v>431</v>
      </c>
      <c r="AZ229" s="79" t="str">
        <f>VLOOKUP(B229,Classification!A:D,2,0)</f>
        <v>B1</v>
      </c>
      <c r="BA229" s="96" t="str">
        <f>VLOOKUP(B229,Classification!A:D,4,0)</f>
        <v>Glucagonreceptorfamily</v>
      </c>
      <c r="BB229" s="27" t="b">
        <f t="shared" ref="BB229:BB231" si="1929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:BC231" si="1930">_xlfn.AGGREGATE(9,6,CH229:CS229)-_xlfn.AGGREGATE(9,6,BV229:CG229)+12</f>
        <v>256</v>
      </c>
      <c r="BD229" s="4" t="s">
        <v>23</v>
      </c>
      <c r="BE229" s="3" t="s">
        <v>23</v>
      </c>
      <c r="BF229" s="121" t="s">
        <v>23</v>
      </c>
      <c r="BG229" s="50" t="s">
        <v>1384</v>
      </c>
      <c r="BH229" s="50" t="s">
        <v>1384</v>
      </c>
      <c r="BI229" s="1"/>
      <c r="BJ229" s="72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2">
        <f t="shared" ref="BV229:BV231" si="1931">E229</f>
        <v>138</v>
      </c>
      <c r="BW229" s="73">
        <f t="shared" ref="BW229:BW231" si="1932">I229</f>
        <v>170</v>
      </c>
      <c r="BX229" s="74">
        <f t="shared" ref="BX229:BX231" si="1933">M229</f>
        <v>174</v>
      </c>
      <c r="BY229" s="73" t="str">
        <f t="shared" ref="BY229:BY231" si="1934">Q229</f>
        <v>-</v>
      </c>
      <c r="BZ229" s="74">
        <f t="shared" ref="BZ229:BZ231" si="1935">U229</f>
        <v>224</v>
      </c>
      <c r="CA229" s="73" t="str">
        <f t="shared" ref="CA229:CA231" si="1936">Y229</f>
        <v>-</v>
      </c>
      <c r="CB229" s="74">
        <f t="shared" ref="CB229:CB231" si="1937">AC229</f>
        <v>262</v>
      </c>
      <c r="CC229" s="73">
        <f t="shared" ref="CC229:CC231" si="1938">AG229</f>
        <v>296</v>
      </c>
      <c r="CD229" s="74">
        <f t="shared" ref="CD229:CD231" si="1939">AK229</f>
        <v>302</v>
      </c>
      <c r="CE229" s="73">
        <f t="shared" ref="CE229:CE231" si="1940">AO229</f>
        <v>344</v>
      </c>
      <c r="CF229" s="74">
        <f t="shared" ref="CF229:CF231" si="1941">AS229</f>
        <v>377</v>
      </c>
      <c r="CG229" s="73">
        <f t="shared" ref="CG229:CG231" si="1942">AW229</f>
        <v>406</v>
      </c>
      <c r="CH229" s="72">
        <f t="shared" ref="CH229:CH231" si="1943">G229</f>
        <v>169</v>
      </c>
      <c r="CI229" s="73">
        <f t="shared" ref="CI229:CI231" si="1944">K229</f>
        <v>173</v>
      </c>
      <c r="CJ229" s="74">
        <f t="shared" ref="CJ229:CJ231" si="1945">O229</f>
        <v>206</v>
      </c>
      <c r="CK229" s="74" t="str">
        <f t="shared" ref="CK229:CK231" si="1946">S229</f>
        <v>-</v>
      </c>
      <c r="CL229" s="74">
        <f t="shared" ref="CL229:CL231" si="1947">W229</f>
        <v>257</v>
      </c>
      <c r="CM229" s="74" t="str">
        <f t="shared" ref="CM229:CM231" si="1948">AA229</f>
        <v>-</v>
      </c>
      <c r="CN229" s="74">
        <f t="shared" ref="CN229:CN231" si="1949">AE229</f>
        <v>292</v>
      </c>
      <c r="CO229" s="74">
        <f t="shared" ref="CO229:CO231" si="1950">AI229</f>
        <v>298</v>
      </c>
      <c r="CP229" s="74">
        <f t="shared" ref="CP229:CP231" si="1951">AM229</f>
        <v>337</v>
      </c>
      <c r="CQ229" s="74">
        <f t="shared" ref="CQ229:CQ231" si="1952">AQ229</f>
        <v>369</v>
      </c>
      <c r="CR229" s="74">
        <f t="shared" ref="CR229:CR231" si="1953">AU229</f>
        <v>405</v>
      </c>
      <c r="CS229" s="74">
        <f t="shared" ref="CS229:CS231" si="1954">AY229</f>
        <v>431</v>
      </c>
      <c r="CT229" s="23">
        <f t="shared" ref="CT229:CT231" si="1955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ref="A230" si="1956">CONCATENATE(B230,"_",C230)</f>
        <v>glp1r_human_5VEW</v>
      </c>
      <c r="B230" s="3" t="s">
        <v>406</v>
      </c>
      <c r="C230" s="3" t="s">
        <v>1416</v>
      </c>
      <c r="D230" s="3" t="str">
        <f>IFERROR(MID(VLOOKUP($B230,Seqs!$A:$B,2,0),E230,1),"")</f>
        <v>S</v>
      </c>
      <c r="E230" s="3">
        <v>136</v>
      </c>
      <c r="F230" s="3" t="str">
        <f>IFERROR(MID(VLOOKUP($B230,Seqs!$A:$B,2,0),G230,1),"")</f>
        <v>F</v>
      </c>
      <c r="G230" s="3">
        <v>169</v>
      </c>
      <c r="H230" s="3" t="str">
        <f>IFERROR(MID(VLOOKUP($B230,Seqs!$A:$B,2,0),I230,1),"")</f>
        <v>R</v>
      </c>
      <c r="I230" s="23">
        <v>170</v>
      </c>
      <c r="J230" s="3" t="str">
        <f>IFERROR(MID(VLOOKUP($B230,Seqs!$A:$B,2,0),K230,1),"")</f>
        <v>H</v>
      </c>
      <c r="K230" s="23">
        <v>173</v>
      </c>
      <c r="L230" s="3" t="str">
        <f>IFERROR(MID(VLOOKUP($B230,Seqs!$A:$B,2,0),M230,1),"")</f>
        <v>C</v>
      </c>
      <c r="M230" s="23">
        <v>174</v>
      </c>
      <c r="N230" s="3" t="str">
        <f>IFERROR(MID(VLOOKUP($B230,Seqs!$A:$B,2,0),O230,1),"")</f>
        <v>L</v>
      </c>
      <c r="O230" s="3">
        <v>201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L</v>
      </c>
      <c r="U230" s="3">
        <v>224</v>
      </c>
      <c r="V230" s="3" t="str">
        <f>IFERROR(MID(VLOOKUP($B230,Seqs!$A:$B,2,0),W230,1),"")</f>
        <v>F</v>
      </c>
      <c r="W230" s="3">
        <v>257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E</v>
      </c>
      <c r="AC230" s="3">
        <v>262</v>
      </c>
      <c r="AD230" s="3" t="str">
        <f>IFERROR(MID(VLOOKUP($B230,Seqs!$A:$B,2,0),AE230,1),"")</f>
        <v>E</v>
      </c>
      <c r="AE230" s="3">
        <v>292</v>
      </c>
      <c r="AF230" s="3" t="str">
        <f>IFERROR(MID(VLOOKUP($B230,Seqs!$A:$B,2,0),AG230,1),"")</f>
        <v>C</v>
      </c>
      <c r="AG230" s="3">
        <v>296</v>
      </c>
      <c r="AH230" s="3" t="str">
        <f>IFERROR(MID(VLOOKUP($B230,Seqs!$A:$B,2,0),AI230,1),"")</f>
        <v>T</v>
      </c>
      <c r="AI230" s="3">
        <v>298</v>
      </c>
      <c r="AJ230" s="3" t="str">
        <f>IFERROR(MID(VLOOKUP($B230,Seqs!$A:$B,2,0),AK230,1),"")</f>
        <v>Y</v>
      </c>
      <c r="AK230" s="3">
        <v>305</v>
      </c>
      <c r="AL230" s="3" t="str">
        <f>IFERROR(MID(VLOOKUP($B230,Seqs!$A:$B,2,0),AM230,1),"")</f>
        <v>A</v>
      </c>
      <c r="AM230" s="3">
        <v>337</v>
      </c>
      <c r="AN230" s="3" t="str">
        <f>IFERROR(MID(VLOOKUP($B230,Seqs!$A:$B,2,0),AO230,1),"")</f>
        <v>D</v>
      </c>
      <c r="AO230" s="3">
        <v>344</v>
      </c>
      <c r="AP230" s="3" t="str">
        <f>IFERROR(MID(VLOOKUP($B230,Seqs!$A:$B,2,0),AQ230,1),"")</f>
        <v>F</v>
      </c>
      <c r="AQ230" s="3">
        <v>367</v>
      </c>
      <c r="AR230" s="3" t="str">
        <f>IFERROR(MID(VLOOKUP($B230,Seqs!$A:$B,2,0),AS230,1),"")</f>
        <v>R</v>
      </c>
      <c r="AS230" s="3">
        <v>380</v>
      </c>
      <c r="AT230" s="3" t="str">
        <f>IFERROR(MID(VLOOKUP($B230,Seqs!$A:$B,2,0),AU230,1),"")</f>
        <v>V</v>
      </c>
      <c r="AU230" s="3">
        <v>405</v>
      </c>
      <c r="AV230" s="3" t="str">
        <f>IFERROR(MID(VLOOKUP($B230,Seqs!$A:$B,2,0),AW230,1),"")</f>
        <v>N</v>
      </c>
      <c r="AW230" s="3">
        <v>406</v>
      </c>
      <c r="AX230" s="3" t="str">
        <f>IFERROR(MID(VLOOKUP($B230,Seqs!$A:$B,2,0),AY230,1),"")</f>
        <v>L</v>
      </c>
      <c r="AY230" s="3">
        <v>422</v>
      </c>
      <c r="AZ230" s="79" t="str">
        <f>VLOOKUP(B230,Classification!A:D,2,0)</f>
        <v>B1</v>
      </c>
      <c r="BA230" s="96" t="str">
        <f>VLOOKUP(B230,Classification!A:D,4,0)</f>
        <v>Glucagonreceptorfamily</v>
      </c>
      <c r="BB230" s="2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958">_xlfn.AGGREGATE(9,6,CH230:CS230)-_xlfn.AGGREGATE(9,6,BV230:CG230)+12</f>
        <v>236</v>
      </c>
      <c r="BD230" s="4" t="s">
        <v>1383</v>
      </c>
      <c r="BE230" s="3" t="s">
        <v>1381</v>
      </c>
      <c r="BF230" s="121">
        <v>2.7</v>
      </c>
      <c r="BG230" s="50" t="s">
        <v>1287</v>
      </c>
      <c r="BH230" s="50" t="s">
        <v>1287</v>
      </c>
      <c r="BI230" s="1"/>
      <c r="BJ230" s="72" t="s">
        <v>1293</v>
      </c>
      <c r="BK230" s="58" t="s">
        <v>1293</v>
      </c>
      <c r="BL230" s="58" t="s">
        <v>1293</v>
      </c>
      <c r="BM230" s="58" t="s">
        <v>1293</v>
      </c>
      <c r="BN230" s="58" t="s">
        <v>1293</v>
      </c>
      <c r="BO230" s="58" t="s">
        <v>1293</v>
      </c>
      <c r="BP230" s="58" t="s">
        <v>1293</v>
      </c>
      <c r="BQ230" s="58" t="s">
        <v>1293</v>
      </c>
      <c r="BR230" s="58" t="s">
        <v>1293</v>
      </c>
      <c r="BS230" s="58" t="s">
        <v>1293</v>
      </c>
      <c r="BT230" s="58" t="s">
        <v>1293</v>
      </c>
      <c r="BU230" s="58" t="s">
        <v>1293</v>
      </c>
      <c r="BV230" s="72">
        <f t="shared" ref="BV230" si="1959">E230</f>
        <v>136</v>
      </c>
      <c r="BW230" s="73">
        <f t="shared" ref="BW230" si="1960">I230</f>
        <v>170</v>
      </c>
      <c r="BX230" s="74">
        <f t="shared" ref="BX230" si="1961">M230</f>
        <v>174</v>
      </c>
      <c r="BY230" s="73" t="str">
        <f t="shared" ref="BY230" si="1962">Q230</f>
        <v>-</v>
      </c>
      <c r="BZ230" s="74">
        <f t="shared" ref="BZ230" si="1963">U230</f>
        <v>224</v>
      </c>
      <c r="CA230" s="73" t="str">
        <f t="shared" ref="CA230" si="1964">Y230</f>
        <v>-</v>
      </c>
      <c r="CB230" s="74">
        <f t="shared" ref="CB230" si="1965">AC230</f>
        <v>262</v>
      </c>
      <c r="CC230" s="73">
        <f t="shared" ref="CC230" si="1966">AG230</f>
        <v>296</v>
      </c>
      <c r="CD230" s="74">
        <f t="shared" ref="CD230" si="1967">AK230</f>
        <v>305</v>
      </c>
      <c r="CE230" s="73">
        <f t="shared" ref="CE230" si="1968">AO230</f>
        <v>344</v>
      </c>
      <c r="CF230" s="74">
        <f t="shared" ref="CF230" si="1969">AS230</f>
        <v>380</v>
      </c>
      <c r="CG230" s="73">
        <f t="shared" ref="CG230" si="1970">AW230</f>
        <v>406</v>
      </c>
      <c r="CH230" s="72">
        <f t="shared" ref="CH230" si="1971">G230</f>
        <v>169</v>
      </c>
      <c r="CI230" s="73">
        <f t="shared" ref="CI230" si="1972">K230</f>
        <v>173</v>
      </c>
      <c r="CJ230" s="74">
        <f t="shared" ref="CJ230" si="1973">O230</f>
        <v>201</v>
      </c>
      <c r="CK230" s="74" t="str">
        <f t="shared" ref="CK230" si="1974">S230</f>
        <v>-</v>
      </c>
      <c r="CL230" s="74">
        <f t="shared" ref="CL230" si="1975">W230</f>
        <v>257</v>
      </c>
      <c r="CM230" s="74" t="str">
        <f t="shared" ref="CM230" si="1976">AA230</f>
        <v>-</v>
      </c>
      <c r="CN230" s="74">
        <f t="shared" ref="CN230" si="1977">AE230</f>
        <v>292</v>
      </c>
      <c r="CO230" s="74">
        <f t="shared" ref="CO230" si="1978">AI230</f>
        <v>298</v>
      </c>
      <c r="CP230" s="74">
        <f t="shared" ref="CP230" si="1979">AM230</f>
        <v>337</v>
      </c>
      <c r="CQ230" s="74">
        <f t="shared" ref="CQ230" si="1980">AQ230</f>
        <v>367</v>
      </c>
      <c r="CR230" s="74">
        <f t="shared" ref="CR230" si="1981">AU230</f>
        <v>405</v>
      </c>
      <c r="CS230" s="74">
        <f t="shared" ref="CS230" si="1982">AY230</f>
        <v>422</v>
      </c>
      <c r="CT230" s="23">
        <f t="shared" ref="CT230" si="1983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928"/>
        <v>glp1r_human_5VEX</v>
      </c>
      <c r="B231" s="3" t="s">
        <v>406</v>
      </c>
      <c r="C231" s="3" t="s">
        <v>1415</v>
      </c>
      <c r="D231" s="3" t="str">
        <f>IFERROR(MID(VLOOKUP($B231,Seqs!$A:$B,2,0),E231,1),"")</f>
        <v>S</v>
      </c>
      <c r="E231" s="3">
        <v>136</v>
      </c>
      <c r="F231" s="3" t="str">
        <f>IFERROR(MID(VLOOKUP($B231,Seqs!$A:$B,2,0),G231,1),"")</f>
        <v>F</v>
      </c>
      <c r="G231" s="3">
        <v>169</v>
      </c>
      <c r="H231" s="3" t="str">
        <f>IFERROR(MID(VLOOKUP($B231,Seqs!$A:$B,2,0),I231,1),"")</f>
        <v>R</v>
      </c>
      <c r="I231" s="23">
        <v>170</v>
      </c>
      <c r="J231" s="3" t="str">
        <f>IFERROR(MID(VLOOKUP($B231,Seqs!$A:$B,2,0),K231,1),"")</f>
        <v>H</v>
      </c>
      <c r="K231" s="23">
        <v>173</v>
      </c>
      <c r="L231" s="3" t="str">
        <f>IFERROR(MID(VLOOKUP($B231,Seqs!$A:$B,2,0),M231,1),"")</f>
        <v>C</v>
      </c>
      <c r="M231" s="23">
        <v>174</v>
      </c>
      <c r="N231" s="3" t="str">
        <f>IFERROR(MID(VLOOKUP($B231,Seqs!$A:$B,2,0),O231,1),"")</f>
        <v>L</v>
      </c>
      <c r="O231" s="3">
        <v>201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L</v>
      </c>
      <c r="U231" s="3">
        <v>224</v>
      </c>
      <c r="V231" s="3" t="str">
        <f>IFERROR(MID(VLOOKUP($B231,Seqs!$A:$B,2,0),W231,1),"")</f>
        <v>F</v>
      </c>
      <c r="W231" s="3">
        <v>257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E</v>
      </c>
      <c r="AC231" s="3">
        <v>262</v>
      </c>
      <c r="AD231" s="3" t="str">
        <f>IFERROR(MID(VLOOKUP($B231,Seqs!$A:$B,2,0),AE231,1),"")</f>
        <v>E</v>
      </c>
      <c r="AE231" s="3">
        <v>292</v>
      </c>
      <c r="AF231" s="3" t="str">
        <f>IFERROR(MID(VLOOKUP($B231,Seqs!$A:$B,2,0),AG231,1),"")</f>
        <v>C</v>
      </c>
      <c r="AG231" s="3">
        <v>296</v>
      </c>
      <c r="AH231" s="3" t="str">
        <f>IFERROR(MID(VLOOKUP($B231,Seqs!$A:$B,2,0),AI231,1),"")</f>
        <v>T</v>
      </c>
      <c r="AI231" s="3">
        <v>298</v>
      </c>
      <c r="AJ231" s="3" t="str">
        <f>IFERROR(MID(VLOOKUP($B231,Seqs!$A:$B,2,0),AK231,1),"")</f>
        <v>Y</v>
      </c>
      <c r="AK231" s="3">
        <v>305</v>
      </c>
      <c r="AL231" s="3" t="str">
        <f>IFERROR(MID(VLOOKUP($B231,Seqs!$A:$B,2,0),AM231,1),"")</f>
        <v>A</v>
      </c>
      <c r="AM231" s="3">
        <v>337</v>
      </c>
      <c r="AN231" s="3" t="str">
        <f>IFERROR(MID(VLOOKUP($B231,Seqs!$A:$B,2,0),AO231,1),"")</f>
        <v>D</v>
      </c>
      <c r="AO231" s="3">
        <v>344</v>
      </c>
      <c r="AP231" s="3" t="str">
        <f>IFERROR(MID(VLOOKUP($B231,Seqs!$A:$B,2,0),AQ231,1),"")</f>
        <v>F</v>
      </c>
      <c r="AQ231" s="3">
        <v>367</v>
      </c>
      <c r="AR231" s="3" t="str">
        <f>IFERROR(MID(VLOOKUP($B231,Seqs!$A:$B,2,0),AS231,1),"")</f>
        <v>R</v>
      </c>
      <c r="AS231" s="3">
        <v>380</v>
      </c>
      <c r="AT231" s="3" t="str">
        <f>IFERROR(MID(VLOOKUP($B231,Seqs!$A:$B,2,0),AU231,1),"")</f>
        <v>V</v>
      </c>
      <c r="AU231" s="3">
        <v>405</v>
      </c>
      <c r="AV231" s="3" t="str">
        <f>IFERROR(MID(VLOOKUP($B231,Seqs!$A:$B,2,0),AW231,1),"")</f>
        <v>N</v>
      </c>
      <c r="AW231" s="3">
        <v>406</v>
      </c>
      <c r="AX231" s="3" t="str">
        <f>IFERROR(MID(VLOOKUP($B231,Seqs!$A:$B,2,0),AY231,1),"")</f>
        <v>L</v>
      </c>
      <c r="AY231" s="3">
        <v>422</v>
      </c>
      <c r="AZ231" s="79" t="str">
        <f>VLOOKUP(B231,Classification!A:D,2,0)</f>
        <v>B1</v>
      </c>
      <c r="BA231" s="96" t="str">
        <f>VLOOKUP(B231,Classification!A:D,4,0)</f>
        <v>Glucagonreceptorfamily</v>
      </c>
      <c r="BB231" s="27" t="b">
        <f t="shared" si="1929"/>
        <v>1</v>
      </c>
      <c r="BC231" s="23">
        <f t="shared" si="1930"/>
        <v>236</v>
      </c>
      <c r="BD231" s="4" t="s">
        <v>23</v>
      </c>
      <c r="BE231" s="3" t="s">
        <v>1381</v>
      </c>
      <c r="BF231" s="121">
        <v>3</v>
      </c>
      <c r="BG231" s="50" t="s">
        <v>1</v>
      </c>
      <c r="BH231" s="50" t="s">
        <v>1</v>
      </c>
      <c r="BI231" s="1"/>
      <c r="BJ231" s="72" t="s">
        <v>1293</v>
      </c>
      <c r="BK231" s="58" t="s">
        <v>1293</v>
      </c>
      <c r="BL231" s="58" t="s">
        <v>1293</v>
      </c>
      <c r="BM231" s="58" t="s">
        <v>1293</v>
      </c>
      <c r="BN231" s="58" t="s">
        <v>1293</v>
      </c>
      <c r="BO231" s="58" t="s">
        <v>1293</v>
      </c>
      <c r="BP231" s="58" t="s">
        <v>1293</v>
      </c>
      <c r="BQ231" s="58" t="s">
        <v>1293</v>
      </c>
      <c r="BR231" s="58" t="s">
        <v>1293</v>
      </c>
      <c r="BS231" s="58" t="s">
        <v>1293</v>
      </c>
      <c r="BT231" s="58" t="s">
        <v>1293</v>
      </c>
      <c r="BU231" s="58" t="s">
        <v>1293</v>
      </c>
      <c r="BV231" s="72">
        <f t="shared" si="1931"/>
        <v>136</v>
      </c>
      <c r="BW231" s="73">
        <f t="shared" si="1932"/>
        <v>170</v>
      </c>
      <c r="BX231" s="74">
        <f t="shared" si="1933"/>
        <v>174</v>
      </c>
      <c r="BY231" s="73" t="str">
        <f t="shared" si="1934"/>
        <v>-</v>
      </c>
      <c r="BZ231" s="74">
        <f t="shared" si="1935"/>
        <v>224</v>
      </c>
      <c r="CA231" s="73" t="str">
        <f t="shared" si="1936"/>
        <v>-</v>
      </c>
      <c r="CB231" s="74">
        <f t="shared" si="1937"/>
        <v>262</v>
      </c>
      <c r="CC231" s="73">
        <f t="shared" si="1938"/>
        <v>296</v>
      </c>
      <c r="CD231" s="74">
        <f t="shared" si="1939"/>
        <v>305</v>
      </c>
      <c r="CE231" s="73">
        <f t="shared" si="1940"/>
        <v>344</v>
      </c>
      <c r="CF231" s="74">
        <f t="shared" si="1941"/>
        <v>380</v>
      </c>
      <c r="CG231" s="73">
        <f t="shared" si="1942"/>
        <v>406</v>
      </c>
      <c r="CH231" s="72">
        <f t="shared" si="1943"/>
        <v>169</v>
      </c>
      <c r="CI231" s="73">
        <f t="shared" si="1944"/>
        <v>173</v>
      </c>
      <c r="CJ231" s="74">
        <f t="shared" si="1945"/>
        <v>201</v>
      </c>
      <c r="CK231" s="74" t="str">
        <f t="shared" si="1946"/>
        <v>-</v>
      </c>
      <c r="CL231" s="74">
        <f t="shared" si="1947"/>
        <v>257</v>
      </c>
      <c r="CM231" s="74" t="str">
        <f t="shared" si="1948"/>
        <v>-</v>
      </c>
      <c r="CN231" s="74">
        <f t="shared" si="1949"/>
        <v>292</v>
      </c>
      <c r="CO231" s="74">
        <f t="shared" si="1950"/>
        <v>298</v>
      </c>
      <c r="CP231" s="74">
        <f t="shared" si="1951"/>
        <v>337</v>
      </c>
      <c r="CQ231" s="74">
        <f t="shared" si="1952"/>
        <v>367</v>
      </c>
      <c r="CR231" s="74">
        <f t="shared" si="1953"/>
        <v>405</v>
      </c>
      <c r="CS231" s="74">
        <f t="shared" si="1954"/>
        <v>422</v>
      </c>
      <c r="CT231" s="23">
        <f t="shared" si="1955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ref="A232" si="1984">CONCATENATE(B232,"_",C232)</f>
        <v>glp1r_human_5NX2</v>
      </c>
      <c r="B232" s="3" t="s">
        <v>406</v>
      </c>
      <c r="C232" s="3" t="s">
        <v>1428</v>
      </c>
      <c r="D232" s="3" t="str">
        <f>IFERROR(MID(VLOOKUP($B232,Seqs!$A:$B,2,0),E232,1),"")</f>
        <v>E</v>
      </c>
      <c r="E232" s="3">
        <v>138</v>
      </c>
      <c r="F232" s="3" t="str">
        <f>IFERROR(MID(VLOOKUP($B232,Seqs!$A:$B,2,0),G232,1),"")</f>
        <v>F</v>
      </c>
      <c r="G232" s="3">
        <v>169</v>
      </c>
      <c r="H232" s="3" t="str">
        <f>IFERROR(MID(VLOOKUP($B232,Seqs!$A:$B,2,0),I232,1),"")</f>
        <v>R</v>
      </c>
      <c r="I232" s="23">
        <v>170</v>
      </c>
      <c r="J232" s="3" t="str">
        <f>IFERROR(MID(VLOOKUP($B232,Seqs!$A:$B,2,0),K232,1),"")</f>
        <v>H</v>
      </c>
      <c r="K232" s="23">
        <v>173</v>
      </c>
      <c r="L232" s="3" t="str">
        <f>IFERROR(MID(VLOOKUP($B232,Seqs!$A:$B,2,0),M232,1),"")</f>
        <v>C</v>
      </c>
      <c r="M232" s="23">
        <v>174</v>
      </c>
      <c r="N232" s="3" t="str">
        <f>IFERROR(MID(VLOOKUP($B232,Seqs!$A:$B,2,0),O232,1),"")</f>
        <v>S</v>
      </c>
      <c r="O232" s="3">
        <v>206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L</v>
      </c>
      <c r="U232" s="3">
        <v>224</v>
      </c>
      <c r="V232" s="3" t="str">
        <f>IFERROR(MID(VLOOKUP($B232,Seqs!$A:$B,2,0),W232,1),"")</f>
        <v>F</v>
      </c>
      <c r="W232" s="3">
        <v>257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E</v>
      </c>
      <c r="AC232" s="3">
        <v>262</v>
      </c>
      <c r="AD232" s="3" t="str">
        <f>IFERROR(MID(VLOOKUP($B232,Seqs!$A:$B,2,0),AE232,1),"")</f>
        <v>Y</v>
      </c>
      <c r="AE232" s="3">
        <v>291</v>
      </c>
      <c r="AF232" s="3" t="str">
        <f>IFERROR(MID(VLOOKUP($B232,Seqs!$A:$B,2,0),AG232,1),"")</f>
        <v>C</v>
      </c>
      <c r="AG232" s="3">
        <v>296</v>
      </c>
      <c r="AH232" s="3" t="str">
        <f>IFERROR(MID(VLOOKUP($B232,Seqs!$A:$B,2,0),AI232,1),"")</f>
        <v>T</v>
      </c>
      <c r="AI232" s="3">
        <v>298</v>
      </c>
      <c r="AJ232" s="3" t="str">
        <f>IFERROR(MID(VLOOKUP($B232,Seqs!$A:$B,2,0),AK232,1),"")</f>
        <v>N</v>
      </c>
      <c r="AK232" s="3">
        <v>302</v>
      </c>
      <c r="AL232" s="3" t="str">
        <f>IFERROR(MID(VLOOKUP($B232,Seqs!$A:$B,2,0),AM232,1),"")</f>
        <v>L</v>
      </c>
      <c r="AM232" s="3">
        <v>335</v>
      </c>
      <c r="AN232" s="3" t="str">
        <f>IFERROR(MID(VLOOKUP($B232,Seqs!$A:$B,2,0),AO232,1),"")</f>
        <v>M</v>
      </c>
      <c r="AO232" s="3">
        <v>340</v>
      </c>
      <c r="AP232" s="3" t="str">
        <f>IFERROR(MID(VLOOKUP($B232,Seqs!$A:$B,2,0),AQ232,1),"")</f>
        <v>F</v>
      </c>
      <c r="AQ232" s="3">
        <v>369</v>
      </c>
      <c r="AR232" s="3" t="str">
        <f>IFERROR(MID(VLOOKUP($B232,Seqs!$A:$B,2,0),AS232,1),"")</f>
        <v>G</v>
      </c>
      <c r="AS232" s="3">
        <v>377</v>
      </c>
      <c r="AT232" s="3" t="str">
        <f>IFERROR(MID(VLOOKUP($B232,Seqs!$A:$B,2,0),AU232,1),"")</f>
        <v>V</v>
      </c>
      <c r="AU232" s="3">
        <v>405</v>
      </c>
      <c r="AV232" s="3" t="str">
        <f>IFERROR(MID(VLOOKUP($B232,Seqs!$A:$B,2,0),AW232,1),"")</f>
        <v>N</v>
      </c>
      <c r="AW232" s="3">
        <v>406</v>
      </c>
      <c r="AX232" s="3" t="str">
        <f>IFERROR(MID(VLOOKUP($B232,Seqs!$A:$B,2,0),AY232,1),"")</f>
        <v>S</v>
      </c>
      <c r="AY232" s="3">
        <v>416</v>
      </c>
      <c r="AZ232" s="79" t="str">
        <f>VLOOKUP(B232,Classification!A:D,2,0)</f>
        <v>B1</v>
      </c>
      <c r="BA232" s="96" t="str">
        <f>VLOOKUP(B232,Classification!A:D,4,0)</f>
        <v>Glucagonreceptorfamily</v>
      </c>
      <c r="BB232" s="27" t="b">
        <f t="shared" ref="BB232" si="1985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" si="1986">_xlfn.AGGREGATE(9,6,CH232:CS232)-_xlfn.AGGREGATE(9,6,BV232:CG232)+12</f>
        <v>242</v>
      </c>
      <c r="BD232" s="4" t="s">
        <v>1440</v>
      </c>
      <c r="BE232" s="3" t="s">
        <v>1439</v>
      </c>
      <c r="BF232" s="121">
        <v>3.7</v>
      </c>
      <c r="BG232" s="50" t="s">
        <v>1</v>
      </c>
      <c r="BH232" s="50" t="s">
        <v>1</v>
      </c>
      <c r="BI232" s="1"/>
      <c r="BJ232" s="72" t="s">
        <v>1293</v>
      </c>
      <c r="BK232" s="58" t="s">
        <v>1293</v>
      </c>
      <c r="BL232" s="58" t="s">
        <v>1293</v>
      </c>
      <c r="BM232" s="58" t="s">
        <v>1293</v>
      </c>
      <c r="BN232" s="58" t="s">
        <v>1293</v>
      </c>
      <c r="BO232" s="58" t="s">
        <v>1293</v>
      </c>
      <c r="BP232" s="58" t="s">
        <v>1293</v>
      </c>
      <c r="BQ232" s="58" t="s">
        <v>1293</v>
      </c>
      <c r="BR232" s="58" t="s">
        <v>1293</v>
      </c>
      <c r="BS232" s="58" t="s">
        <v>1293</v>
      </c>
      <c r="BT232" s="58" t="s">
        <v>1293</v>
      </c>
      <c r="BU232" s="58" t="s">
        <v>1293</v>
      </c>
      <c r="BV232" s="72">
        <f t="shared" ref="BV232" si="1987">E232</f>
        <v>138</v>
      </c>
      <c r="BW232" s="73">
        <f t="shared" ref="BW232" si="1988">I232</f>
        <v>170</v>
      </c>
      <c r="BX232" s="74">
        <f t="shared" ref="BX232" si="1989">M232</f>
        <v>174</v>
      </c>
      <c r="BY232" s="73" t="str">
        <f t="shared" ref="BY232" si="1990">Q232</f>
        <v>-</v>
      </c>
      <c r="BZ232" s="74">
        <f t="shared" ref="BZ232" si="1991">U232</f>
        <v>224</v>
      </c>
      <c r="CA232" s="73" t="str">
        <f t="shared" ref="CA232" si="1992">Y232</f>
        <v>-</v>
      </c>
      <c r="CB232" s="74">
        <f t="shared" ref="CB232" si="1993">AC232</f>
        <v>262</v>
      </c>
      <c r="CC232" s="73">
        <f t="shared" ref="CC232" si="1994">AG232</f>
        <v>296</v>
      </c>
      <c r="CD232" s="74">
        <f t="shared" ref="CD232" si="1995">AK232</f>
        <v>302</v>
      </c>
      <c r="CE232" s="73">
        <f t="shared" ref="CE232" si="1996">AO232</f>
        <v>340</v>
      </c>
      <c r="CF232" s="74">
        <f t="shared" ref="CF232" si="1997">AS232</f>
        <v>377</v>
      </c>
      <c r="CG232" s="73">
        <f t="shared" ref="CG232" si="1998">AW232</f>
        <v>406</v>
      </c>
      <c r="CH232" s="72">
        <f t="shared" ref="CH232" si="1999">G232</f>
        <v>169</v>
      </c>
      <c r="CI232" s="73">
        <f t="shared" ref="CI232" si="2000">K232</f>
        <v>173</v>
      </c>
      <c r="CJ232" s="74">
        <f t="shared" ref="CJ232" si="2001">O232</f>
        <v>206</v>
      </c>
      <c r="CK232" s="74" t="str">
        <f t="shared" ref="CK232" si="2002">S232</f>
        <v>-</v>
      </c>
      <c r="CL232" s="74">
        <f t="shared" ref="CL232" si="2003">W232</f>
        <v>257</v>
      </c>
      <c r="CM232" s="74" t="str">
        <f t="shared" ref="CM232" si="2004">AA232</f>
        <v>-</v>
      </c>
      <c r="CN232" s="74">
        <f t="shared" ref="CN232" si="2005">AE232</f>
        <v>291</v>
      </c>
      <c r="CO232" s="74">
        <f t="shared" ref="CO232" si="2006">AI232</f>
        <v>298</v>
      </c>
      <c r="CP232" s="74">
        <f t="shared" ref="CP232" si="2007">AM232</f>
        <v>335</v>
      </c>
      <c r="CQ232" s="74">
        <f t="shared" ref="CQ232" si="2008">AQ232</f>
        <v>369</v>
      </c>
      <c r="CR232" s="74">
        <f t="shared" ref="CR232" si="2009">AU232</f>
        <v>405</v>
      </c>
      <c r="CS232" s="74">
        <f t="shared" ref="CS232" si="2010">AY232</f>
        <v>416</v>
      </c>
      <c r="CT232" s="23">
        <f t="shared" ref="CT232" si="2011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ref="A233:A234" si="2012">CONCATENATE(B233,"_",C233)</f>
        <v>g1sgd4_rabit__wt</v>
      </c>
      <c r="B233" s="3" t="s">
        <v>1430</v>
      </c>
      <c r="C233" s="3" t="s">
        <v>100</v>
      </c>
      <c r="D233" s="3" t="str">
        <f>IFERROR(MID(VLOOKUP($B233,Seqs!$A:$B,2,0),E233,1),"")</f>
        <v>P</v>
      </c>
      <c r="E233" s="3">
        <v>137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Q</v>
      </c>
      <c r="O233" s="3">
        <v>211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S</v>
      </c>
      <c r="AC233" s="3">
        <v>261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Y</v>
      </c>
      <c r="AK233" s="3">
        <v>305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K</v>
      </c>
      <c r="AO233" s="3">
        <v>346</v>
      </c>
      <c r="AP233" s="3" t="str">
        <f>IFERROR(MID(VLOOKUP($B233,Seqs!$A:$B,2,0),AQ233,1),"")</f>
        <v>F</v>
      </c>
      <c r="AQ233" s="3">
        <v>369</v>
      </c>
      <c r="AR233" s="3" t="str">
        <f>IFERROR(MID(VLOOKUP($B233,Seqs!$A:$B,2,0),AS233,1),"")</f>
        <v>L</v>
      </c>
      <c r="AS233" s="3">
        <v>379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S</v>
      </c>
      <c r="AY233" s="3">
        <v>431</v>
      </c>
      <c r="AZ233" s="79" t="str">
        <f>VLOOKUP(B233,Classification!A:D,2,0)</f>
        <v>B1</v>
      </c>
      <c r="BA233" s="96" t="str">
        <f>VLOOKUP(B233,Classification!A:D,4,0)</f>
        <v>Glucagonreceptorfamily</v>
      </c>
      <c r="BB233" s="27" t="b">
        <f t="shared" ref="BB233:BB234" si="2013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:BC234" si="2014">_xlfn.AGGREGATE(9,6,CH233:CS233)-_xlfn.AGGREGATE(9,6,BV233:CG233)+12</f>
        <v>256</v>
      </c>
      <c r="BD233" s="4" t="s">
        <v>23</v>
      </c>
      <c r="BE233" s="3" t="s">
        <v>23</v>
      </c>
      <c r="BF233" s="121" t="s">
        <v>23</v>
      </c>
      <c r="BI233" s="1"/>
      <c r="BJ233" s="72" t="s">
        <v>1293</v>
      </c>
      <c r="BK233" s="58" t="s">
        <v>1293</v>
      </c>
      <c r="BL233" s="58" t="s">
        <v>1293</v>
      </c>
      <c r="BM233" s="58" t="s">
        <v>1293</v>
      </c>
      <c r="BN233" s="58" t="s">
        <v>1293</v>
      </c>
      <c r="BO233" s="58" t="s">
        <v>1293</v>
      </c>
      <c r="BP233" s="58" t="s">
        <v>1293</v>
      </c>
      <c r="BQ233" s="58" t="s">
        <v>1293</v>
      </c>
      <c r="BR233" s="58" t="s">
        <v>1293</v>
      </c>
      <c r="BS233" s="58" t="s">
        <v>1293</v>
      </c>
      <c r="BT233" s="58" t="s">
        <v>1293</v>
      </c>
      <c r="BU233" s="58" t="s">
        <v>1293</v>
      </c>
      <c r="BV233" s="72">
        <f t="shared" ref="BV233:BV234" si="2015">E233</f>
        <v>137</v>
      </c>
      <c r="BW233" s="73">
        <f t="shared" ref="BW233:BW234" si="2016">I233</f>
        <v>170</v>
      </c>
      <c r="BX233" s="74">
        <f t="shared" ref="BX233:BX234" si="2017">M233</f>
        <v>174</v>
      </c>
      <c r="BY233" s="73" t="str">
        <f t="shared" ref="BY233:BY234" si="2018">Q233</f>
        <v>-</v>
      </c>
      <c r="BZ233" s="74">
        <f t="shared" ref="BZ233:BZ234" si="2019">U233</f>
        <v>224</v>
      </c>
      <c r="CA233" s="73" t="str">
        <f t="shared" ref="CA233:CA234" si="2020">Y233</f>
        <v>-</v>
      </c>
      <c r="CB233" s="74">
        <f t="shared" ref="CB233:CB234" si="2021">AC233</f>
        <v>261</v>
      </c>
      <c r="CC233" s="73">
        <f t="shared" ref="CC233:CC234" si="2022">AG233</f>
        <v>296</v>
      </c>
      <c r="CD233" s="74">
        <f t="shared" ref="CD233:CD234" si="2023">AK233</f>
        <v>305</v>
      </c>
      <c r="CE233" s="73">
        <f t="shared" ref="CE233:CE234" si="2024">AO233</f>
        <v>346</v>
      </c>
      <c r="CF233" s="74">
        <f t="shared" ref="CF233:CF234" si="2025">AS233</f>
        <v>379</v>
      </c>
      <c r="CG233" s="73">
        <f t="shared" ref="CG233:CG234" si="2026">AW233</f>
        <v>406</v>
      </c>
      <c r="CH233" s="72">
        <f t="shared" ref="CH233:CH234" si="2027">G233</f>
        <v>169</v>
      </c>
      <c r="CI233" s="73">
        <f t="shared" ref="CI233:CI234" si="2028">K233</f>
        <v>173</v>
      </c>
      <c r="CJ233" s="74">
        <f t="shared" ref="CJ233:CJ234" si="2029">O233</f>
        <v>211</v>
      </c>
      <c r="CK233" s="74" t="str">
        <f t="shared" ref="CK233:CK234" si="2030">S233</f>
        <v>-</v>
      </c>
      <c r="CL233" s="74">
        <f t="shared" ref="CL233:CL234" si="2031">W233</f>
        <v>257</v>
      </c>
      <c r="CM233" s="74" t="str">
        <f t="shared" ref="CM233:CM234" si="2032">AA233</f>
        <v>-</v>
      </c>
      <c r="CN233" s="74">
        <f t="shared" ref="CN233:CN234" si="2033">AE233</f>
        <v>292</v>
      </c>
      <c r="CO233" s="74">
        <f t="shared" ref="CO233:CO234" si="2034">AI233</f>
        <v>298</v>
      </c>
      <c r="CP233" s="74">
        <f t="shared" ref="CP233:CP234" si="2035">AM233</f>
        <v>337</v>
      </c>
      <c r="CQ233" s="74">
        <f t="shared" ref="CQ233:CQ234" si="2036">AQ233</f>
        <v>369</v>
      </c>
      <c r="CR233" s="74">
        <f t="shared" ref="CR233:CR234" si="2037">AU233</f>
        <v>405</v>
      </c>
      <c r="CS233" s="74">
        <f t="shared" ref="CS233:CS234" si="2038">AY233</f>
        <v>431</v>
      </c>
      <c r="CT233" s="23">
        <f t="shared" ref="CT233:CT234" si="2039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2012"/>
        <v>g1sgd4_rabit_5VAI</v>
      </c>
      <c r="B234" s="3" t="s">
        <v>1430</v>
      </c>
      <c r="C234" s="3" t="s">
        <v>1432</v>
      </c>
      <c r="D234" s="3" t="str">
        <f>IFERROR(MID(VLOOKUP($B234,Seqs!$A:$B,2,0),E234,1),"")</f>
        <v>P</v>
      </c>
      <c r="E234" s="3">
        <v>137</v>
      </c>
      <c r="F234" s="3" t="str">
        <f>IFERROR(MID(VLOOKUP($B234,Seqs!$A:$B,2,0),G234,1),"")</f>
        <v>G</v>
      </c>
      <c r="G234" s="3">
        <v>168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Q</v>
      </c>
      <c r="O234" s="3">
        <v>211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3">
        <v>261</v>
      </c>
      <c r="AD234" s="3" t="str">
        <f>IFERROR(MID(VLOOKUP($B234,Seqs!$A:$B,2,0),AE234,1),"")</f>
        <v>E</v>
      </c>
      <c r="AE234" s="3">
        <v>292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Y</v>
      </c>
      <c r="AK234" s="3">
        <v>305</v>
      </c>
      <c r="AL234" s="3" t="str">
        <f>IFERROR(MID(VLOOKUP($B234,Seqs!$A:$B,2,0),AM234,1),"")</f>
        <v>A</v>
      </c>
      <c r="AM234" s="3">
        <v>337</v>
      </c>
      <c r="AN234" s="3" t="str">
        <f>IFERROR(MID(VLOOKUP($B234,Seqs!$A:$B,2,0),AO234,1),"")</f>
        <v>K</v>
      </c>
      <c r="AO234" s="3">
        <v>346</v>
      </c>
      <c r="AP234" s="3" t="str">
        <f>IFERROR(MID(VLOOKUP($B234,Seqs!$A:$B,2,0),AQ234,1),"")</f>
        <v>F</v>
      </c>
      <c r="AQ234" s="3">
        <v>369</v>
      </c>
      <c r="AR234" s="3" t="str">
        <f>IFERROR(MID(VLOOKUP($B234,Seqs!$A:$B,2,0),AS234,1),"")</f>
        <v>L</v>
      </c>
      <c r="AS234" s="3">
        <v>379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R</v>
      </c>
      <c r="AY234" s="3">
        <v>421</v>
      </c>
      <c r="AZ234" s="79" t="str">
        <f>VLOOKUP(B234,Classification!A:D,2,0)</f>
        <v>B1</v>
      </c>
      <c r="BA234" s="96" t="str">
        <f>VLOOKUP(B234,Classification!A:D,4,0)</f>
        <v>Glucagonreceptorfamily</v>
      </c>
      <c r="BB234" s="27" t="b">
        <f t="shared" si="2013"/>
        <v>1</v>
      </c>
      <c r="BC234" s="23">
        <f t="shared" si="2014"/>
        <v>245</v>
      </c>
      <c r="BD234" s="4" t="s">
        <v>1382</v>
      </c>
      <c r="BE234" s="3" t="s">
        <v>1297</v>
      </c>
      <c r="BF234" s="121">
        <v>4.0999999999999996</v>
      </c>
      <c r="BG234" s="50" t="s">
        <v>1433</v>
      </c>
      <c r="BH234" s="50" t="s">
        <v>1433</v>
      </c>
      <c r="BI234" s="1"/>
      <c r="BJ234" s="72" t="s">
        <v>1293</v>
      </c>
      <c r="BK234" s="58" t="s">
        <v>1293</v>
      </c>
      <c r="BL234" s="58" t="s">
        <v>1293</v>
      </c>
      <c r="BM234" s="58" t="s">
        <v>1293</v>
      </c>
      <c r="BN234" s="58" t="s">
        <v>1293</v>
      </c>
      <c r="BO234" s="58" t="s">
        <v>1293</v>
      </c>
      <c r="BP234" s="58" t="s">
        <v>1293</v>
      </c>
      <c r="BQ234" s="58" t="s">
        <v>1293</v>
      </c>
      <c r="BR234" s="58" t="s">
        <v>1293</v>
      </c>
      <c r="BS234" s="58" t="s">
        <v>1293</v>
      </c>
      <c r="BT234" s="58" t="s">
        <v>1293</v>
      </c>
      <c r="BU234" s="58" t="s">
        <v>1293</v>
      </c>
      <c r="BV234" s="72">
        <f t="shared" si="2015"/>
        <v>137</v>
      </c>
      <c r="BW234" s="73">
        <f t="shared" si="2016"/>
        <v>170</v>
      </c>
      <c r="BX234" s="74">
        <f t="shared" si="2017"/>
        <v>174</v>
      </c>
      <c r="BY234" s="73" t="str">
        <f t="shared" si="2018"/>
        <v>-</v>
      </c>
      <c r="BZ234" s="74">
        <f t="shared" si="2019"/>
        <v>224</v>
      </c>
      <c r="CA234" s="73" t="str">
        <f t="shared" si="2020"/>
        <v>-</v>
      </c>
      <c r="CB234" s="74">
        <f t="shared" si="2021"/>
        <v>261</v>
      </c>
      <c r="CC234" s="73">
        <f t="shared" si="2022"/>
        <v>296</v>
      </c>
      <c r="CD234" s="74">
        <f t="shared" si="2023"/>
        <v>305</v>
      </c>
      <c r="CE234" s="73">
        <f t="shared" si="2024"/>
        <v>346</v>
      </c>
      <c r="CF234" s="74">
        <f t="shared" si="2025"/>
        <v>379</v>
      </c>
      <c r="CG234" s="73">
        <f t="shared" si="2026"/>
        <v>406</v>
      </c>
      <c r="CH234" s="72">
        <f t="shared" si="2027"/>
        <v>168</v>
      </c>
      <c r="CI234" s="73">
        <f t="shared" si="2028"/>
        <v>173</v>
      </c>
      <c r="CJ234" s="74">
        <f t="shared" si="2029"/>
        <v>211</v>
      </c>
      <c r="CK234" s="74" t="str">
        <f t="shared" si="2030"/>
        <v>-</v>
      </c>
      <c r="CL234" s="74">
        <f t="shared" si="2031"/>
        <v>257</v>
      </c>
      <c r="CM234" s="74" t="str">
        <f t="shared" si="2032"/>
        <v>-</v>
      </c>
      <c r="CN234" s="74">
        <f t="shared" si="2033"/>
        <v>292</v>
      </c>
      <c r="CO234" s="74">
        <f t="shared" si="2034"/>
        <v>298</v>
      </c>
      <c r="CP234" s="74">
        <f t="shared" si="2035"/>
        <v>337</v>
      </c>
      <c r="CQ234" s="74">
        <f t="shared" si="2036"/>
        <v>369</v>
      </c>
      <c r="CR234" s="74">
        <f t="shared" si="2037"/>
        <v>405</v>
      </c>
      <c r="CS234" s="74">
        <f t="shared" si="2038"/>
        <v>421</v>
      </c>
      <c r="CT234" s="23">
        <f t="shared" si="2039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842"/>
        <v>grm1_human__wt</v>
      </c>
      <c r="B235" s="3" t="s">
        <v>40</v>
      </c>
      <c r="C235" s="3" t="s">
        <v>100</v>
      </c>
      <c r="D235" s="3" t="str">
        <f>IFERROR(MID(VLOOKUP($B235,Seqs!$A:$B,2,0),E235,1),"")</f>
        <v>I</v>
      </c>
      <c r="E235" s="3">
        <v>591</v>
      </c>
      <c r="F235" s="3" t="str">
        <f>IFERROR(MID(VLOOKUP($B235,Seqs!$A:$B,2,0),G235,1),"")</f>
        <v>Y</v>
      </c>
      <c r="G235" s="3">
        <v>617</v>
      </c>
      <c r="H235" s="3" t="str">
        <f>IFERROR(MID(VLOOKUP($B235,Seqs!$A:$B,2,0),I235,1),"")</f>
        <v>T</v>
      </c>
      <c r="I235" s="23">
        <v>620</v>
      </c>
      <c r="J235" s="3" t="str">
        <f>IFERROR(MID(VLOOKUP($B235,Seqs!$A:$B,2,0),K235,1),"")</f>
        <v>S</v>
      </c>
      <c r="K235" s="23">
        <v>626</v>
      </c>
      <c r="L235" s="3" t="str">
        <f>IFERROR(MID(VLOOKUP($B235,Seqs!$A:$B,2,0),M235,1),"")</f>
        <v>S</v>
      </c>
      <c r="M235" s="3">
        <v>627</v>
      </c>
      <c r="N235" s="3" t="str">
        <f>IFERROR(MID(VLOOKUP($B235,Seqs!$A:$B,2,0),O235,1),"")</f>
        <v>I</v>
      </c>
      <c r="O235" s="3">
        <v>649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T</v>
      </c>
      <c r="U235" s="3">
        <v>654</v>
      </c>
      <c r="V235" s="3" t="str">
        <f>IFERROR(MID(VLOOKUP($B235,Seqs!$A:$B,2,0),W235,1),"")</f>
        <v>L</v>
      </c>
      <c r="W235" s="3">
        <v>686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9">
        <v>702</v>
      </c>
      <c r="AD235" s="3" t="str">
        <f>IFERROR(MID(VLOOKUP($B235,Seqs!$A:$B,2,0),AE235,1),"")</f>
        <v>E</v>
      </c>
      <c r="AE235" s="3">
        <v>728</v>
      </c>
      <c r="AF235" s="3" t="str">
        <f>IFERROR(MID(VLOOKUP($B235,Seqs!$A:$B,2,0),AG235,1),"")</f>
        <v>C</v>
      </c>
      <c r="AG235" s="3">
        <v>746</v>
      </c>
      <c r="AH235" s="3" t="str">
        <f>IFERROR(MID(VLOOKUP($B235,Seqs!$A:$B,2,0),AI235,1),"")</f>
        <v>T</v>
      </c>
      <c r="AI235" s="3">
        <v>748</v>
      </c>
      <c r="AJ235" s="3" t="str">
        <f>IFERROR(MID(VLOOKUP($B235,Seqs!$A:$B,2,0),AK235,1),"")</f>
        <v>N</v>
      </c>
      <c r="AK235" s="3">
        <v>750</v>
      </c>
      <c r="AL235" s="3" t="str">
        <f>IFERROR(MID(VLOOKUP($B235,Seqs!$A:$B,2,0),AM235,1),"")</f>
        <v>T</v>
      </c>
      <c r="AM235" s="3">
        <v>774</v>
      </c>
      <c r="AN235" s="3" t="str">
        <f>IFERROR(MID(VLOOKUP($B235,Seqs!$A:$B,2,0),AO235,1),"")</f>
        <v>E</v>
      </c>
      <c r="AO235" s="3">
        <v>783</v>
      </c>
      <c r="AP235" s="3" t="str">
        <f>IFERROR(MID(VLOOKUP($B235,Seqs!$A:$B,2,0),AQ235,1),"")</f>
        <v>G</v>
      </c>
      <c r="AQ235" s="3">
        <v>807</v>
      </c>
      <c r="AR235" s="3" t="str">
        <f>IFERROR(MID(VLOOKUP($B235,Seqs!$A:$B,2,0),AS235,1),"")</f>
        <v>K</v>
      </c>
      <c r="AS235" s="3">
        <v>811</v>
      </c>
      <c r="AT235" s="3" t="str">
        <f>IFERROR(MID(VLOOKUP($B235,Seqs!$A:$B,2,0),AU235,1),"")</f>
        <v>K</v>
      </c>
      <c r="AU235" s="3">
        <v>841</v>
      </c>
      <c r="AV235" s="3" t="str">
        <f>IFERROR(MID(VLOOKUP($B235,Seqs!$A:$B,2,0),AW235,1),"")</f>
        <v>P</v>
      </c>
      <c r="AW235" s="3">
        <v>842</v>
      </c>
      <c r="AX235" s="3" t="str">
        <f>IFERROR(MID(VLOOKUP($B235,Seqs!$A:$B,2,0),AY235,1),"")</f>
        <v>S</v>
      </c>
      <c r="AY235" s="3">
        <v>853</v>
      </c>
      <c r="AZ235" s="79" t="str">
        <f>VLOOKUP(B235,Classification!A:D,2,0)</f>
        <v>C</v>
      </c>
      <c r="BA235" s="96" t="str">
        <f>VLOOKUP(B235,Classification!A:D,4,0)</f>
        <v>Metabotropicglutamate</v>
      </c>
      <c r="BB235" s="27" t="b">
        <f t="shared" si="1843"/>
        <v>1</v>
      </c>
      <c r="BC235" s="23">
        <f t="shared" si="1816"/>
        <v>215</v>
      </c>
      <c r="BD235" s="57" t="s">
        <v>1379</v>
      </c>
      <c r="BE235" s="3" t="s">
        <v>23</v>
      </c>
      <c r="BF235" s="121" t="s">
        <v>23</v>
      </c>
      <c r="BG235" s="50" t="s">
        <v>1379</v>
      </c>
      <c r="BH235" s="50" t="s">
        <v>1384</v>
      </c>
      <c r="BI235" s="3" t="s">
        <v>1164</v>
      </c>
      <c r="BJ235" s="72" t="s">
        <v>1293</v>
      </c>
      <c r="BK235" s="58" t="s">
        <v>1293</v>
      </c>
      <c r="BL235" s="58" t="s">
        <v>1293</v>
      </c>
      <c r="BM235" s="58" t="s">
        <v>1293</v>
      </c>
      <c r="BN235" s="58" t="s">
        <v>1293</v>
      </c>
      <c r="BO235" s="58" t="s">
        <v>1293</v>
      </c>
      <c r="BP235" s="58" t="s">
        <v>1293</v>
      </c>
      <c r="BQ235" s="58" t="s">
        <v>1293</v>
      </c>
      <c r="BR235" s="58" t="s">
        <v>1293</v>
      </c>
      <c r="BS235" s="58" t="s">
        <v>1293</v>
      </c>
      <c r="BT235" s="58" t="s">
        <v>1293</v>
      </c>
      <c r="BU235" s="58" t="s">
        <v>1293</v>
      </c>
      <c r="BV235" s="72">
        <f t="shared" si="1817"/>
        <v>591</v>
      </c>
      <c r="BW235" s="73">
        <f t="shared" si="1818"/>
        <v>620</v>
      </c>
      <c r="BX235" s="74">
        <f t="shared" si="1819"/>
        <v>627</v>
      </c>
      <c r="BY235" s="73" t="str">
        <f t="shared" si="1820"/>
        <v>-</v>
      </c>
      <c r="BZ235" s="74">
        <f t="shared" si="1821"/>
        <v>654</v>
      </c>
      <c r="CA235" s="73" t="str">
        <f t="shared" si="1822"/>
        <v>-</v>
      </c>
      <c r="CB235" s="74">
        <f t="shared" si="1823"/>
        <v>702</v>
      </c>
      <c r="CC235" s="73">
        <f t="shared" si="1824"/>
        <v>746</v>
      </c>
      <c r="CD235" s="74">
        <f t="shared" si="1825"/>
        <v>750</v>
      </c>
      <c r="CE235" s="73">
        <f t="shared" si="1826"/>
        <v>783</v>
      </c>
      <c r="CF235" s="74">
        <f t="shared" si="1827"/>
        <v>811</v>
      </c>
      <c r="CG235" s="73">
        <f t="shared" si="1828"/>
        <v>842</v>
      </c>
      <c r="CH235" s="72">
        <f t="shared" si="1829"/>
        <v>617</v>
      </c>
      <c r="CI235" s="73">
        <f t="shared" si="1830"/>
        <v>626</v>
      </c>
      <c r="CJ235" s="74">
        <f t="shared" si="1831"/>
        <v>649</v>
      </c>
      <c r="CK235" s="74" t="str">
        <f t="shared" si="1832"/>
        <v>-</v>
      </c>
      <c r="CL235" s="74">
        <f t="shared" si="1833"/>
        <v>686</v>
      </c>
      <c r="CM235" s="74" t="str">
        <f t="shared" si="1834"/>
        <v>-</v>
      </c>
      <c r="CN235" s="74">
        <f t="shared" si="1835"/>
        <v>728</v>
      </c>
      <c r="CO235" s="74">
        <f t="shared" si="1836"/>
        <v>748</v>
      </c>
      <c r="CP235" s="74">
        <f t="shared" si="1837"/>
        <v>774</v>
      </c>
      <c r="CQ235" s="74">
        <f t="shared" si="1838"/>
        <v>807</v>
      </c>
      <c r="CR235" s="74">
        <f t="shared" si="1839"/>
        <v>841</v>
      </c>
      <c r="CS235" s="74">
        <f t="shared" si="1840"/>
        <v>853</v>
      </c>
      <c r="CT235" s="23">
        <f t="shared" si="1841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842"/>
        <v>grm1_human_4OR2</v>
      </c>
      <c r="B236" s="3" t="s">
        <v>40</v>
      </c>
      <c r="C236" s="3" t="s">
        <v>96</v>
      </c>
      <c r="D236" s="3" t="str">
        <f>IFERROR(MID(VLOOKUP($B236,Seqs!$A:$B,2,0),E236,1),"")</f>
        <v>I</v>
      </c>
      <c r="E236" s="3">
        <v>591</v>
      </c>
      <c r="F236" s="3" t="str">
        <f>IFERROR(MID(VLOOKUP($B236,Seqs!$A:$B,2,0),G236,1),"")</f>
        <v>Y</v>
      </c>
      <c r="G236" s="3">
        <v>617</v>
      </c>
      <c r="H236" s="3" t="str">
        <f>IFERROR(MID(VLOOKUP($B236,Seqs!$A:$B,2,0),I236,1),"")</f>
        <v>T</v>
      </c>
      <c r="I236" s="23">
        <v>620</v>
      </c>
      <c r="J236" s="3" t="str">
        <f>IFERROR(MID(VLOOKUP($B236,Seqs!$A:$B,2,0),K236,1),"")</f>
        <v>S</v>
      </c>
      <c r="K236" s="23">
        <v>626</v>
      </c>
      <c r="L236" s="3" t="str">
        <f>IFERROR(MID(VLOOKUP($B236,Seqs!$A:$B,2,0),M236,1),"")</f>
        <v>S</v>
      </c>
      <c r="M236" s="3">
        <v>627</v>
      </c>
      <c r="N236" s="3" t="str">
        <f>IFERROR(MID(VLOOKUP($B236,Seqs!$A:$B,2,0),O236,1),"")</f>
        <v>I</v>
      </c>
      <c r="O236" s="3">
        <v>649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T</v>
      </c>
      <c r="U236" s="3">
        <v>654</v>
      </c>
      <c r="V236" s="3" t="str">
        <f>IFERROR(MID(VLOOKUP($B236,Seqs!$A:$B,2,0),W236,1),"")</f>
        <v>L</v>
      </c>
      <c r="W236" s="3">
        <v>686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9">
        <v>702</v>
      </c>
      <c r="AD236" s="3" t="str">
        <f>IFERROR(MID(VLOOKUP($B236,Seqs!$A:$B,2,0),AE236,1),"")</f>
        <v>E</v>
      </c>
      <c r="AE236" s="3">
        <v>728</v>
      </c>
      <c r="AF236" s="3" t="str">
        <f>IFERROR(MID(VLOOKUP($B236,Seqs!$A:$B,2,0),AG236,1),"")</f>
        <v>C</v>
      </c>
      <c r="AG236" s="3">
        <v>746</v>
      </c>
      <c r="AH236" s="3" t="str">
        <f>IFERROR(MID(VLOOKUP($B236,Seqs!$A:$B,2,0),AI236,1),"")</f>
        <v>T</v>
      </c>
      <c r="AI236" s="3">
        <v>748</v>
      </c>
      <c r="AJ236" s="3" t="str">
        <f>IFERROR(MID(VLOOKUP($B236,Seqs!$A:$B,2,0),AK236,1),"")</f>
        <v>N</v>
      </c>
      <c r="AK236" s="3">
        <v>750</v>
      </c>
      <c r="AL236" s="3" t="str">
        <f>IFERROR(MID(VLOOKUP($B236,Seqs!$A:$B,2,0),AM236,1),"")</f>
        <v>T</v>
      </c>
      <c r="AM236" s="3">
        <v>774</v>
      </c>
      <c r="AN236" s="3" t="str">
        <f>IFERROR(MID(VLOOKUP($B236,Seqs!$A:$B,2,0),AO236,1),"")</f>
        <v>E</v>
      </c>
      <c r="AO236" s="3">
        <v>783</v>
      </c>
      <c r="AP236" s="3" t="str">
        <f>IFERROR(MID(VLOOKUP($B236,Seqs!$A:$B,2,0),AQ236,1),"")</f>
        <v>G</v>
      </c>
      <c r="AQ236" s="3">
        <v>807</v>
      </c>
      <c r="AR236" s="3" t="str">
        <f>IFERROR(MID(VLOOKUP($B236,Seqs!$A:$B,2,0),AS236,1),"")</f>
        <v>K</v>
      </c>
      <c r="AS236" s="3">
        <v>811</v>
      </c>
      <c r="AT236" s="3" t="str">
        <f>IFERROR(MID(VLOOKUP($B236,Seqs!$A:$B,2,0),AU236,1),"")</f>
        <v>K</v>
      </c>
      <c r="AU236" s="3">
        <v>841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9" t="str">
        <f>VLOOKUP(B236,Classification!A:D,2,0)</f>
        <v>C</v>
      </c>
      <c r="BA236" s="96" t="str">
        <f>VLOOKUP(B236,Classification!A:D,4,0)</f>
        <v>Metabotropicglutamate</v>
      </c>
      <c r="BB236" s="27" t="b">
        <f t="shared" si="1843"/>
        <v>1</v>
      </c>
      <c r="BC236" s="23">
        <f t="shared" si="1816"/>
        <v>204</v>
      </c>
      <c r="BD236" s="2" t="s">
        <v>1383</v>
      </c>
      <c r="BE236" s="3" t="s">
        <v>1381</v>
      </c>
      <c r="BF236" s="121">
        <v>2.8</v>
      </c>
      <c r="BG236" s="50" t="s">
        <v>1384</v>
      </c>
      <c r="BH236" s="50" t="s">
        <v>1384</v>
      </c>
      <c r="BJ236" s="72" t="s">
        <v>1293</v>
      </c>
      <c r="BK236" s="58" t="s">
        <v>1293</v>
      </c>
      <c r="BL236" s="58" t="s">
        <v>1293</v>
      </c>
      <c r="BM236" s="58" t="s">
        <v>1293</v>
      </c>
      <c r="BN236" s="58" t="s">
        <v>1293</v>
      </c>
      <c r="BO236" s="58" t="s">
        <v>1293</v>
      </c>
      <c r="BP236" s="58" t="s">
        <v>1293</v>
      </c>
      <c r="BQ236" s="58" t="s">
        <v>1293</v>
      </c>
      <c r="BR236" s="58" t="s">
        <v>1293</v>
      </c>
      <c r="BS236" s="58" t="s">
        <v>1293</v>
      </c>
      <c r="BT236" s="58" t="s">
        <v>1293</v>
      </c>
      <c r="BU236" s="58" t="s">
        <v>1293</v>
      </c>
      <c r="BV236" s="72">
        <f t="shared" si="1817"/>
        <v>591</v>
      </c>
      <c r="BW236" s="73">
        <f t="shared" si="1818"/>
        <v>620</v>
      </c>
      <c r="BX236" s="74">
        <f t="shared" si="1819"/>
        <v>627</v>
      </c>
      <c r="BY236" s="73" t="str">
        <f t="shared" si="1820"/>
        <v>-</v>
      </c>
      <c r="BZ236" s="74">
        <f t="shared" si="1821"/>
        <v>654</v>
      </c>
      <c r="CA236" s="73" t="str">
        <f t="shared" si="1822"/>
        <v>-</v>
      </c>
      <c r="CB236" s="74">
        <f t="shared" si="1823"/>
        <v>702</v>
      </c>
      <c r="CC236" s="73">
        <f t="shared" si="1824"/>
        <v>746</v>
      </c>
      <c r="CD236" s="74">
        <f t="shared" si="1825"/>
        <v>750</v>
      </c>
      <c r="CE236" s="73">
        <f t="shared" si="1826"/>
        <v>783</v>
      </c>
      <c r="CF236" s="74">
        <f t="shared" si="1827"/>
        <v>811</v>
      </c>
      <c r="CG236" s="73" t="str">
        <f t="shared" si="1828"/>
        <v>-</v>
      </c>
      <c r="CH236" s="72">
        <f t="shared" si="1829"/>
        <v>617</v>
      </c>
      <c r="CI236" s="73">
        <f t="shared" si="1830"/>
        <v>626</v>
      </c>
      <c r="CJ236" s="74">
        <f t="shared" si="1831"/>
        <v>649</v>
      </c>
      <c r="CK236" s="74" t="str">
        <f t="shared" si="1832"/>
        <v>-</v>
      </c>
      <c r="CL236" s="74">
        <f t="shared" si="1833"/>
        <v>686</v>
      </c>
      <c r="CM236" s="74" t="str">
        <f t="shared" si="1834"/>
        <v>-</v>
      </c>
      <c r="CN236" s="74">
        <f t="shared" si="1835"/>
        <v>728</v>
      </c>
      <c r="CO236" s="74">
        <f t="shared" si="1836"/>
        <v>748</v>
      </c>
      <c r="CP236" s="74">
        <f t="shared" si="1837"/>
        <v>774</v>
      </c>
      <c r="CQ236" s="74">
        <f t="shared" si="1838"/>
        <v>807</v>
      </c>
      <c r="CR236" s="74">
        <f t="shared" si="1839"/>
        <v>841</v>
      </c>
      <c r="CS236" s="74" t="str">
        <f t="shared" si="1840"/>
        <v>-</v>
      </c>
      <c r="CT236" s="23">
        <f t="shared" si="1841"/>
        <v>1</v>
      </c>
    </row>
    <row r="237" spans="1:1030" x14ac:dyDescent="0.2">
      <c r="A237" s="3" t="str">
        <f t="shared" si="1842"/>
        <v>grm5_human__wt</v>
      </c>
      <c r="B237" s="3" t="s">
        <v>41</v>
      </c>
      <c r="C237" s="3" t="s">
        <v>100</v>
      </c>
      <c r="D237" s="3" t="str">
        <f>IFERROR(MID(VLOOKUP($B237,Seqs!$A:$B,2,0),E237,1),"")</f>
        <v>P</v>
      </c>
      <c r="E237" s="3">
        <v>578</v>
      </c>
      <c r="F237" s="3" t="str">
        <f>IFERROR(MID(VLOOKUP($B237,Seqs!$A:$B,2,0),G237,1),"")</f>
        <v>Y</v>
      </c>
      <c r="G237" s="3">
        <v>604</v>
      </c>
      <c r="H237" s="3" t="str">
        <f>IFERROR(MID(VLOOKUP($B237,Seqs!$A:$B,2,0),I237,1),"")</f>
        <v>T</v>
      </c>
      <c r="I237" s="23">
        <v>607</v>
      </c>
      <c r="J237" s="3" t="str">
        <f>IFERROR(MID(VLOOKUP($B237,Seqs!$A:$B,2,0),K237,1),"")</f>
        <v>S</v>
      </c>
      <c r="K237" s="23">
        <v>613</v>
      </c>
      <c r="L237" s="3" t="str">
        <f>IFERROR(MID(VLOOKUP($B237,Seqs!$A:$B,2,0),M237,1),"")</f>
        <v>S</v>
      </c>
      <c r="M237" s="3">
        <v>614</v>
      </c>
      <c r="N237" s="3" t="str">
        <f>IFERROR(MID(VLOOKUP($B237,Seqs!$A:$B,2,0),O237,1),"")</f>
        <v>I</v>
      </c>
      <c r="O237" s="3">
        <v>636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Q</v>
      </c>
      <c r="U237" s="3">
        <v>641</v>
      </c>
      <c r="V237" s="3" t="str">
        <f>IFERROR(MID(VLOOKUP($B237,Seqs!$A:$B,2,0),W237,1),"")</f>
        <v>L</v>
      </c>
      <c r="W237" s="3">
        <v>673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9">
        <v>689</v>
      </c>
      <c r="AD237" s="3" t="str">
        <f>IFERROR(MID(VLOOKUP($B237,Seqs!$A:$B,2,0),AE237,1),"")</f>
        <v>E</v>
      </c>
      <c r="AE237" s="3">
        <v>715</v>
      </c>
      <c r="AF237" s="3" t="str">
        <f>IFERROR(MID(VLOOKUP($B237,Seqs!$A:$B,2,0),AG237,1),"")</f>
        <v>C</v>
      </c>
      <c r="AG237" s="3">
        <v>733</v>
      </c>
      <c r="AH237" s="3" t="str">
        <f>IFERROR(MID(VLOOKUP($B237,Seqs!$A:$B,2,0),AI237,1),"")</f>
        <v>T</v>
      </c>
      <c r="AI237" s="3">
        <v>735</v>
      </c>
      <c r="AJ237" s="3" t="str">
        <f>IFERROR(MID(VLOOKUP($B237,Seqs!$A:$B,2,0),AK237,1),"")</f>
        <v>N</v>
      </c>
      <c r="AK237" s="3">
        <v>737</v>
      </c>
      <c r="AL237" s="3" t="str">
        <f>IFERROR(MID(VLOOKUP($B237,Seqs!$A:$B,2,0),AM237,1),"")</f>
        <v>T</v>
      </c>
      <c r="AM237" s="3">
        <v>761</v>
      </c>
      <c r="AN237" s="3" t="str">
        <f>IFERROR(MID(VLOOKUP($B237,Seqs!$A:$B,2,0),AO237,1),"")</f>
        <v>E</v>
      </c>
      <c r="AO237" s="3">
        <v>770</v>
      </c>
      <c r="AP237" s="3" t="str">
        <f>IFERROR(MID(VLOOKUP($B237,Seqs!$A:$B,2,0),AQ237,1),"")</f>
        <v>G</v>
      </c>
      <c r="AQ237" s="3">
        <v>794</v>
      </c>
      <c r="AR237" s="3" t="str">
        <f>IFERROR(MID(VLOOKUP($B237,Seqs!$A:$B,2,0),AS237,1),"")</f>
        <v>K</v>
      </c>
      <c r="AS237" s="3">
        <v>798</v>
      </c>
      <c r="AT237" s="3" t="str">
        <f>IFERROR(MID(VLOOKUP($B237,Seqs!$A:$B,2,0),AU237,1),"")</f>
        <v>K</v>
      </c>
      <c r="AU237" s="3">
        <v>828</v>
      </c>
      <c r="AV237" s="3" t="str">
        <f>IFERROR(MID(VLOOKUP($B237,Seqs!$A:$B,2,0),AW237,1),"")</f>
        <v>P</v>
      </c>
      <c r="AW237" s="3">
        <v>829</v>
      </c>
      <c r="AX237" s="3" t="str">
        <f>IFERROR(MID(VLOOKUP($B237,Seqs!$A:$B,2,0),AY237,1),"")</f>
        <v>S</v>
      </c>
      <c r="AY237" s="3">
        <v>840</v>
      </c>
      <c r="AZ237" s="79" t="str">
        <f>VLOOKUP(B237,Classification!A:D,2,0)</f>
        <v>C</v>
      </c>
      <c r="BA237" s="96" t="str">
        <f>VLOOKUP(B237,Classification!A:D,4,0)</f>
        <v>Metabotropicglutamate</v>
      </c>
      <c r="BB237" s="27" t="b">
        <f t="shared" si="1843"/>
        <v>1</v>
      </c>
      <c r="BC237" s="23">
        <f t="shared" si="1816"/>
        <v>215</v>
      </c>
      <c r="BD237" s="57" t="s">
        <v>1379</v>
      </c>
      <c r="BE237" s="3" t="s">
        <v>23</v>
      </c>
      <c r="BF237" s="121" t="s">
        <v>23</v>
      </c>
      <c r="BG237" s="50" t="s">
        <v>1379</v>
      </c>
      <c r="BH237" s="50" t="s">
        <v>1384</v>
      </c>
      <c r="BJ237" s="72" t="s">
        <v>1293</v>
      </c>
      <c r="BK237" s="58" t="s">
        <v>1293</v>
      </c>
      <c r="BL237" s="58" t="s">
        <v>1293</v>
      </c>
      <c r="BM237" s="58" t="s">
        <v>1293</v>
      </c>
      <c r="BN237" s="58" t="s">
        <v>1293</v>
      </c>
      <c r="BO237" s="58" t="s">
        <v>1293</v>
      </c>
      <c r="BP237" s="58" t="s">
        <v>1293</v>
      </c>
      <c r="BQ237" s="58" t="s">
        <v>1293</v>
      </c>
      <c r="BR237" s="58" t="s">
        <v>1293</v>
      </c>
      <c r="BS237" s="58" t="s">
        <v>1293</v>
      </c>
      <c r="BT237" s="58" t="s">
        <v>1293</v>
      </c>
      <c r="BU237" s="58" t="s">
        <v>1293</v>
      </c>
      <c r="BV237" s="72">
        <f t="shared" si="1817"/>
        <v>578</v>
      </c>
      <c r="BW237" s="73">
        <f t="shared" si="1818"/>
        <v>607</v>
      </c>
      <c r="BX237" s="74">
        <f t="shared" si="1819"/>
        <v>614</v>
      </c>
      <c r="BY237" s="73" t="str">
        <f t="shared" si="1820"/>
        <v>-</v>
      </c>
      <c r="BZ237" s="74">
        <f t="shared" si="1821"/>
        <v>641</v>
      </c>
      <c r="CA237" s="73" t="str">
        <f t="shared" si="1822"/>
        <v>-</v>
      </c>
      <c r="CB237" s="74">
        <f t="shared" si="1823"/>
        <v>689</v>
      </c>
      <c r="CC237" s="73">
        <f t="shared" si="1824"/>
        <v>733</v>
      </c>
      <c r="CD237" s="74">
        <f t="shared" si="1825"/>
        <v>737</v>
      </c>
      <c r="CE237" s="73">
        <f t="shared" si="1826"/>
        <v>770</v>
      </c>
      <c r="CF237" s="74">
        <f t="shared" si="1827"/>
        <v>798</v>
      </c>
      <c r="CG237" s="73">
        <f t="shared" si="1828"/>
        <v>829</v>
      </c>
      <c r="CH237" s="72">
        <f t="shared" si="1829"/>
        <v>604</v>
      </c>
      <c r="CI237" s="73">
        <f t="shared" si="1830"/>
        <v>613</v>
      </c>
      <c r="CJ237" s="74">
        <f t="shared" si="1831"/>
        <v>636</v>
      </c>
      <c r="CK237" s="74" t="str">
        <f t="shared" si="1832"/>
        <v>-</v>
      </c>
      <c r="CL237" s="74">
        <f t="shared" si="1833"/>
        <v>673</v>
      </c>
      <c r="CM237" s="74" t="str">
        <f t="shared" si="1834"/>
        <v>-</v>
      </c>
      <c r="CN237" s="74">
        <f t="shared" si="1835"/>
        <v>715</v>
      </c>
      <c r="CO237" s="74">
        <f t="shared" si="1836"/>
        <v>735</v>
      </c>
      <c r="CP237" s="74">
        <f t="shared" si="1837"/>
        <v>761</v>
      </c>
      <c r="CQ237" s="74">
        <f t="shared" si="1838"/>
        <v>794</v>
      </c>
      <c r="CR237" s="74">
        <f t="shared" si="1839"/>
        <v>828</v>
      </c>
      <c r="CS237" s="74">
        <f t="shared" si="1840"/>
        <v>840</v>
      </c>
      <c r="CT237" s="23">
        <f t="shared" si="1841"/>
        <v>1</v>
      </c>
    </row>
    <row r="238" spans="1:1030" x14ac:dyDescent="0.2">
      <c r="A238" s="3" t="str">
        <f t="shared" si="1842"/>
        <v>grm5_human_4OO9</v>
      </c>
      <c r="B238" s="3" t="s">
        <v>41</v>
      </c>
      <c r="C238" s="3" t="s">
        <v>57</v>
      </c>
      <c r="D238" s="3" t="str">
        <f>IFERROR(MID(VLOOKUP($B238,Seqs!$A:$B,2,0),E238,1),"")</f>
        <v>P</v>
      </c>
      <c r="E238" s="3">
        <v>578</v>
      </c>
      <c r="F238" s="3" t="str">
        <f>IFERROR(MID(VLOOKUP($B238,Seqs!$A:$B,2,0),G238,1),"")</f>
        <v>Y</v>
      </c>
      <c r="G238" s="3">
        <v>604</v>
      </c>
      <c r="H238" s="3" t="str">
        <f>IFERROR(MID(VLOOKUP($B238,Seqs!$A:$B,2,0),I238,1),"")</f>
        <v>T</v>
      </c>
      <c r="I238" s="23">
        <v>607</v>
      </c>
      <c r="J238" s="3" t="str">
        <f>IFERROR(MID(VLOOKUP($B238,Seqs!$A:$B,2,0),K238,1),"")</f>
        <v>S</v>
      </c>
      <c r="K238" s="23">
        <v>613</v>
      </c>
      <c r="L238" s="3" t="str">
        <f>IFERROR(MID(VLOOKUP($B238,Seqs!$A:$B,2,0),M238,1),"")</f>
        <v>S</v>
      </c>
      <c r="M238" s="3">
        <v>614</v>
      </c>
      <c r="N238" s="3" t="str">
        <f>IFERROR(MID(VLOOKUP($B238,Seqs!$A:$B,2,0),O238,1),"")</f>
        <v>I</v>
      </c>
      <c r="O238" s="3">
        <v>636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Q</v>
      </c>
      <c r="U238" s="3">
        <v>641</v>
      </c>
      <c r="V238" s="3" t="str">
        <f>IFERROR(MID(VLOOKUP($B238,Seqs!$A:$B,2,0),W238,1),"")</f>
        <v>K</v>
      </c>
      <c r="W238" s="3">
        <v>678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9">
        <v>689</v>
      </c>
      <c r="AD238" s="3" t="str">
        <f>IFERROR(MID(VLOOKUP($B238,Seqs!$A:$B,2,0),AE238,1),"")</f>
        <v>E</v>
      </c>
      <c r="AE238" s="3">
        <v>715</v>
      </c>
      <c r="AF238" s="3" t="str">
        <f>IFERROR(MID(VLOOKUP($B238,Seqs!$A:$B,2,0),AG238,1),"")</f>
        <v>C</v>
      </c>
      <c r="AG238" s="3">
        <v>733</v>
      </c>
      <c r="AH238" s="3" t="str">
        <f>IFERROR(MID(VLOOKUP($B238,Seqs!$A:$B,2,0),AI238,1),"")</f>
        <v>T</v>
      </c>
      <c r="AI238" s="3">
        <v>735</v>
      </c>
      <c r="AJ238" s="3" t="str">
        <f>IFERROR(MID(VLOOKUP($B238,Seqs!$A:$B,2,0),AK238,1),"")</f>
        <v>N</v>
      </c>
      <c r="AK238" s="3">
        <v>737</v>
      </c>
      <c r="AL238" s="3" t="str">
        <f>IFERROR(MID(VLOOKUP($B238,Seqs!$A:$B,2,0),AM238,1),"")</f>
        <v>T</v>
      </c>
      <c r="AM238" s="3">
        <v>761</v>
      </c>
      <c r="AN238" s="3" t="str">
        <f>IFERROR(MID(VLOOKUP($B238,Seqs!$A:$B,2,0),AO238,1),"")</f>
        <v>E</v>
      </c>
      <c r="AO238" s="3">
        <v>770</v>
      </c>
      <c r="AP238" s="3" t="str">
        <f>IFERROR(MID(VLOOKUP($B238,Seqs!$A:$B,2,0),AQ238,1),"")</f>
        <v>G</v>
      </c>
      <c r="AQ238" s="3">
        <v>794</v>
      </c>
      <c r="AR238" s="3" t="str">
        <f>IFERROR(MID(VLOOKUP($B238,Seqs!$A:$B,2,0),AS238,1),"")</f>
        <v>K</v>
      </c>
      <c r="AS238" s="3">
        <v>798</v>
      </c>
      <c r="AT238" s="3" t="str">
        <f>IFERROR(MID(VLOOKUP($B238,Seqs!$A:$B,2,0),AU238,1),"")</f>
        <v>K</v>
      </c>
      <c r="AU238" s="3">
        <v>828</v>
      </c>
      <c r="AV238" s="3" t="str">
        <f>IFERROR(MID(VLOOKUP($B238,Seqs!$A:$B,2,0),AW238,1),"")</f>
        <v>P</v>
      </c>
      <c r="AW238" s="3">
        <v>829</v>
      </c>
      <c r="AX238" s="3" t="str">
        <f>IFERROR(MID(VLOOKUP($B238,Seqs!$A:$B,2,0),AY238,1),"")</f>
        <v>N</v>
      </c>
      <c r="AY238" s="3">
        <v>832</v>
      </c>
      <c r="AZ238" s="79" t="str">
        <f>VLOOKUP(B238,Classification!A:D,2,0)</f>
        <v>C</v>
      </c>
      <c r="BA238" s="96" t="str">
        <f>VLOOKUP(B238,Classification!A:D,4,0)</f>
        <v>Metabotropicglutamate</v>
      </c>
      <c r="BB238" s="27" t="b">
        <f t="shared" si="1843"/>
        <v>1</v>
      </c>
      <c r="BC238" s="23">
        <f t="shared" si="1816"/>
        <v>212</v>
      </c>
      <c r="BD238" s="2" t="s">
        <v>1383</v>
      </c>
      <c r="BE238" s="3" t="s">
        <v>1381</v>
      </c>
      <c r="BF238" s="121">
        <v>2.6</v>
      </c>
      <c r="BG238" s="50" t="s">
        <v>1384</v>
      </c>
      <c r="BH238" s="50" t="s">
        <v>1384</v>
      </c>
      <c r="BJ238" s="72" t="s">
        <v>1293</v>
      </c>
      <c r="BK238" s="58" t="s">
        <v>1293</v>
      </c>
      <c r="BL238" s="58" t="s">
        <v>1293</v>
      </c>
      <c r="BM238" s="58" t="s">
        <v>1293</v>
      </c>
      <c r="BN238" s="58" t="s">
        <v>1293</v>
      </c>
      <c r="BO238" s="58" t="s">
        <v>1293</v>
      </c>
      <c r="BP238" s="58" t="s">
        <v>1293</v>
      </c>
      <c r="BQ238" s="58" t="s">
        <v>1293</v>
      </c>
      <c r="BR238" s="58" t="s">
        <v>1293</v>
      </c>
      <c r="BS238" s="58" t="s">
        <v>1293</v>
      </c>
      <c r="BT238" s="58" t="s">
        <v>1293</v>
      </c>
      <c r="BU238" s="58" t="s">
        <v>1293</v>
      </c>
      <c r="BV238" s="72">
        <f t="shared" si="1817"/>
        <v>578</v>
      </c>
      <c r="BW238" s="73">
        <f t="shared" si="1818"/>
        <v>607</v>
      </c>
      <c r="BX238" s="74">
        <f t="shared" si="1819"/>
        <v>614</v>
      </c>
      <c r="BY238" s="73" t="str">
        <f t="shared" si="1820"/>
        <v>-</v>
      </c>
      <c r="BZ238" s="74">
        <f t="shared" si="1821"/>
        <v>641</v>
      </c>
      <c r="CA238" s="73" t="str">
        <f t="shared" si="1822"/>
        <v>-</v>
      </c>
      <c r="CB238" s="74">
        <f t="shared" si="1823"/>
        <v>689</v>
      </c>
      <c r="CC238" s="73">
        <f t="shared" si="1824"/>
        <v>733</v>
      </c>
      <c r="CD238" s="74">
        <f t="shared" si="1825"/>
        <v>737</v>
      </c>
      <c r="CE238" s="73">
        <f t="shared" si="1826"/>
        <v>770</v>
      </c>
      <c r="CF238" s="74">
        <f t="shared" si="1827"/>
        <v>798</v>
      </c>
      <c r="CG238" s="73">
        <f t="shared" si="1828"/>
        <v>829</v>
      </c>
      <c r="CH238" s="72">
        <f t="shared" si="1829"/>
        <v>604</v>
      </c>
      <c r="CI238" s="73">
        <f t="shared" si="1830"/>
        <v>613</v>
      </c>
      <c r="CJ238" s="74">
        <f t="shared" si="1831"/>
        <v>636</v>
      </c>
      <c r="CK238" s="74" t="str">
        <f t="shared" si="1832"/>
        <v>-</v>
      </c>
      <c r="CL238" s="74">
        <f t="shared" si="1833"/>
        <v>678</v>
      </c>
      <c r="CM238" s="74" t="str">
        <f t="shared" si="1834"/>
        <v>-</v>
      </c>
      <c r="CN238" s="74">
        <f t="shared" si="1835"/>
        <v>715</v>
      </c>
      <c r="CO238" s="74">
        <f t="shared" si="1836"/>
        <v>735</v>
      </c>
      <c r="CP238" s="74">
        <f t="shared" si="1837"/>
        <v>761</v>
      </c>
      <c r="CQ238" s="74">
        <f t="shared" si="1838"/>
        <v>794</v>
      </c>
      <c r="CR238" s="74">
        <f t="shared" si="1839"/>
        <v>828</v>
      </c>
      <c r="CS238" s="74">
        <f t="shared" si="1840"/>
        <v>832</v>
      </c>
      <c r="CT238" s="23">
        <f t="shared" si="1841"/>
        <v>1</v>
      </c>
    </row>
    <row r="239" spans="1:1030" x14ac:dyDescent="0.2">
      <c r="A239" s="3" t="str">
        <f t="shared" si="1842"/>
        <v>grm5_human_5CGC</v>
      </c>
      <c r="B239" s="3" t="s">
        <v>41</v>
      </c>
      <c r="C239" s="3" t="s">
        <v>58</v>
      </c>
      <c r="D239" s="3" t="str">
        <f>IFERROR(MID(VLOOKUP($B239,Seqs!$A:$B,2,0),E239,1),"")</f>
        <v>P</v>
      </c>
      <c r="E239" s="3">
        <v>578</v>
      </c>
      <c r="F239" s="3" t="str">
        <f>IFERROR(MID(VLOOKUP($B239,Seqs!$A:$B,2,0),G239,1),"")</f>
        <v>Y</v>
      </c>
      <c r="G239" s="3">
        <v>604</v>
      </c>
      <c r="H239" s="3" t="str">
        <f>IFERROR(MID(VLOOKUP($B239,Seqs!$A:$B,2,0),I239,1),"")</f>
        <v>T</v>
      </c>
      <c r="I239" s="23">
        <v>607</v>
      </c>
      <c r="J239" s="3" t="str">
        <f>IFERROR(MID(VLOOKUP($B239,Seqs!$A:$B,2,0),K239,1),"")</f>
        <v>S</v>
      </c>
      <c r="K239" s="23">
        <v>613</v>
      </c>
      <c r="L239" s="3" t="str">
        <f>IFERROR(MID(VLOOKUP($B239,Seqs!$A:$B,2,0),M239,1),"")</f>
        <v>S</v>
      </c>
      <c r="M239" s="3">
        <v>614</v>
      </c>
      <c r="N239" s="3" t="str">
        <f>IFERROR(MID(VLOOKUP($B239,Seqs!$A:$B,2,0),O239,1),"")</f>
        <v>I</v>
      </c>
      <c r="O239" s="3">
        <v>636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Q</v>
      </c>
      <c r="U239" s="3">
        <v>641</v>
      </c>
      <c r="V239" s="3" t="str">
        <f>IFERROR(MID(VLOOKUP($B239,Seqs!$A:$B,2,0),W239,1),"")</f>
        <v>K</v>
      </c>
      <c r="W239" s="3">
        <v>678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9">
        <v>689</v>
      </c>
      <c r="AD239" s="3" t="str">
        <f>IFERROR(MID(VLOOKUP($B239,Seqs!$A:$B,2,0),AE239,1),"")</f>
        <v>E</v>
      </c>
      <c r="AE239" s="3">
        <v>715</v>
      </c>
      <c r="AF239" s="3" t="str">
        <f>IFERROR(MID(VLOOKUP($B239,Seqs!$A:$B,2,0),AG239,1),"")</f>
        <v>C</v>
      </c>
      <c r="AG239" s="3">
        <v>733</v>
      </c>
      <c r="AH239" s="3" t="str">
        <f>IFERROR(MID(VLOOKUP($B239,Seqs!$A:$B,2,0),AI239,1),"")</f>
        <v>T</v>
      </c>
      <c r="AI239" s="3">
        <v>735</v>
      </c>
      <c r="AJ239" s="3" t="str">
        <f>IFERROR(MID(VLOOKUP($B239,Seqs!$A:$B,2,0),AK239,1),"")</f>
        <v>N</v>
      </c>
      <c r="AK239" s="3">
        <v>737</v>
      </c>
      <c r="AL239" s="3" t="str">
        <f>IFERROR(MID(VLOOKUP($B239,Seqs!$A:$B,2,0),AM239,1),"")</f>
        <v>T</v>
      </c>
      <c r="AM239" s="3">
        <v>761</v>
      </c>
      <c r="AN239" s="3" t="str">
        <f>IFERROR(MID(VLOOKUP($B239,Seqs!$A:$B,2,0),AO239,1),"")</f>
        <v>E</v>
      </c>
      <c r="AO239" s="3">
        <v>770</v>
      </c>
      <c r="AP239" s="3" t="str">
        <f>IFERROR(MID(VLOOKUP($B239,Seqs!$A:$B,2,0),AQ239,1),"")</f>
        <v>G</v>
      </c>
      <c r="AQ239" s="3">
        <v>794</v>
      </c>
      <c r="AR239" s="3" t="str">
        <f>IFERROR(MID(VLOOKUP($B239,Seqs!$A:$B,2,0),AS239,1),"")</f>
        <v>K</v>
      </c>
      <c r="AS239" s="3">
        <v>798</v>
      </c>
      <c r="AT239" s="3" t="str">
        <f>IFERROR(MID(VLOOKUP($B239,Seqs!$A:$B,2,0),AU239,1),"")</f>
        <v>K</v>
      </c>
      <c r="AU239" s="3">
        <v>828</v>
      </c>
      <c r="AV239" s="3" t="str">
        <f>IFERROR(MID(VLOOKUP($B239,Seqs!$A:$B,2,0),AW239,1),"")</f>
        <v>P</v>
      </c>
      <c r="AW239" s="3">
        <v>829</v>
      </c>
      <c r="AX239" s="3" t="str">
        <f>IFERROR(MID(VLOOKUP($B239,Seqs!$A:$B,2,0),AY239,1),"")</f>
        <v>N</v>
      </c>
      <c r="AY239" s="3">
        <v>832</v>
      </c>
      <c r="AZ239" s="79" t="str">
        <f>VLOOKUP(B239,Classification!A:D,2,0)</f>
        <v>C</v>
      </c>
      <c r="BA239" s="96" t="str">
        <f>VLOOKUP(B239,Classification!A:D,4,0)</f>
        <v>Metabotropicglutamate</v>
      </c>
      <c r="BB239" s="27" t="b">
        <f t="shared" si="1843"/>
        <v>1</v>
      </c>
      <c r="BC239" s="23">
        <f t="shared" si="1816"/>
        <v>212</v>
      </c>
      <c r="BD239" s="4" t="s">
        <v>23</v>
      </c>
      <c r="BE239" s="3" t="s">
        <v>1381</v>
      </c>
      <c r="BF239" s="121">
        <v>3.1</v>
      </c>
      <c r="BG239" s="50" t="s">
        <v>1384</v>
      </c>
      <c r="BH239" s="50" t="s">
        <v>1384</v>
      </c>
      <c r="BJ239" s="72" t="s">
        <v>1293</v>
      </c>
      <c r="BK239" s="58" t="s">
        <v>1293</v>
      </c>
      <c r="BL239" s="58" t="s">
        <v>1293</v>
      </c>
      <c r="BM239" s="58" t="s">
        <v>1293</v>
      </c>
      <c r="BN239" s="58" t="s">
        <v>1293</v>
      </c>
      <c r="BO239" s="58" t="s">
        <v>1293</v>
      </c>
      <c r="BP239" s="58" t="s">
        <v>1293</v>
      </c>
      <c r="BQ239" s="58" t="s">
        <v>1293</v>
      </c>
      <c r="BR239" s="58" t="s">
        <v>1293</v>
      </c>
      <c r="BS239" s="58" t="s">
        <v>1293</v>
      </c>
      <c r="BT239" s="58" t="s">
        <v>1293</v>
      </c>
      <c r="BU239" s="58" t="s">
        <v>1293</v>
      </c>
      <c r="BV239" s="72">
        <f t="shared" si="1817"/>
        <v>578</v>
      </c>
      <c r="BW239" s="73">
        <f t="shared" si="1818"/>
        <v>607</v>
      </c>
      <c r="BX239" s="74">
        <f t="shared" si="1819"/>
        <v>614</v>
      </c>
      <c r="BY239" s="73" t="str">
        <f t="shared" si="1820"/>
        <v>-</v>
      </c>
      <c r="BZ239" s="74">
        <f t="shared" si="1821"/>
        <v>641</v>
      </c>
      <c r="CA239" s="73" t="str">
        <f t="shared" si="1822"/>
        <v>-</v>
      </c>
      <c r="CB239" s="74">
        <f t="shared" si="1823"/>
        <v>689</v>
      </c>
      <c r="CC239" s="73">
        <f t="shared" si="1824"/>
        <v>733</v>
      </c>
      <c r="CD239" s="74">
        <f t="shared" si="1825"/>
        <v>737</v>
      </c>
      <c r="CE239" s="73">
        <f t="shared" si="1826"/>
        <v>770</v>
      </c>
      <c r="CF239" s="74">
        <f t="shared" si="1827"/>
        <v>798</v>
      </c>
      <c r="CG239" s="73">
        <f t="shared" si="1828"/>
        <v>829</v>
      </c>
      <c r="CH239" s="72">
        <f t="shared" si="1829"/>
        <v>604</v>
      </c>
      <c r="CI239" s="73">
        <f t="shared" si="1830"/>
        <v>613</v>
      </c>
      <c r="CJ239" s="74">
        <f t="shared" si="1831"/>
        <v>636</v>
      </c>
      <c r="CK239" s="74" t="str">
        <f t="shared" si="1832"/>
        <v>-</v>
      </c>
      <c r="CL239" s="74">
        <f t="shared" si="1833"/>
        <v>678</v>
      </c>
      <c r="CM239" s="74" t="str">
        <f t="shared" si="1834"/>
        <v>-</v>
      </c>
      <c r="CN239" s="74">
        <f t="shared" si="1835"/>
        <v>715</v>
      </c>
      <c r="CO239" s="74">
        <f t="shared" si="1836"/>
        <v>735</v>
      </c>
      <c r="CP239" s="74">
        <f t="shared" si="1837"/>
        <v>761</v>
      </c>
      <c r="CQ239" s="74">
        <f t="shared" si="1838"/>
        <v>794</v>
      </c>
      <c r="CR239" s="74">
        <f t="shared" si="1839"/>
        <v>828</v>
      </c>
      <c r="CS239" s="74">
        <f t="shared" si="1840"/>
        <v>832</v>
      </c>
      <c r="CT239" s="23">
        <f t="shared" si="1841"/>
        <v>1</v>
      </c>
    </row>
    <row r="240" spans="1:1030" x14ac:dyDescent="0.2">
      <c r="A240" s="3" t="str">
        <f t="shared" si="1842"/>
        <v>grm5_human_5CGD</v>
      </c>
      <c r="B240" s="3" t="s">
        <v>41</v>
      </c>
      <c r="C240" s="3" t="s">
        <v>59</v>
      </c>
      <c r="D240" s="3" t="str">
        <f>IFERROR(MID(VLOOKUP($B240,Seqs!$A:$B,2,0),E240,1),"")</f>
        <v>P</v>
      </c>
      <c r="E240" s="3">
        <v>578</v>
      </c>
      <c r="F240" s="3" t="str">
        <f>IFERROR(MID(VLOOKUP($B240,Seqs!$A:$B,2,0),G240,1),"")</f>
        <v>Y</v>
      </c>
      <c r="G240" s="3">
        <v>604</v>
      </c>
      <c r="H240" s="3" t="str">
        <f>IFERROR(MID(VLOOKUP($B240,Seqs!$A:$B,2,0),I240,1),"")</f>
        <v>T</v>
      </c>
      <c r="I240" s="23">
        <v>607</v>
      </c>
      <c r="J240" s="3" t="str">
        <f>IFERROR(MID(VLOOKUP($B240,Seqs!$A:$B,2,0),K240,1),"")</f>
        <v>S</v>
      </c>
      <c r="K240" s="23">
        <v>613</v>
      </c>
      <c r="L240" s="3" t="str">
        <f>IFERROR(MID(VLOOKUP($B240,Seqs!$A:$B,2,0),M240,1),"")</f>
        <v>S</v>
      </c>
      <c r="M240" s="3">
        <v>614</v>
      </c>
      <c r="N240" s="3" t="str">
        <f>IFERROR(MID(VLOOKUP($B240,Seqs!$A:$B,2,0),O240,1),"")</f>
        <v>I</v>
      </c>
      <c r="O240" s="3">
        <v>636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Q</v>
      </c>
      <c r="U240" s="3">
        <v>641</v>
      </c>
      <c r="V240" s="3" t="str">
        <f>IFERROR(MID(VLOOKUP($B240,Seqs!$A:$B,2,0),W240,1),"")</f>
        <v>K</v>
      </c>
      <c r="W240" s="3">
        <v>678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689</v>
      </c>
      <c r="AD240" s="3" t="str">
        <f>IFERROR(MID(VLOOKUP($B240,Seqs!$A:$B,2,0),AE240,1),"")</f>
        <v>E</v>
      </c>
      <c r="AE240" s="3">
        <v>715</v>
      </c>
      <c r="AF240" s="3" t="str">
        <f>IFERROR(MID(VLOOKUP($B240,Seqs!$A:$B,2,0),AG240,1),"")</f>
        <v>C</v>
      </c>
      <c r="AG240" s="3">
        <v>733</v>
      </c>
      <c r="AH240" s="3" t="str">
        <f>IFERROR(MID(VLOOKUP($B240,Seqs!$A:$B,2,0),AI240,1),"")</f>
        <v>T</v>
      </c>
      <c r="AI240" s="3">
        <v>735</v>
      </c>
      <c r="AJ240" s="3" t="str">
        <f>IFERROR(MID(VLOOKUP($B240,Seqs!$A:$B,2,0),AK240,1),"")</f>
        <v>N</v>
      </c>
      <c r="AK240" s="3">
        <v>737</v>
      </c>
      <c r="AL240" s="3" t="str">
        <f>IFERROR(MID(VLOOKUP($B240,Seqs!$A:$B,2,0),AM240,1),"")</f>
        <v>T</v>
      </c>
      <c r="AM240" s="3">
        <v>761</v>
      </c>
      <c r="AN240" s="3" t="str">
        <f>IFERROR(MID(VLOOKUP($B240,Seqs!$A:$B,2,0),AO240,1),"")</f>
        <v>E</v>
      </c>
      <c r="AO240" s="3">
        <v>770</v>
      </c>
      <c r="AP240" s="3" t="str">
        <f>IFERROR(MID(VLOOKUP($B240,Seqs!$A:$B,2,0),AQ240,1),"")</f>
        <v>G</v>
      </c>
      <c r="AQ240" s="3">
        <v>794</v>
      </c>
      <c r="AR240" s="3" t="str">
        <f>IFERROR(MID(VLOOKUP($B240,Seqs!$A:$B,2,0),AS240,1),"")</f>
        <v>K</v>
      </c>
      <c r="AS240" s="3">
        <v>798</v>
      </c>
      <c r="AT240" s="3" t="str">
        <f>IFERROR(MID(VLOOKUP($B240,Seqs!$A:$B,2,0),AU240,1),"")</f>
        <v>K</v>
      </c>
      <c r="AU240" s="3">
        <v>828</v>
      </c>
      <c r="AV240" s="3" t="str">
        <f>IFERROR(MID(VLOOKUP($B240,Seqs!$A:$B,2,0),AW240,1),"")</f>
        <v>P</v>
      </c>
      <c r="AW240" s="3">
        <v>829</v>
      </c>
      <c r="AX240" s="3" t="str">
        <f>IFERROR(MID(VLOOKUP($B240,Seqs!$A:$B,2,0),AY240,1),"")</f>
        <v>R</v>
      </c>
      <c r="AY240" s="3">
        <v>831</v>
      </c>
      <c r="AZ240" s="79" t="str">
        <f>VLOOKUP(B240,Classification!A:D,2,0)</f>
        <v>C</v>
      </c>
      <c r="BA240" s="96" t="str">
        <f>VLOOKUP(B240,Classification!A:D,4,0)</f>
        <v>Metabotropicglutamate</v>
      </c>
      <c r="BB240" s="27" t="b">
        <f t="shared" si="1843"/>
        <v>1</v>
      </c>
      <c r="BC240" s="23">
        <f t="shared" si="1816"/>
        <v>211</v>
      </c>
      <c r="BD240" s="4" t="s">
        <v>23</v>
      </c>
      <c r="BE240" s="3" t="s">
        <v>1381</v>
      </c>
      <c r="BF240" s="121">
        <v>2.6</v>
      </c>
      <c r="BG240" s="50" t="s">
        <v>1384</v>
      </c>
      <c r="BH240" s="50" t="s">
        <v>1384</v>
      </c>
      <c r="BJ240" s="72" t="s">
        <v>1293</v>
      </c>
      <c r="BK240" s="58" t="s">
        <v>1293</v>
      </c>
      <c r="BL240" s="58" t="s">
        <v>1293</v>
      </c>
      <c r="BM240" s="58" t="s">
        <v>1293</v>
      </c>
      <c r="BN240" s="58" t="s">
        <v>1293</v>
      </c>
      <c r="BO240" s="58" t="s">
        <v>1293</v>
      </c>
      <c r="BP240" s="58" t="s">
        <v>1293</v>
      </c>
      <c r="BQ240" s="58" t="s">
        <v>1293</v>
      </c>
      <c r="BR240" s="58" t="s">
        <v>1293</v>
      </c>
      <c r="BS240" s="58" t="s">
        <v>1293</v>
      </c>
      <c r="BT240" s="58" t="s">
        <v>1293</v>
      </c>
      <c r="BU240" s="58" t="s">
        <v>1293</v>
      </c>
      <c r="BV240" s="72">
        <f t="shared" si="1817"/>
        <v>578</v>
      </c>
      <c r="BW240" s="73">
        <f t="shared" si="1818"/>
        <v>607</v>
      </c>
      <c r="BX240" s="74">
        <f t="shared" si="1819"/>
        <v>614</v>
      </c>
      <c r="BY240" s="73" t="str">
        <f t="shared" si="1820"/>
        <v>-</v>
      </c>
      <c r="BZ240" s="74">
        <f t="shared" si="1821"/>
        <v>641</v>
      </c>
      <c r="CA240" s="73" t="str">
        <f t="shared" si="1822"/>
        <v>-</v>
      </c>
      <c r="CB240" s="74">
        <f t="shared" si="1823"/>
        <v>689</v>
      </c>
      <c r="CC240" s="73">
        <f t="shared" si="1824"/>
        <v>733</v>
      </c>
      <c r="CD240" s="74">
        <f t="shared" si="1825"/>
        <v>737</v>
      </c>
      <c r="CE240" s="73">
        <f t="shared" si="1826"/>
        <v>770</v>
      </c>
      <c r="CF240" s="74">
        <f t="shared" si="1827"/>
        <v>798</v>
      </c>
      <c r="CG240" s="73">
        <f t="shared" si="1828"/>
        <v>829</v>
      </c>
      <c r="CH240" s="72">
        <f t="shared" si="1829"/>
        <v>604</v>
      </c>
      <c r="CI240" s="73">
        <f t="shared" si="1830"/>
        <v>613</v>
      </c>
      <c r="CJ240" s="74">
        <f t="shared" si="1831"/>
        <v>636</v>
      </c>
      <c r="CK240" s="74" t="str">
        <f t="shared" si="1832"/>
        <v>-</v>
      </c>
      <c r="CL240" s="74">
        <f t="shared" si="1833"/>
        <v>678</v>
      </c>
      <c r="CM240" s="74" t="str">
        <f t="shared" si="1834"/>
        <v>-</v>
      </c>
      <c r="CN240" s="74">
        <f t="shared" si="1835"/>
        <v>715</v>
      </c>
      <c r="CO240" s="74">
        <f t="shared" si="1836"/>
        <v>735</v>
      </c>
      <c r="CP240" s="74">
        <f t="shared" si="1837"/>
        <v>761</v>
      </c>
      <c r="CQ240" s="74">
        <f t="shared" si="1838"/>
        <v>794</v>
      </c>
      <c r="CR240" s="74">
        <f t="shared" si="1839"/>
        <v>828</v>
      </c>
      <c r="CS240" s="74">
        <f t="shared" si="1840"/>
        <v>831</v>
      </c>
      <c r="CT240" s="23">
        <f t="shared" si="1841"/>
        <v>1</v>
      </c>
      <c r="AMP240" s="3"/>
    </row>
    <row r="241" spans="1:1030" x14ac:dyDescent="0.2">
      <c r="A241" s="3" t="str">
        <f t="shared" si="1842"/>
        <v>smo_human__wt</v>
      </c>
      <c r="B241" s="3" t="s">
        <v>33</v>
      </c>
      <c r="C241" s="3" t="s">
        <v>100</v>
      </c>
      <c r="D241" s="3" t="str">
        <f>IFERROR(MID(VLOOKUP($B241,Seqs!$A:$B,2,0),E241,1),"")</f>
        <v>E</v>
      </c>
      <c r="E241" s="3">
        <v>224</v>
      </c>
      <c r="F241" s="3" t="str">
        <f>IFERROR(MID(VLOOKUP($B241,Seqs!$A:$B,2,0),G241,1),"")</f>
        <v>D</v>
      </c>
      <c r="G241" s="3">
        <v>255</v>
      </c>
      <c r="H241" s="3" t="str">
        <f>IFERROR(MID(VLOOKUP($B241,Seqs!$A:$B,2,0),I241,1),"")</f>
        <v>W</v>
      </c>
      <c r="I241" s="23">
        <v>256</v>
      </c>
      <c r="J241" s="3" t="str">
        <f>IFERROR(MID(VLOOKUP($B241,Seqs!$A:$B,2,0),K241,1),"")</f>
        <v>N</v>
      </c>
      <c r="K241" s="23">
        <v>260</v>
      </c>
      <c r="L241" s="3" t="str">
        <f>IFERROR(MID(VLOOKUP($B241,Seqs!$A:$B,2,0),M241,1),"")</f>
        <v>R</v>
      </c>
      <c r="M241" s="3">
        <v>261</v>
      </c>
      <c r="N241" s="3" t="str">
        <f>IFERROR(MID(VLOOKUP($B241,Seqs!$A:$B,2,0),O241,1),"")</f>
        <v>F</v>
      </c>
      <c r="O241" s="3">
        <v>285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L</v>
      </c>
      <c r="U241" s="3">
        <v>312</v>
      </c>
      <c r="V241" s="3" t="str">
        <f>IFERROR(MID(VLOOKUP($B241,Seqs!$A:$B,2,0),W241,1),"")</f>
        <v>T</v>
      </c>
      <c r="W241" s="3">
        <v>348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L</v>
      </c>
      <c r="AC241" s="9">
        <v>353</v>
      </c>
      <c r="AD241" s="3" t="str">
        <f>IFERROR(MID(VLOOKUP($B241,Seqs!$A:$B,2,0),AE241,1),"")</f>
        <v>V</v>
      </c>
      <c r="AE241" s="3">
        <v>378</v>
      </c>
      <c r="AF241" s="3" t="str">
        <f>IFERROR(MID(VLOOKUP($B241,Seqs!$A:$B,2,0),AG241,1),"")</f>
        <v>C</v>
      </c>
      <c r="AG241" s="3">
        <v>390</v>
      </c>
      <c r="AH241" s="3" t="str">
        <f>IFERROR(MID(VLOOKUP($B241,Seqs!$A:$B,2,0),AI241,1),"")</f>
        <v>V</v>
      </c>
      <c r="AI241" s="3">
        <v>392</v>
      </c>
      <c r="AJ241" s="3" t="str">
        <f>IFERROR(MID(VLOOKUP($B241,Seqs!$A:$B,2,0),AK241,1),"")</f>
        <v>Y</v>
      </c>
      <c r="AK241" s="3">
        <v>397</v>
      </c>
      <c r="AL241" s="3" t="str">
        <f>IFERROR(MID(VLOOKUP($B241,Seqs!$A:$B,2,0),AM241,1),"")</f>
        <v>H</v>
      </c>
      <c r="AM241" s="3">
        <v>433</v>
      </c>
      <c r="AN241" s="3" t="str">
        <f>IFERROR(MID(VLOOKUP($B241,Seqs!$A:$B,2,0),AO241,1),"")</f>
        <v>A</v>
      </c>
      <c r="AO241" s="3">
        <v>442</v>
      </c>
      <c r="AP241" s="3" t="str">
        <f>IFERROR(MID(VLOOKUP($B241,Seqs!$A:$B,2,0),AQ241,1),"")</f>
        <v>I</v>
      </c>
      <c r="AQ241" s="3">
        <v>496</v>
      </c>
      <c r="AR241" s="3" t="str">
        <f>IFERROR(MID(VLOOKUP($B241,Seqs!$A:$B,2,0),AS241,1),"")</f>
        <v>L</v>
      </c>
      <c r="AS241" s="3">
        <v>515</v>
      </c>
      <c r="AT241" s="3" t="str">
        <f>IFERROR(MID(VLOOKUP($B241,Seqs!$A:$B,2,0),AU241,1),"")</f>
        <v>W</v>
      </c>
      <c r="AU241" s="3">
        <v>537</v>
      </c>
      <c r="AV241" s="3" t="str">
        <f>IFERROR(MID(VLOOKUP($B241,Seqs!$A:$B,2,0),AW241,1),"")</f>
        <v>T</v>
      </c>
      <c r="AW241" s="3">
        <v>538</v>
      </c>
      <c r="AX241" s="3" t="str">
        <f>IFERROR(MID(VLOOKUP($B241,Seqs!$A:$B,2,0),AY241,1),"")</f>
        <v>T</v>
      </c>
      <c r="AY241" s="3">
        <v>553</v>
      </c>
      <c r="AZ241" s="79" t="str">
        <f>VLOOKUP(B241,Classification!A:D,2,0)</f>
        <v>F</v>
      </c>
      <c r="BA241" s="96" t="str">
        <f>VLOOKUP(B241,Classification!A:D,4,0)</f>
        <v>Frizzled</v>
      </c>
      <c r="BB241" s="27" t="b">
        <f t="shared" si="1843"/>
        <v>1</v>
      </c>
      <c r="BC241" s="23">
        <f t="shared" si="1816"/>
        <v>261</v>
      </c>
      <c r="BD241" s="57" t="s">
        <v>1379</v>
      </c>
      <c r="BE241" s="3" t="s">
        <v>23</v>
      </c>
      <c r="BF241" s="121" t="s">
        <v>23</v>
      </c>
      <c r="BG241" s="50" t="s">
        <v>1379</v>
      </c>
      <c r="BH241" s="50" t="s">
        <v>1384</v>
      </c>
      <c r="BJ241" s="72" t="s">
        <v>1293</v>
      </c>
      <c r="BK241" s="58" t="s">
        <v>1293</v>
      </c>
      <c r="BL241" s="58" t="s">
        <v>1293</v>
      </c>
      <c r="BM241" s="58" t="s">
        <v>1293</v>
      </c>
      <c r="BN241" s="58" t="s">
        <v>1293</v>
      </c>
      <c r="BO241" s="58" t="s">
        <v>1293</v>
      </c>
      <c r="BP241" s="58" t="s">
        <v>1293</v>
      </c>
      <c r="BQ241" s="58" t="s">
        <v>1293</v>
      </c>
      <c r="BR241" s="58" t="s">
        <v>1293</v>
      </c>
      <c r="BS241" s="58" t="s">
        <v>1293</v>
      </c>
      <c r="BT241" s="58" t="s">
        <v>1293</v>
      </c>
      <c r="BU241" s="58" t="s">
        <v>1293</v>
      </c>
      <c r="BV241" s="72">
        <f t="shared" si="1817"/>
        <v>224</v>
      </c>
      <c r="BW241" s="73">
        <f t="shared" si="1818"/>
        <v>256</v>
      </c>
      <c r="BX241" s="74">
        <f t="shared" si="1819"/>
        <v>261</v>
      </c>
      <c r="BY241" s="73" t="str">
        <f t="shared" si="1820"/>
        <v>-</v>
      </c>
      <c r="BZ241" s="74">
        <f t="shared" si="1821"/>
        <v>312</v>
      </c>
      <c r="CA241" s="73" t="str">
        <f t="shared" si="1822"/>
        <v>-</v>
      </c>
      <c r="CB241" s="74">
        <f t="shared" si="1823"/>
        <v>353</v>
      </c>
      <c r="CC241" s="73">
        <f t="shared" si="1824"/>
        <v>390</v>
      </c>
      <c r="CD241" s="74">
        <f t="shared" si="1825"/>
        <v>397</v>
      </c>
      <c r="CE241" s="73">
        <f t="shared" si="1826"/>
        <v>442</v>
      </c>
      <c r="CF241" s="74">
        <f t="shared" si="1827"/>
        <v>515</v>
      </c>
      <c r="CG241" s="73">
        <f t="shared" si="1828"/>
        <v>538</v>
      </c>
      <c r="CH241" s="72">
        <f t="shared" si="1829"/>
        <v>255</v>
      </c>
      <c r="CI241" s="73">
        <f t="shared" si="1830"/>
        <v>260</v>
      </c>
      <c r="CJ241" s="74">
        <f t="shared" si="1831"/>
        <v>285</v>
      </c>
      <c r="CK241" s="74" t="str">
        <f t="shared" si="1832"/>
        <v>-</v>
      </c>
      <c r="CL241" s="74">
        <f t="shared" si="1833"/>
        <v>348</v>
      </c>
      <c r="CM241" s="74" t="str">
        <f t="shared" si="1834"/>
        <v>-</v>
      </c>
      <c r="CN241" s="74">
        <f t="shared" si="1835"/>
        <v>378</v>
      </c>
      <c r="CO241" s="74">
        <f t="shared" si="1836"/>
        <v>392</v>
      </c>
      <c r="CP241" s="74">
        <f t="shared" si="1837"/>
        <v>433</v>
      </c>
      <c r="CQ241" s="74">
        <f t="shared" si="1838"/>
        <v>496</v>
      </c>
      <c r="CR241" s="74">
        <f t="shared" si="1839"/>
        <v>537</v>
      </c>
      <c r="CS241" s="74">
        <f t="shared" si="1840"/>
        <v>553</v>
      </c>
      <c r="CT241" s="23">
        <f t="shared" si="1841"/>
        <v>1</v>
      </c>
    </row>
    <row r="242" spans="1:1030" x14ac:dyDescent="0.2">
      <c r="A242" s="3" t="str">
        <f t="shared" si="1842"/>
        <v>smo_human_4JKV</v>
      </c>
      <c r="B242" s="3" t="s">
        <v>33</v>
      </c>
      <c r="C242" s="3" t="s">
        <v>86</v>
      </c>
      <c r="D242" s="3" t="str">
        <f>IFERROR(MID(VLOOKUP($B242,Seqs!$A:$B,2,0),E242,1),"")</f>
        <v>E</v>
      </c>
      <c r="E242" s="3">
        <v>224</v>
      </c>
      <c r="F242" s="3" t="str">
        <f>IFERROR(MID(VLOOKUP($B242,Seqs!$A:$B,2,0),G242,1),"")</f>
        <v>D</v>
      </c>
      <c r="G242" s="3">
        <v>255</v>
      </c>
      <c r="H242" s="3" t="str">
        <f>IFERROR(MID(VLOOKUP($B242,Seqs!$A:$B,2,0),I242,1),"")</f>
        <v>W</v>
      </c>
      <c r="I242" s="23">
        <v>256</v>
      </c>
      <c r="J242" s="3" t="str">
        <f>IFERROR(MID(VLOOKUP($B242,Seqs!$A:$B,2,0),K242,1),"")</f>
        <v>N</v>
      </c>
      <c r="K242" s="23">
        <v>260</v>
      </c>
      <c r="L242" s="3" t="str">
        <f>IFERROR(MID(VLOOKUP($B242,Seqs!$A:$B,2,0),M242,1),"")</f>
        <v>R</v>
      </c>
      <c r="M242" s="3">
        <v>261</v>
      </c>
      <c r="N242" s="3" t="str">
        <f>IFERROR(MID(VLOOKUP($B242,Seqs!$A:$B,2,0),O242,1),"")</f>
        <v>F</v>
      </c>
      <c r="O242" s="3">
        <v>285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L</v>
      </c>
      <c r="U242" s="3">
        <v>312</v>
      </c>
      <c r="V242" s="3" t="str">
        <f>IFERROR(MID(VLOOKUP($B242,Seqs!$A:$B,2,0),W242,1),"")</f>
        <v>T</v>
      </c>
      <c r="W242" s="3">
        <v>348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F</v>
      </c>
      <c r="AC242" s="9">
        <v>360</v>
      </c>
      <c r="AD242" s="3" t="str">
        <f>IFERROR(MID(VLOOKUP($B242,Seqs!$A:$B,2,0),AE242,1),"")</f>
        <v>V</v>
      </c>
      <c r="AE242" s="3">
        <v>378</v>
      </c>
      <c r="AF242" s="3" t="str">
        <f>IFERROR(MID(VLOOKUP($B242,Seqs!$A:$B,2,0),AG242,1),"")</f>
        <v>C</v>
      </c>
      <c r="AG242" s="3">
        <v>390</v>
      </c>
      <c r="AH242" s="3" t="str">
        <f>IFERROR(MID(VLOOKUP($B242,Seqs!$A:$B,2,0),AI242,1),"")</f>
        <v>V</v>
      </c>
      <c r="AI242" s="3">
        <v>392</v>
      </c>
      <c r="AJ242" s="3" t="str">
        <f>IFERROR(MID(VLOOKUP($B242,Seqs!$A:$B,2,0),AK242,1),"")</f>
        <v>Y</v>
      </c>
      <c r="AK242" s="3">
        <v>397</v>
      </c>
      <c r="AL242" s="3" t="str">
        <f>IFERROR(MID(VLOOKUP($B242,Seqs!$A:$B,2,0),AM242,1),"")</f>
        <v>H</v>
      </c>
      <c r="AM242" s="3">
        <v>433</v>
      </c>
      <c r="AN242" s="3" t="str">
        <f>IFERROR(MID(VLOOKUP($B242,Seqs!$A:$B,2,0),AO242,1),"")</f>
        <v>A</v>
      </c>
      <c r="AO242" s="3">
        <v>442</v>
      </c>
      <c r="AP242" s="3" t="str">
        <f>IFERROR(MID(VLOOKUP($B242,Seqs!$A:$B,2,0),AQ242,1),"")</f>
        <v>N</v>
      </c>
      <c r="AQ242" s="3">
        <v>493</v>
      </c>
      <c r="AR242" s="3" t="str">
        <f>IFERROR(MID(VLOOKUP($B242,Seqs!$A:$B,2,0),AS242,1),"")</f>
        <v>L</v>
      </c>
      <c r="AS242" s="3">
        <v>515</v>
      </c>
      <c r="AT242" s="3" t="str">
        <f>IFERROR(MID(VLOOKUP($B242,Seqs!$A:$B,2,0),AU242,1),"")</f>
        <v>W</v>
      </c>
      <c r="AU242" s="3">
        <v>537</v>
      </c>
      <c r="AV242" s="3" t="str">
        <f>IFERROR(MID(VLOOKUP($B242,Seqs!$A:$B,2,0),AW242,1),"")</f>
        <v>T</v>
      </c>
      <c r="AW242" s="3">
        <v>538</v>
      </c>
      <c r="AX242" s="3" t="str">
        <f>IFERROR(MID(VLOOKUP($B242,Seqs!$A:$B,2,0),AY242,1),"")</f>
        <v>C</v>
      </c>
      <c r="AY242" s="3">
        <v>550</v>
      </c>
      <c r="AZ242" s="79" t="str">
        <f>VLOOKUP(B242,Classification!A:D,2,0)</f>
        <v>F</v>
      </c>
      <c r="BA242" s="96" t="str">
        <f>VLOOKUP(B242,Classification!A:D,4,0)</f>
        <v>Frizzled</v>
      </c>
      <c r="BB242" s="27" t="b">
        <f t="shared" si="1843"/>
        <v>1</v>
      </c>
      <c r="BC242" s="23">
        <f t="shared" si="1816"/>
        <v>248</v>
      </c>
      <c r="BD242" s="4" t="s">
        <v>23</v>
      </c>
      <c r="BE242" s="3" t="s">
        <v>1381</v>
      </c>
      <c r="BF242" s="121">
        <v>2.4500000000000002</v>
      </c>
      <c r="BG242" s="50" t="s">
        <v>1384</v>
      </c>
      <c r="BH242" s="50" t="s">
        <v>1384</v>
      </c>
      <c r="BJ242" s="72" t="s">
        <v>1293</v>
      </c>
      <c r="BK242" s="58" t="s">
        <v>1293</v>
      </c>
      <c r="BL242" s="58" t="s">
        <v>1293</v>
      </c>
      <c r="BM242" s="58" t="s">
        <v>1293</v>
      </c>
      <c r="BN242" s="58" t="s">
        <v>1293</v>
      </c>
      <c r="BO242" s="58" t="s">
        <v>1293</v>
      </c>
      <c r="BP242" s="58" t="s">
        <v>1293</v>
      </c>
      <c r="BQ242" s="58" t="s">
        <v>1293</v>
      </c>
      <c r="BR242" s="58" t="s">
        <v>1293</v>
      </c>
      <c r="BS242" s="58" t="s">
        <v>1293</v>
      </c>
      <c r="BT242" s="58" t="s">
        <v>1293</v>
      </c>
      <c r="BU242" s="58" t="s">
        <v>1293</v>
      </c>
      <c r="BV242" s="72">
        <f t="shared" si="1817"/>
        <v>224</v>
      </c>
      <c r="BW242" s="73">
        <f t="shared" si="1818"/>
        <v>256</v>
      </c>
      <c r="BX242" s="74">
        <f t="shared" si="1819"/>
        <v>261</v>
      </c>
      <c r="BY242" s="73" t="str">
        <f t="shared" si="1820"/>
        <v>-</v>
      </c>
      <c r="BZ242" s="74">
        <f t="shared" si="1821"/>
        <v>312</v>
      </c>
      <c r="CA242" s="73" t="str">
        <f t="shared" si="1822"/>
        <v>-</v>
      </c>
      <c r="CB242" s="74">
        <f t="shared" si="1823"/>
        <v>360</v>
      </c>
      <c r="CC242" s="73">
        <f t="shared" si="1824"/>
        <v>390</v>
      </c>
      <c r="CD242" s="74">
        <f t="shared" si="1825"/>
        <v>397</v>
      </c>
      <c r="CE242" s="73">
        <f t="shared" si="1826"/>
        <v>442</v>
      </c>
      <c r="CF242" s="74">
        <f t="shared" si="1827"/>
        <v>515</v>
      </c>
      <c r="CG242" s="73">
        <f t="shared" si="1828"/>
        <v>538</v>
      </c>
      <c r="CH242" s="72">
        <f t="shared" si="1829"/>
        <v>255</v>
      </c>
      <c r="CI242" s="73">
        <f t="shared" si="1830"/>
        <v>260</v>
      </c>
      <c r="CJ242" s="74">
        <f t="shared" si="1831"/>
        <v>285</v>
      </c>
      <c r="CK242" s="74" t="str">
        <f t="shared" si="1832"/>
        <v>-</v>
      </c>
      <c r="CL242" s="74">
        <f t="shared" si="1833"/>
        <v>348</v>
      </c>
      <c r="CM242" s="74" t="str">
        <f t="shared" si="1834"/>
        <v>-</v>
      </c>
      <c r="CN242" s="74">
        <f t="shared" si="1835"/>
        <v>378</v>
      </c>
      <c r="CO242" s="74">
        <f t="shared" si="1836"/>
        <v>392</v>
      </c>
      <c r="CP242" s="74">
        <f t="shared" si="1837"/>
        <v>433</v>
      </c>
      <c r="CQ242" s="74">
        <f t="shared" si="1838"/>
        <v>493</v>
      </c>
      <c r="CR242" s="74">
        <f t="shared" si="1839"/>
        <v>537</v>
      </c>
      <c r="CS242" s="74">
        <f t="shared" si="1840"/>
        <v>550</v>
      </c>
      <c r="CT242" s="23">
        <f t="shared" si="1841"/>
        <v>1</v>
      </c>
    </row>
    <row r="243" spans="1:1030" x14ac:dyDescent="0.2">
      <c r="A243" s="3" t="str">
        <f t="shared" si="1842"/>
        <v>smo_human_4N4W</v>
      </c>
      <c r="B243" s="3" t="s">
        <v>33</v>
      </c>
      <c r="C243" s="3" t="s">
        <v>1048</v>
      </c>
      <c r="D243" s="3" t="str">
        <f>IFERROR(MID(VLOOKUP($B243,Seqs!$A:$B,2,0),E243,1),"")</f>
        <v>E</v>
      </c>
      <c r="E243" s="3">
        <v>224</v>
      </c>
      <c r="F243" s="3" t="str">
        <f>IFERROR(MID(VLOOKUP($B243,Seqs!$A:$B,2,0),G243,1),"")</f>
        <v>D</v>
      </c>
      <c r="G243" s="3">
        <v>255</v>
      </c>
      <c r="H243" s="3" t="str">
        <f>IFERROR(MID(VLOOKUP($B243,Seqs!$A:$B,2,0),I243,1),"")</f>
        <v>W</v>
      </c>
      <c r="I243" s="23">
        <v>256</v>
      </c>
      <c r="J243" s="3" t="str">
        <f>IFERROR(MID(VLOOKUP($B243,Seqs!$A:$B,2,0),K243,1),"")</f>
        <v>N</v>
      </c>
      <c r="K243" s="23">
        <v>260</v>
      </c>
      <c r="L243" s="3" t="str">
        <f>IFERROR(MID(VLOOKUP($B243,Seqs!$A:$B,2,0),M243,1),"")</f>
        <v>R</v>
      </c>
      <c r="M243" s="3">
        <v>261</v>
      </c>
      <c r="N243" s="3" t="str">
        <f>IFERROR(MID(VLOOKUP($B243,Seqs!$A:$B,2,0),O243,1),"")</f>
        <v>F</v>
      </c>
      <c r="O243" s="3">
        <v>285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L</v>
      </c>
      <c r="U243" s="3">
        <v>312</v>
      </c>
      <c r="V243" s="3" t="str">
        <f>IFERROR(MID(VLOOKUP($B243,Seqs!$A:$B,2,0),W243,1),"")</f>
        <v>A</v>
      </c>
      <c r="W243" s="3">
        <v>345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K</v>
      </c>
      <c r="AC243" s="9">
        <v>356</v>
      </c>
      <c r="AD243" s="3" t="str">
        <f>IFERROR(MID(VLOOKUP($B243,Seqs!$A:$B,2,0),AE243,1),"")</f>
        <v>V</v>
      </c>
      <c r="AE243" s="3">
        <v>378</v>
      </c>
      <c r="AF243" s="3" t="str">
        <f>IFERROR(MID(VLOOKUP($B243,Seqs!$A:$B,2,0),AG243,1),"")</f>
        <v>C</v>
      </c>
      <c r="AG243" s="3">
        <v>390</v>
      </c>
      <c r="AH243" s="3" t="str">
        <f>IFERROR(MID(VLOOKUP($B243,Seqs!$A:$B,2,0),AI243,1),"")</f>
        <v>V</v>
      </c>
      <c r="AI243" s="3">
        <v>392</v>
      </c>
      <c r="AJ243" s="3" t="str">
        <f>IFERROR(MID(VLOOKUP($B243,Seqs!$A:$B,2,0),AK243,1),"")</f>
        <v>Y</v>
      </c>
      <c r="AK243" s="3">
        <v>397</v>
      </c>
      <c r="AL243" s="3" t="str">
        <f>IFERROR(MID(VLOOKUP($B243,Seqs!$A:$B,2,0),AM243,1),"")</f>
        <v>H</v>
      </c>
      <c r="AM243" s="3">
        <v>433</v>
      </c>
      <c r="AN243" s="3" t="str">
        <f>IFERROR(MID(VLOOKUP($B243,Seqs!$A:$B,2,0),AO243,1),"")</f>
        <v>S</v>
      </c>
      <c r="AO243" s="3">
        <v>443</v>
      </c>
      <c r="AP243" s="3" t="str">
        <f>IFERROR(MID(VLOOKUP($B243,Seqs!$A:$B,2,0),AQ243,1),"")</f>
        <v>Q</v>
      </c>
      <c r="AQ243" s="3">
        <v>491</v>
      </c>
      <c r="AR243" s="3" t="str">
        <f>IFERROR(MID(VLOOKUP($B243,Seqs!$A:$B,2,0),AS243,1),"")</f>
        <v>L</v>
      </c>
      <c r="AS243" s="3">
        <v>515</v>
      </c>
      <c r="AT243" s="3" t="str">
        <f>IFERROR(MID(VLOOKUP($B243,Seqs!$A:$B,2,0),AU243,1),"")</f>
        <v>W</v>
      </c>
      <c r="AU243" s="3">
        <v>537</v>
      </c>
      <c r="AV243" s="3" t="str">
        <f>IFERROR(MID(VLOOKUP($B243,Seqs!$A:$B,2,0),AW243,1),"")</f>
        <v>T</v>
      </c>
      <c r="AW243" s="3">
        <v>538</v>
      </c>
      <c r="AX243" s="3" t="str">
        <f>IFERROR(MID(VLOOKUP($B243,Seqs!$A:$B,2,0),AY243,1),"")</f>
        <v>L</v>
      </c>
      <c r="AY243" s="3">
        <v>552</v>
      </c>
      <c r="AZ243" s="79" t="str">
        <f>VLOOKUP(B243,Classification!A:D,2,0)</f>
        <v>F</v>
      </c>
      <c r="BA243" s="96" t="str">
        <f>VLOOKUP(B243,Classification!A:D,4,0)</f>
        <v>Frizzled</v>
      </c>
      <c r="BB243" s="27" t="b">
        <f t="shared" si="1843"/>
        <v>1</v>
      </c>
      <c r="BC243" s="23">
        <f t="shared" si="1816"/>
        <v>248</v>
      </c>
      <c r="BD243" s="2" t="s">
        <v>23</v>
      </c>
      <c r="BE243" s="3" t="s">
        <v>1381</v>
      </c>
      <c r="BF243" s="121">
        <v>2.8</v>
      </c>
      <c r="BG243" s="50" t="s">
        <v>1384</v>
      </c>
      <c r="BH243" s="50" t="s">
        <v>1384</v>
      </c>
      <c r="BJ243" s="72" t="s">
        <v>1293</v>
      </c>
      <c r="BK243" s="58" t="s">
        <v>1293</v>
      </c>
      <c r="BL243" s="58" t="s">
        <v>1293</v>
      </c>
      <c r="BM243" s="58" t="s">
        <v>1293</v>
      </c>
      <c r="BN243" s="58" t="s">
        <v>1293</v>
      </c>
      <c r="BO243" s="58" t="s">
        <v>1293</v>
      </c>
      <c r="BP243" s="58" t="s">
        <v>1293</v>
      </c>
      <c r="BQ243" s="58" t="s">
        <v>1293</v>
      </c>
      <c r="BR243" s="58" t="s">
        <v>1293</v>
      </c>
      <c r="BS243" s="58" t="s">
        <v>1293</v>
      </c>
      <c r="BT243" s="58" t="s">
        <v>1293</v>
      </c>
      <c r="BU243" s="58" t="s">
        <v>1293</v>
      </c>
      <c r="BV243" s="72">
        <f t="shared" si="1817"/>
        <v>224</v>
      </c>
      <c r="BW243" s="73">
        <f t="shared" si="1818"/>
        <v>256</v>
      </c>
      <c r="BX243" s="74">
        <f t="shared" si="1819"/>
        <v>261</v>
      </c>
      <c r="BY243" s="73" t="str">
        <f t="shared" si="1820"/>
        <v>-</v>
      </c>
      <c r="BZ243" s="74">
        <f t="shared" si="1821"/>
        <v>312</v>
      </c>
      <c r="CA243" s="73" t="str">
        <f t="shared" si="1822"/>
        <v>-</v>
      </c>
      <c r="CB243" s="74">
        <f t="shared" si="1823"/>
        <v>356</v>
      </c>
      <c r="CC243" s="73">
        <f t="shared" si="1824"/>
        <v>390</v>
      </c>
      <c r="CD243" s="74">
        <f t="shared" si="1825"/>
        <v>397</v>
      </c>
      <c r="CE243" s="73">
        <f t="shared" si="1826"/>
        <v>443</v>
      </c>
      <c r="CF243" s="74">
        <f t="shared" si="1827"/>
        <v>515</v>
      </c>
      <c r="CG243" s="73">
        <f t="shared" si="1828"/>
        <v>538</v>
      </c>
      <c r="CH243" s="72">
        <f t="shared" si="1829"/>
        <v>255</v>
      </c>
      <c r="CI243" s="73">
        <f t="shared" si="1830"/>
        <v>260</v>
      </c>
      <c r="CJ243" s="74">
        <f t="shared" si="1831"/>
        <v>285</v>
      </c>
      <c r="CK243" s="74" t="str">
        <f t="shared" si="1832"/>
        <v>-</v>
      </c>
      <c r="CL243" s="74">
        <f t="shared" si="1833"/>
        <v>345</v>
      </c>
      <c r="CM243" s="74" t="str">
        <f t="shared" si="1834"/>
        <v>-</v>
      </c>
      <c r="CN243" s="74">
        <f t="shared" si="1835"/>
        <v>378</v>
      </c>
      <c r="CO243" s="74">
        <f t="shared" si="1836"/>
        <v>392</v>
      </c>
      <c r="CP243" s="74">
        <f t="shared" si="1837"/>
        <v>433</v>
      </c>
      <c r="CQ243" s="74">
        <f t="shared" si="1838"/>
        <v>491</v>
      </c>
      <c r="CR243" s="74">
        <f t="shared" si="1839"/>
        <v>537</v>
      </c>
      <c r="CS243" s="74">
        <f t="shared" si="1840"/>
        <v>552</v>
      </c>
      <c r="CT243" s="23">
        <f t="shared" si="1841"/>
        <v>1</v>
      </c>
    </row>
    <row r="244" spans="1:1030" x14ac:dyDescent="0.2">
      <c r="A244" s="3" t="str">
        <f t="shared" si="1842"/>
        <v>smo_human_4O9R</v>
      </c>
      <c r="B244" s="3" t="s">
        <v>33</v>
      </c>
      <c r="C244" s="3" t="s">
        <v>1050</v>
      </c>
      <c r="D244" s="3" t="str">
        <f>IFERROR(MID(VLOOKUP($B244,Seqs!$A:$B,2,0),E244,1),"")</f>
        <v>E</v>
      </c>
      <c r="E244" s="3">
        <v>224</v>
      </c>
      <c r="F244" s="3" t="str">
        <f>IFERROR(MID(VLOOKUP($B244,Seqs!$A:$B,2,0),G244,1),"")</f>
        <v>D</v>
      </c>
      <c r="G244" s="3">
        <v>255</v>
      </c>
      <c r="H244" s="3" t="str">
        <f>IFERROR(MID(VLOOKUP($B244,Seqs!$A:$B,2,0),I244,1),"")</f>
        <v>W</v>
      </c>
      <c r="I244" s="23">
        <v>256</v>
      </c>
      <c r="J244" s="3" t="str">
        <f>IFERROR(MID(VLOOKUP($B244,Seqs!$A:$B,2,0),K244,1),"")</f>
        <v>N</v>
      </c>
      <c r="K244" s="23">
        <v>260</v>
      </c>
      <c r="L244" s="3" t="str">
        <f>IFERROR(MID(VLOOKUP($B244,Seqs!$A:$B,2,0),M244,1),"")</f>
        <v>R</v>
      </c>
      <c r="M244" s="3">
        <v>261</v>
      </c>
      <c r="N244" s="3" t="str">
        <f>IFERROR(MID(VLOOKUP($B244,Seqs!$A:$B,2,0),O244,1),"")</f>
        <v>F</v>
      </c>
      <c r="O244" s="3">
        <v>285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L</v>
      </c>
      <c r="U244" s="3">
        <v>312</v>
      </c>
      <c r="V244" s="3" t="str">
        <f>IFERROR(MID(VLOOKUP($B244,Seqs!$A:$B,2,0),W244,1),"")</f>
        <v>F</v>
      </c>
      <c r="W244" s="3">
        <v>343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F</v>
      </c>
      <c r="AC244" s="9">
        <v>360</v>
      </c>
      <c r="AD244" s="3" t="str">
        <f>IFERROR(MID(VLOOKUP($B244,Seqs!$A:$B,2,0),AE244,1),"")</f>
        <v>V</v>
      </c>
      <c r="AE244" s="3">
        <v>378</v>
      </c>
      <c r="AF244" s="3" t="str">
        <f>IFERROR(MID(VLOOKUP($B244,Seqs!$A:$B,2,0),AG244,1),"")</f>
        <v>C</v>
      </c>
      <c r="AG244" s="3">
        <v>390</v>
      </c>
      <c r="AH244" s="3" t="str">
        <f>IFERROR(MID(VLOOKUP($B244,Seqs!$A:$B,2,0),AI244,1),"")</f>
        <v>V</v>
      </c>
      <c r="AI244" s="3">
        <v>392</v>
      </c>
      <c r="AJ244" s="3" t="str">
        <f>IFERROR(MID(VLOOKUP($B244,Seqs!$A:$B,2,0),AK244,1),"")</f>
        <v>Y</v>
      </c>
      <c r="AK244" s="3">
        <v>397</v>
      </c>
      <c r="AL244" s="3" t="str">
        <f>IFERROR(MID(VLOOKUP($B244,Seqs!$A:$B,2,0),AM244,1),"")</f>
        <v>H</v>
      </c>
      <c r="AM244" s="3">
        <v>433</v>
      </c>
      <c r="AN244" s="3" t="str">
        <f>IFERROR(MID(VLOOKUP($B244,Seqs!$A:$B,2,0),AO244,1),"")</f>
        <v>E</v>
      </c>
      <c r="AO244" s="3">
        <v>447</v>
      </c>
      <c r="AP244" s="3" t="str">
        <f>IFERROR(MID(VLOOKUP($B244,Seqs!$A:$B,2,0),AQ244,1),"")</f>
        <v>N</v>
      </c>
      <c r="AQ244" s="3">
        <v>493</v>
      </c>
      <c r="AR244" s="3" t="str">
        <f>IFERROR(MID(VLOOKUP($B244,Seqs!$A:$B,2,0),AS244,1),"")</f>
        <v>L</v>
      </c>
      <c r="AS244" s="3">
        <v>515</v>
      </c>
      <c r="AT244" s="3" t="str">
        <f>IFERROR(MID(VLOOKUP($B244,Seqs!$A:$B,2,0),AU244,1),"")</f>
        <v>W</v>
      </c>
      <c r="AU244" s="3">
        <v>537</v>
      </c>
      <c r="AV244" s="3" t="str">
        <f>IFERROR(MID(VLOOKUP($B244,Seqs!$A:$B,2,0),AW244,1),"")</f>
        <v>T</v>
      </c>
      <c r="AW244" s="3">
        <v>538</v>
      </c>
      <c r="AX244" s="3" t="str">
        <f>IFERROR(MID(VLOOKUP($B244,Seqs!$A:$B,2,0),AY244,1),"")</f>
        <v>W</v>
      </c>
      <c r="AY244" s="3">
        <v>549</v>
      </c>
      <c r="AZ244" s="80" t="str">
        <f>VLOOKUP(B244,Classification!A:D,2,0)</f>
        <v>F</v>
      </c>
      <c r="BA244" s="96" t="str">
        <f>VLOOKUP(B244,Classification!A:D,4,0)</f>
        <v>Frizzled</v>
      </c>
      <c r="BB244" s="94" t="b">
        <f t="shared" si="1843"/>
        <v>1</v>
      </c>
      <c r="BC244" s="23">
        <f t="shared" si="1816"/>
        <v>237</v>
      </c>
      <c r="BD244" s="76" t="s">
        <v>23</v>
      </c>
      <c r="BE244" s="3" t="s">
        <v>1381</v>
      </c>
      <c r="BF244" s="121">
        <v>3.2</v>
      </c>
      <c r="BG244" s="50" t="s">
        <v>1384</v>
      </c>
      <c r="BH244" s="50" t="s">
        <v>1384</v>
      </c>
      <c r="BJ244" s="77" t="s">
        <v>1293</v>
      </c>
      <c r="BK244" s="58" t="s">
        <v>1293</v>
      </c>
      <c r="BL244" s="58" t="s">
        <v>1293</v>
      </c>
      <c r="BM244" s="58" t="s">
        <v>1293</v>
      </c>
      <c r="BN244" s="58" t="s">
        <v>1293</v>
      </c>
      <c r="BO244" s="58" t="s">
        <v>1293</v>
      </c>
      <c r="BP244" s="58" t="s">
        <v>1293</v>
      </c>
      <c r="BQ244" s="58" t="s">
        <v>1293</v>
      </c>
      <c r="BR244" s="58" t="s">
        <v>1293</v>
      </c>
      <c r="BS244" s="58" t="s">
        <v>1293</v>
      </c>
      <c r="BT244" s="58" t="s">
        <v>1293</v>
      </c>
      <c r="BU244" s="58" t="s">
        <v>1293</v>
      </c>
      <c r="BV244" s="77">
        <f t="shared" si="1817"/>
        <v>224</v>
      </c>
      <c r="BW244" s="73">
        <f t="shared" si="1818"/>
        <v>256</v>
      </c>
      <c r="BX244" s="74">
        <f t="shared" si="1819"/>
        <v>261</v>
      </c>
      <c r="BY244" s="73" t="str">
        <f t="shared" si="1820"/>
        <v>-</v>
      </c>
      <c r="BZ244" s="74">
        <f t="shared" si="1821"/>
        <v>312</v>
      </c>
      <c r="CA244" s="73" t="str">
        <f t="shared" si="1822"/>
        <v>-</v>
      </c>
      <c r="CB244" s="74">
        <f t="shared" si="1823"/>
        <v>360</v>
      </c>
      <c r="CC244" s="73">
        <f t="shared" si="1824"/>
        <v>390</v>
      </c>
      <c r="CD244" s="74">
        <f t="shared" si="1825"/>
        <v>397</v>
      </c>
      <c r="CE244" s="73">
        <f t="shared" si="1826"/>
        <v>447</v>
      </c>
      <c r="CF244" s="74">
        <f t="shared" si="1827"/>
        <v>515</v>
      </c>
      <c r="CG244" s="73">
        <f t="shared" si="1828"/>
        <v>538</v>
      </c>
      <c r="CH244" s="77">
        <f t="shared" si="1829"/>
        <v>255</v>
      </c>
      <c r="CI244" s="73">
        <f t="shared" si="1830"/>
        <v>260</v>
      </c>
      <c r="CJ244" s="74">
        <f t="shared" si="1831"/>
        <v>285</v>
      </c>
      <c r="CK244" s="74" t="str">
        <f t="shared" si="1832"/>
        <v>-</v>
      </c>
      <c r="CL244" s="74">
        <f t="shared" si="1833"/>
        <v>343</v>
      </c>
      <c r="CM244" s="74" t="str">
        <f t="shared" si="1834"/>
        <v>-</v>
      </c>
      <c r="CN244" s="74">
        <f t="shared" si="1835"/>
        <v>378</v>
      </c>
      <c r="CO244" s="74">
        <f t="shared" si="1836"/>
        <v>392</v>
      </c>
      <c r="CP244" s="74">
        <f t="shared" si="1837"/>
        <v>433</v>
      </c>
      <c r="CQ244" s="74">
        <f t="shared" si="1838"/>
        <v>493</v>
      </c>
      <c r="CR244" s="74">
        <f t="shared" si="1839"/>
        <v>537</v>
      </c>
      <c r="CS244" s="74">
        <f t="shared" si="1840"/>
        <v>549</v>
      </c>
      <c r="CT244" s="23">
        <f t="shared" si="1841"/>
        <v>1</v>
      </c>
    </row>
    <row r="245" spans="1:1030" s="6" customFormat="1" x14ac:dyDescent="0.2">
      <c r="A245" s="3" t="str">
        <f t="shared" si="1842"/>
        <v>smo_human_4QIM</v>
      </c>
      <c r="B245" s="3" t="s">
        <v>33</v>
      </c>
      <c r="C245" s="3" t="s">
        <v>1052</v>
      </c>
      <c r="D245" s="3" t="str">
        <f>IFERROR(MID(VLOOKUP($B245,Seqs!$A:$B,2,0),E245,1),"")</f>
        <v>E</v>
      </c>
      <c r="E245" s="3">
        <v>224</v>
      </c>
      <c r="F245" s="3" t="str">
        <f>IFERROR(MID(VLOOKUP($B245,Seqs!$A:$B,2,0),G245,1),"")</f>
        <v>D</v>
      </c>
      <c r="G245" s="3">
        <v>255</v>
      </c>
      <c r="H245" s="3" t="str">
        <f>IFERROR(MID(VLOOKUP($B245,Seqs!$A:$B,2,0),I245,1),"")</f>
        <v>W</v>
      </c>
      <c r="I245" s="23">
        <v>256</v>
      </c>
      <c r="J245" s="3" t="str">
        <f>IFERROR(MID(VLOOKUP($B245,Seqs!$A:$B,2,0),K245,1),"")</f>
        <v>N</v>
      </c>
      <c r="K245" s="23">
        <v>260</v>
      </c>
      <c r="L245" s="3" t="str">
        <f>IFERROR(MID(VLOOKUP($B245,Seqs!$A:$B,2,0),M245,1),"")</f>
        <v>R</v>
      </c>
      <c r="M245" s="3">
        <v>261</v>
      </c>
      <c r="N245" s="3" t="str">
        <f>IFERROR(MID(VLOOKUP($B245,Seqs!$A:$B,2,0),O245,1),"")</f>
        <v>F</v>
      </c>
      <c r="O245" s="3">
        <v>285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L</v>
      </c>
      <c r="U245" s="3">
        <v>312</v>
      </c>
      <c r="V245" s="3" t="str">
        <f>IFERROR(MID(VLOOKUP($B245,Seqs!$A:$B,2,0),W245,1),"")</f>
        <v>A</v>
      </c>
      <c r="W245" s="3">
        <v>345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K</v>
      </c>
      <c r="AC245" s="9">
        <v>356</v>
      </c>
      <c r="AD245" s="3" t="str">
        <f>IFERROR(MID(VLOOKUP($B245,Seqs!$A:$B,2,0),AE245,1),"")</f>
        <v>V</v>
      </c>
      <c r="AE245" s="3">
        <v>378</v>
      </c>
      <c r="AF245" s="3" t="str">
        <f>IFERROR(MID(VLOOKUP($B245,Seqs!$A:$B,2,0),AG245,1),"")</f>
        <v>C</v>
      </c>
      <c r="AG245" s="3">
        <v>390</v>
      </c>
      <c r="AH245" s="3" t="str">
        <f>IFERROR(MID(VLOOKUP($B245,Seqs!$A:$B,2,0),AI245,1),"")</f>
        <v>V</v>
      </c>
      <c r="AI245" s="3">
        <v>392</v>
      </c>
      <c r="AJ245" s="3" t="str">
        <f>IFERROR(MID(VLOOKUP($B245,Seqs!$A:$B,2,0),AK245,1),"")</f>
        <v>Y</v>
      </c>
      <c r="AK245" s="3">
        <v>397</v>
      </c>
      <c r="AL245" s="3" t="str">
        <f>IFERROR(MID(VLOOKUP($B245,Seqs!$A:$B,2,0),AM245,1),"")</f>
        <v>H</v>
      </c>
      <c r="AM245" s="3">
        <v>433</v>
      </c>
      <c r="AN245" s="3" t="str">
        <f>IFERROR(MID(VLOOKUP($B245,Seqs!$A:$B,2,0),AO245,1),"")</f>
        <v>E</v>
      </c>
      <c r="AO245" s="3">
        <v>447</v>
      </c>
      <c r="AP245" s="3" t="str">
        <f>IFERROR(MID(VLOOKUP($B245,Seqs!$A:$B,2,0),AQ245,1),"")</f>
        <v>N</v>
      </c>
      <c r="AQ245" s="3">
        <v>493</v>
      </c>
      <c r="AR245" s="3" t="str">
        <f>IFERROR(MID(VLOOKUP($B245,Seqs!$A:$B,2,0),AS245,1),"")</f>
        <v>L</v>
      </c>
      <c r="AS245" s="3">
        <v>515</v>
      </c>
      <c r="AT245" s="3" t="str">
        <f>IFERROR(MID(VLOOKUP($B245,Seqs!$A:$B,2,0),AU245,1),"")</f>
        <v>W</v>
      </c>
      <c r="AU245" s="3">
        <v>537</v>
      </c>
      <c r="AV245" s="3" t="str">
        <f>IFERROR(MID(VLOOKUP($B245,Seqs!$A:$B,2,0),AW245,1),"")</f>
        <v>T</v>
      </c>
      <c r="AW245" s="3">
        <v>538</v>
      </c>
      <c r="AX245" s="3" t="str">
        <f>IFERROR(MID(VLOOKUP($B245,Seqs!$A:$B,2,0),AY245,1),"")</f>
        <v>T</v>
      </c>
      <c r="AY245" s="3">
        <v>553</v>
      </c>
      <c r="AZ245" s="80" t="str">
        <f>VLOOKUP(B245,Classification!A:D,2,0)</f>
        <v>F</v>
      </c>
      <c r="BA245" s="96" t="str">
        <f>VLOOKUP(B245,Classification!A:D,4,0)</f>
        <v>Frizzled</v>
      </c>
      <c r="BB245" s="94" t="b">
        <f t="shared" si="1843"/>
        <v>1</v>
      </c>
      <c r="BC245" s="23">
        <f t="shared" si="1816"/>
        <v>247</v>
      </c>
      <c r="BD245" s="76" t="s">
        <v>23</v>
      </c>
      <c r="BE245" s="3" t="s">
        <v>1381</v>
      </c>
      <c r="BF245" s="121">
        <v>2.61</v>
      </c>
      <c r="BG245" s="50" t="s">
        <v>1384</v>
      </c>
      <c r="BH245" s="50" t="s">
        <v>1384</v>
      </c>
      <c r="BI245" s="3"/>
      <c r="BJ245" s="77" t="s">
        <v>1293</v>
      </c>
      <c r="BK245" s="58" t="s">
        <v>1293</v>
      </c>
      <c r="BL245" s="58" t="s">
        <v>1293</v>
      </c>
      <c r="BM245" s="58" t="s">
        <v>1293</v>
      </c>
      <c r="BN245" s="58" t="s">
        <v>1293</v>
      </c>
      <c r="BO245" s="58" t="s">
        <v>1293</v>
      </c>
      <c r="BP245" s="58" t="s">
        <v>1293</v>
      </c>
      <c r="BQ245" s="58" t="s">
        <v>1293</v>
      </c>
      <c r="BR245" s="58" t="s">
        <v>1293</v>
      </c>
      <c r="BS245" s="58" t="s">
        <v>1293</v>
      </c>
      <c r="BT245" s="58" t="s">
        <v>1293</v>
      </c>
      <c r="BU245" s="58" t="s">
        <v>1293</v>
      </c>
      <c r="BV245" s="77">
        <f t="shared" si="1817"/>
        <v>224</v>
      </c>
      <c r="BW245" s="73">
        <f t="shared" si="1818"/>
        <v>256</v>
      </c>
      <c r="BX245" s="74">
        <f t="shared" si="1819"/>
        <v>261</v>
      </c>
      <c r="BY245" s="73" t="str">
        <f t="shared" si="1820"/>
        <v>-</v>
      </c>
      <c r="BZ245" s="74">
        <f t="shared" si="1821"/>
        <v>312</v>
      </c>
      <c r="CA245" s="73" t="str">
        <f t="shared" si="1822"/>
        <v>-</v>
      </c>
      <c r="CB245" s="74">
        <f t="shared" si="1823"/>
        <v>356</v>
      </c>
      <c r="CC245" s="73">
        <f t="shared" si="1824"/>
        <v>390</v>
      </c>
      <c r="CD245" s="74">
        <f t="shared" si="1825"/>
        <v>397</v>
      </c>
      <c r="CE245" s="73">
        <f t="shared" si="1826"/>
        <v>447</v>
      </c>
      <c r="CF245" s="74">
        <f t="shared" si="1827"/>
        <v>515</v>
      </c>
      <c r="CG245" s="73">
        <f t="shared" si="1828"/>
        <v>538</v>
      </c>
      <c r="CH245" s="77">
        <f t="shared" si="1829"/>
        <v>255</v>
      </c>
      <c r="CI245" s="73">
        <f t="shared" si="1830"/>
        <v>260</v>
      </c>
      <c r="CJ245" s="74">
        <f t="shared" si="1831"/>
        <v>285</v>
      </c>
      <c r="CK245" s="74" t="str">
        <f t="shared" si="1832"/>
        <v>-</v>
      </c>
      <c r="CL245" s="74">
        <f t="shared" si="1833"/>
        <v>345</v>
      </c>
      <c r="CM245" s="74" t="str">
        <f t="shared" si="1834"/>
        <v>-</v>
      </c>
      <c r="CN245" s="74">
        <f t="shared" si="1835"/>
        <v>378</v>
      </c>
      <c r="CO245" s="74">
        <f t="shared" si="1836"/>
        <v>392</v>
      </c>
      <c r="CP245" s="74">
        <f t="shared" si="1837"/>
        <v>433</v>
      </c>
      <c r="CQ245" s="74">
        <f t="shared" si="1838"/>
        <v>493</v>
      </c>
      <c r="CR245" s="74">
        <f t="shared" si="1839"/>
        <v>537</v>
      </c>
      <c r="CS245" s="74">
        <f t="shared" si="1840"/>
        <v>553</v>
      </c>
      <c r="CT245" s="23">
        <f t="shared" si="1841"/>
        <v>1</v>
      </c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1"/>
    </row>
    <row r="246" spans="1:1030" s="6" customFormat="1" x14ac:dyDescent="0.2">
      <c r="A246" s="3" t="str">
        <f t="shared" si="1842"/>
        <v>smo_human_4QIN</v>
      </c>
      <c r="B246" s="3" t="s">
        <v>33</v>
      </c>
      <c r="C246" s="3" t="s">
        <v>56</v>
      </c>
      <c r="D246" s="3" t="str">
        <f>IFERROR(MID(VLOOKUP($B246,Seqs!$A:$B,2,0),E246,1),"")</f>
        <v>E</v>
      </c>
      <c r="E246" s="3">
        <v>224</v>
      </c>
      <c r="F246" s="3" t="str">
        <f>IFERROR(MID(VLOOKUP($B246,Seqs!$A:$B,2,0),G246,1),"")</f>
        <v>D</v>
      </c>
      <c r="G246" s="3">
        <v>255</v>
      </c>
      <c r="H246" s="3" t="str">
        <f>IFERROR(MID(VLOOKUP($B246,Seqs!$A:$B,2,0),I246,1),"")</f>
        <v>W</v>
      </c>
      <c r="I246" s="23">
        <v>256</v>
      </c>
      <c r="J246" s="3" t="str">
        <f>IFERROR(MID(VLOOKUP($B246,Seqs!$A:$B,2,0),K246,1),"")</f>
        <v>N</v>
      </c>
      <c r="K246" s="23">
        <v>260</v>
      </c>
      <c r="L246" s="3" t="str">
        <f>IFERROR(MID(VLOOKUP($B246,Seqs!$A:$B,2,0),M246,1),"")</f>
        <v>R</v>
      </c>
      <c r="M246" s="3">
        <v>261</v>
      </c>
      <c r="N246" s="3" t="str">
        <f>IFERROR(MID(VLOOKUP($B246,Seqs!$A:$B,2,0),O246,1),"")</f>
        <v>F</v>
      </c>
      <c r="O246" s="3">
        <v>285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312</v>
      </c>
      <c r="V246" s="3" t="str">
        <f>IFERROR(MID(VLOOKUP($B246,Seqs!$A:$B,2,0),W246,1),"")</f>
        <v>A</v>
      </c>
      <c r="W246" s="3">
        <v>345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L</v>
      </c>
      <c r="AC246" s="9">
        <v>353</v>
      </c>
      <c r="AD246" s="3" t="str">
        <f>IFERROR(MID(VLOOKUP($B246,Seqs!$A:$B,2,0),AE246,1),"")</f>
        <v>V</v>
      </c>
      <c r="AE246" s="3">
        <v>378</v>
      </c>
      <c r="AF246" s="3" t="str">
        <f>IFERROR(MID(VLOOKUP($B246,Seqs!$A:$B,2,0),AG246,1),"")</f>
        <v>C</v>
      </c>
      <c r="AG246" s="3">
        <v>390</v>
      </c>
      <c r="AH246" s="3" t="str">
        <f>IFERROR(MID(VLOOKUP($B246,Seqs!$A:$B,2,0),AI246,1),"")</f>
        <v>V</v>
      </c>
      <c r="AI246" s="3">
        <v>392</v>
      </c>
      <c r="AJ246" s="3" t="str">
        <f>IFERROR(MID(VLOOKUP($B246,Seqs!$A:$B,2,0),AK246,1),"")</f>
        <v>Y</v>
      </c>
      <c r="AK246" s="3">
        <v>397</v>
      </c>
      <c r="AL246" s="3" t="str">
        <f>IFERROR(MID(VLOOKUP($B246,Seqs!$A:$B,2,0),AM246,1),"")</f>
        <v>H</v>
      </c>
      <c r="AM246" s="3">
        <v>433</v>
      </c>
      <c r="AN246" s="3" t="str">
        <f>IFERROR(MID(VLOOKUP($B246,Seqs!$A:$B,2,0),AO246,1),"")</f>
        <v>E</v>
      </c>
      <c r="AO246" s="3">
        <v>447</v>
      </c>
      <c r="AP246" s="3" t="str">
        <f>IFERROR(MID(VLOOKUP($B246,Seqs!$A:$B,2,0),AQ246,1),"")</f>
        <v>A</v>
      </c>
      <c r="AQ246" s="3">
        <v>492</v>
      </c>
      <c r="AR246" s="3" t="str">
        <f>IFERROR(MID(VLOOKUP($B246,Seqs!$A:$B,2,0),AS246,1),"")</f>
        <v>L</v>
      </c>
      <c r="AS246" s="3">
        <v>515</v>
      </c>
      <c r="AT246" s="3" t="str">
        <f>IFERROR(MID(VLOOKUP($B246,Seqs!$A:$B,2,0),AU246,1),"")</f>
        <v>W</v>
      </c>
      <c r="AU246" s="3">
        <v>537</v>
      </c>
      <c r="AV246" s="3" t="str">
        <f>IFERROR(MID(VLOOKUP($B246,Seqs!$A:$B,2,0),AW246,1),"")</f>
        <v>T</v>
      </c>
      <c r="AW246" s="3">
        <v>538</v>
      </c>
      <c r="AX246" s="3" t="str">
        <f>IFERROR(MID(VLOOKUP($B246,Seqs!$A:$B,2,0),AY246,1),"")</f>
        <v>R</v>
      </c>
      <c r="AY246" s="3">
        <v>551</v>
      </c>
      <c r="AZ246" s="80" t="str">
        <f>VLOOKUP(B246,Classification!A:D,2,0)</f>
        <v>F</v>
      </c>
      <c r="BA246" s="96" t="str">
        <f>VLOOKUP(B246,Classification!A:D,4,0)</f>
        <v>Frizzled</v>
      </c>
      <c r="BB246" s="94" t="b">
        <f t="shared" si="1843"/>
        <v>1</v>
      </c>
      <c r="BC246" s="23">
        <f t="shared" si="1816"/>
        <v>247</v>
      </c>
      <c r="BD246" s="76" t="s">
        <v>23</v>
      </c>
      <c r="BE246" s="3" t="s">
        <v>1381</v>
      </c>
      <c r="BF246" s="121">
        <v>2.6</v>
      </c>
      <c r="BG246" s="50" t="s">
        <v>1384</v>
      </c>
      <c r="BH246" s="50" t="s">
        <v>1384</v>
      </c>
      <c r="BI246" s="3"/>
      <c r="BJ246" s="77" t="s">
        <v>1293</v>
      </c>
      <c r="BK246" s="58" t="s">
        <v>1293</v>
      </c>
      <c r="BL246" s="58" t="s">
        <v>1293</v>
      </c>
      <c r="BM246" s="58" t="s">
        <v>1293</v>
      </c>
      <c r="BN246" s="58" t="s">
        <v>1293</v>
      </c>
      <c r="BO246" s="58" t="s">
        <v>1293</v>
      </c>
      <c r="BP246" s="58" t="s">
        <v>1293</v>
      </c>
      <c r="BQ246" s="58" t="s">
        <v>1293</v>
      </c>
      <c r="BR246" s="58" t="s">
        <v>1293</v>
      </c>
      <c r="BS246" s="58" t="s">
        <v>1293</v>
      </c>
      <c r="BT246" s="58" t="s">
        <v>1293</v>
      </c>
      <c r="BU246" s="58" t="s">
        <v>1293</v>
      </c>
      <c r="BV246" s="77">
        <f t="shared" si="1817"/>
        <v>224</v>
      </c>
      <c r="BW246" s="73">
        <f t="shared" si="1818"/>
        <v>256</v>
      </c>
      <c r="BX246" s="74">
        <f t="shared" si="1819"/>
        <v>261</v>
      </c>
      <c r="BY246" s="73" t="str">
        <f t="shared" si="1820"/>
        <v>-</v>
      </c>
      <c r="BZ246" s="74">
        <f t="shared" si="1821"/>
        <v>312</v>
      </c>
      <c r="CA246" s="73" t="str">
        <f t="shared" si="1822"/>
        <v>-</v>
      </c>
      <c r="CB246" s="74">
        <f t="shared" si="1823"/>
        <v>353</v>
      </c>
      <c r="CC246" s="73">
        <f t="shared" si="1824"/>
        <v>390</v>
      </c>
      <c r="CD246" s="74">
        <f t="shared" si="1825"/>
        <v>397</v>
      </c>
      <c r="CE246" s="73">
        <f t="shared" si="1826"/>
        <v>447</v>
      </c>
      <c r="CF246" s="74">
        <f t="shared" si="1827"/>
        <v>515</v>
      </c>
      <c r="CG246" s="73">
        <f t="shared" si="1828"/>
        <v>538</v>
      </c>
      <c r="CH246" s="77">
        <f t="shared" si="1829"/>
        <v>255</v>
      </c>
      <c r="CI246" s="73">
        <f t="shared" si="1830"/>
        <v>260</v>
      </c>
      <c r="CJ246" s="74">
        <f t="shared" si="1831"/>
        <v>285</v>
      </c>
      <c r="CK246" s="74" t="str">
        <f t="shared" si="1832"/>
        <v>-</v>
      </c>
      <c r="CL246" s="74">
        <f t="shared" si="1833"/>
        <v>345</v>
      </c>
      <c r="CM246" s="74" t="str">
        <f t="shared" si="1834"/>
        <v>-</v>
      </c>
      <c r="CN246" s="74">
        <f t="shared" si="1835"/>
        <v>378</v>
      </c>
      <c r="CO246" s="74">
        <f t="shared" si="1836"/>
        <v>392</v>
      </c>
      <c r="CP246" s="74">
        <f t="shared" si="1837"/>
        <v>433</v>
      </c>
      <c r="CQ246" s="74">
        <f t="shared" si="1838"/>
        <v>492</v>
      </c>
      <c r="CR246" s="74">
        <f t="shared" si="1839"/>
        <v>537</v>
      </c>
      <c r="CS246" s="74">
        <f t="shared" si="1840"/>
        <v>551</v>
      </c>
      <c r="CT246" s="23">
        <f t="shared" si="1841"/>
        <v>1</v>
      </c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1"/>
    </row>
    <row r="247" spans="1:1030" s="6" customFormat="1" x14ac:dyDescent="0.2">
      <c r="A247" s="3" t="str">
        <f t="shared" si="1842"/>
        <v>smo_human_5L7D</v>
      </c>
      <c r="B247" s="3" t="s">
        <v>33</v>
      </c>
      <c r="C247" s="3" t="s">
        <v>1358</v>
      </c>
      <c r="D247" s="3" t="str">
        <f>IFERROR(MID(VLOOKUP($B247,Seqs!$A:$B,2,0),E247,1),"")</f>
        <v>E</v>
      </c>
      <c r="E247" s="3">
        <v>224</v>
      </c>
      <c r="F247" s="3" t="str">
        <f>IFERROR(MID(VLOOKUP($B247,Seqs!$A:$B,2,0),G247,1),"")</f>
        <v>D</v>
      </c>
      <c r="G247" s="3">
        <v>255</v>
      </c>
      <c r="H247" s="3" t="str">
        <f>IFERROR(MID(VLOOKUP($B247,Seqs!$A:$B,2,0),I247,1),"")</f>
        <v>W</v>
      </c>
      <c r="I247" s="23">
        <v>256</v>
      </c>
      <c r="J247" s="3" t="str">
        <f>IFERROR(MID(VLOOKUP($B247,Seqs!$A:$B,2,0),K247,1),"")</f>
        <v>N</v>
      </c>
      <c r="K247" s="23">
        <v>260</v>
      </c>
      <c r="L247" s="3" t="str">
        <f>IFERROR(MID(VLOOKUP($B247,Seqs!$A:$B,2,0),M247,1),"")</f>
        <v>R</v>
      </c>
      <c r="M247" s="3">
        <v>261</v>
      </c>
      <c r="N247" s="3" t="str">
        <f>IFERROR(MID(VLOOKUP($B247,Seqs!$A:$B,2,0),O247,1),"")</f>
        <v>F</v>
      </c>
      <c r="O247" s="3">
        <v>285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312</v>
      </c>
      <c r="V247" s="3" t="str">
        <f>IFERROR(MID(VLOOKUP($B247,Seqs!$A:$B,2,0),W247,1),"")</f>
        <v>L</v>
      </c>
      <c r="W247" s="3">
        <v>346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L</v>
      </c>
      <c r="AC247" s="9">
        <v>353</v>
      </c>
      <c r="AD247" s="3" t="str">
        <f>IFERROR(MID(VLOOKUP($B247,Seqs!$A:$B,2,0),AE247,1),"")</f>
        <v>V</v>
      </c>
      <c r="AE247" s="3">
        <v>378</v>
      </c>
      <c r="AF247" s="3" t="str">
        <f>IFERROR(MID(VLOOKUP($B247,Seqs!$A:$B,2,0),AG247,1),"")</f>
        <v>C</v>
      </c>
      <c r="AG247" s="3">
        <v>390</v>
      </c>
      <c r="AH247" s="3" t="str">
        <f>IFERROR(MID(VLOOKUP($B247,Seqs!$A:$B,2,0),AI247,1),"")</f>
        <v>V</v>
      </c>
      <c r="AI247" s="3">
        <v>392</v>
      </c>
      <c r="AJ247" s="3" t="str">
        <f>IFERROR(MID(VLOOKUP($B247,Seqs!$A:$B,2,0),AK247,1),"")</f>
        <v>Y</v>
      </c>
      <c r="AK247" s="3">
        <v>397</v>
      </c>
      <c r="AL247" s="3" t="str">
        <f>IFERROR(MID(VLOOKUP($B247,Seqs!$A:$B,2,0),AM247,1),"")</f>
        <v>S</v>
      </c>
      <c r="AM247" s="3">
        <v>428</v>
      </c>
      <c r="AN247" s="3" t="str">
        <f>IFERROR(MID(VLOOKUP($B247,Seqs!$A:$B,2,0),AO247,1),"")</f>
        <v>E</v>
      </c>
      <c r="AO247" s="3">
        <v>447</v>
      </c>
      <c r="AP247" s="3" t="str">
        <f>IFERROR(MID(VLOOKUP($B247,Seqs!$A:$B,2,0),AQ247,1),"")</f>
        <v>I</v>
      </c>
      <c r="AQ247" s="3">
        <v>496</v>
      </c>
      <c r="AR247" s="3" t="str">
        <f>IFERROR(MID(VLOOKUP($B247,Seqs!$A:$B,2,0),AS247,1),"")</f>
        <v>L</v>
      </c>
      <c r="AS247" s="3">
        <v>515</v>
      </c>
      <c r="AT247" s="3" t="str">
        <f>IFERROR(MID(VLOOKUP($B247,Seqs!$A:$B,2,0),AU247,1),"")</f>
        <v>W</v>
      </c>
      <c r="AU247" s="3">
        <v>537</v>
      </c>
      <c r="AV247" s="3" t="str">
        <f>IFERROR(MID(VLOOKUP($B247,Seqs!$A:$B,2,0),AW247,1),"")</f>
        <v>T</v>
      </c>
      <c r="AW247" s="3">
        <v>538</v>
      </c>
      <c r="AX247" s="3" t="str">
        <f>IFERROR(MID(VLOOKUP($B247,Seqs!$A:$B,2,0),AY247,1),"")</f>
        <v>T</v>
      </c>
      <c r="AY247" s="3">
        <v>553</v>
      </c>
      <c r="AZ247" s="80" t="str">
        <f>VLOOKUP(B247,Classification!A:D,2,0)</f>
        <v>F</v>
      </c>
      <c r="BA247" s="96" t="str">
        <f>VLOOKUP(B247,Classification!A:D,4,0)</f>
        <v>Frizzled</v>
      </c>
      <c r="BB247" s="94" t="b">
        <f t="shared" si="1843"/>
        <v>1</v>
      </c>
      <c r="BC247" s="23">
        <f t="shared" si="1816"/>
        <v>249</v>
      </c>
      <c r="BD247" s="76" t="s">
        <v>1383</v>
      </c>
      <c r="BE247" s="3" t="s">
        <v>1381</v>
      </c>
      <c r="BF247" s="121">
        <v>3.2</v>
      </c>
      <c r="BG247" s="50" t="s">
        <v>1</v>
      </c>
      <c r="BH247" s="50" t="s">
        <v>1384</v>
      </c>
      <c r="BI247" s="3" t="s">
        <v>1367</v>
      </c>
      <c r="BJ247" s="77" t="s">
        <v>1293</v>
      </c>
      <c r="BK247" s="58" t="s">
        <v>1293</v>
      </c>
      <c r="BL247" s="58" t="s">
        <v>1293</v>
      </c>
      <c r="BM247" s="58" t="s">
        <v>1293</v>
      </c>
      <c r="BN247" s="58" t="s">
        <v>1293</v>
      </c>
      <c r="BO247" s="58" t="s">
        <v>1293</v>
      </c>
      <c r="BP247" s="58" t="s">
        <v>1293</v>
      </c>
      <c r="BQ247" s="58" t="s">
        <v>1293</v>
      </c>
      <c r="BR247" s="58" t="s">
        <v>1293</v>
      </c>
      <c r="BS247" s="58" t="s">
        <v>1293</v>
      </c>
      <c r="BT247" s="58" t="s">
        <v>1293</v>
      </c>
      <c r="BU247" s="58" t="s">
        <v>1293</v>
      </c>
      <c r="BV247" s="77">
        <f t="shared" si="1817"/>
        <v>224</v>
      </c>
      <c r="BW247" s="73">
        <f t="shared" si="1818"/>
        <v>256</v>
      </c>
      <c r="BX247" s="74">
        <f t="shared" si="1819"/>
        <v>261</v>
      </c>
      <c r="BY247" s="73" t="str">
        <f t="shared" si="1820"/>
        <v>-</v>
      </c>
      <c r="BZ247" s="74">
        <f t="shared" si="1821"/>
        <v>312</v>
      </c>
      <c r="CA247" s="73" t="str">
        <f t="shared" si="1822"/>
        <v>-</v>
      </c>
      <c r="CB247" s="74">
        <f t="shared" si="1823"/>
        <v>353</v>
      </c>
      <c r="CC247" s="73">
        <f t="shared" si="1824"/>
        <v>390</v>
      </c>
      <c r="CD247" s="74">
        <f t="shared" si="1825"/>
        <v>397</v>
      </c>
      <c r="CE247" s="73">
        <f t="shared" si="1826"/>
        <v>447</v>
      </c>
      <c r="CF247" s="74">
        <f t="shared" si="1827"/>
        <v>515</v>
      </c>
      <c r="CG247" s="73">
        <f t="shared" si="1828"/>
        <v>538</v>
      </c>
      <c r="CH247" s="77">
        <f t="shared" si="1829"/>
        <v>255</v>
      </c>
      <c r="CI247" s="73">
        <f t="shared" si="1830"/>
        <v>260</v>
      </c>
      <c r="CJ247" s="74">
        <f t="shared" si="1831"/>
        <v>285</v>
      </c>
      <c r="CK247" s="74" t="str">
        <f t="shared" si="1832"/>
        <v>-</v>
      </c>
      <c r="CL247" s="74">
        <f t="shared" si="1833"/>
        <v>346</v>
      </c>
      <c r="CM247" s="74" t="str">
        <f t="shared" si="1834"/>
        <v>-</v>
      </c>
      <c r="CN247" s="74">
        <f t="shared" si="1835"/>
        <v>378</v>
      </c>
      <c r="CO247" s="74">
        <f t="shared" si="1836"/>
        <v>392</v>
      </c>
      <c r="CP247" s="74">
        <f t="shared" si="1837"/>
        <v>428</v>
      </c>
      <c r="CQ247" s="74">
        <f t="shared" si="1838"/>
        <v>496</v>
      </c>
      <c r="CR247" s="74">
        <f t="shared" si="1839"/>
        <v>537</v>
      </c>
      <c r="CS247" s="74">
        <f t="shared" si="1840"/>
        <v>553</v>
      </c>
      <c r="CT247" s="23">
        <f t="shared" si="1841"/>
        <v>1</v>
      </c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1"/>
    </row>
    <row r="248" spans="1:1030" s="6" customFormat="1" x14ac:dyDescent="0.2">
      <c r="A248" s="3" t="str">
        <f t="shared" si="1842"/>
        <v>smo_human_5L7I</v>
      </c>
      <c r="B248" s="3" t="s">
        <v>33</v>
      </c>
      <c r="C248" s="3" t="s">
        <v>1359</v>
      </c>
      <c r="D248" s="3" t="str">
        <f>IFERROR(MID(VLOOKUP($B248,Seqs!$A:$B,2,0),E248,1),"")</f>
        <v>E</v>
      </c>
      <c r="E248" s="3">
        <v>224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L</v>
      </c>
      <c r="W248" s="3">
        <v>346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S</v>
      </c>
      <c r="AC248" s="9">
        <v>354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Y</v>
      </c>
      <c r="AK248" s="3">
        <v>397</v>
      </c>
      <c r="AL248" s="3" t="str">
        <f>IFERROR(MID(VLOOKUP($B248,Seqs!$A:$B,2,0),AM248,1),"")</f>
        <v>S</v>
      </c>
      <c r="AM248" s="3">
        <v>428</v>
      </c>
      <c r="AN248" s="3" t="str">
        <f>IFERROR(MID(VLOOKUP($B248,Seqs!$A:$B,2,0),AO248,1),"")</f>
        <v>E</v>
      </c>
      <c r="AO248" s="3">
        <v>447</v>
      </c>
      <c r="AP248" s="3" t="str">
        <f>IFERROR(MID(VLOOKUP($B248,Seqs!$A:$B,2,0),AQ248,1),"")</f>
        <v>N</v>
      </c>
      <c r="AQ248" s="3">
        <v>493</v>
      </c>
      <c r="AR248" s="3" t="str">
        <f>IFERROR(MID(VLOOKUP($B248,Seqs!$A:$B,2,0),AS248,1),"")</f>
        <v>L</v>
      </c>
      <c r="AS248" s="3">
        <v>515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R</v>
      </c>
      <c r="AY248" s="3">
        <v>551</v>
      </c>
      <c r="AZ248" s="80" t="str">
        <f>VLOOKUP(B248,Classification!A:D,2,0)</f>
        <v>F</v>
      </c>
      <c r="BA248" s="96" t="str">
        <f>VLOOKUP(B248,Classification!A:D,4,0)</f>
        <v>Frizzled</v>
      </c>
      <c r="BB248" s="94" t="b">
        <f t="shared" si="1843"/>
        <v>1</v>
      </c>
      <c r="BC248" s="23">
        <f t="shared" si="1816"/>
        <v>243</v>
      </c>
      <c r="BD248" s="76" t="s">
        <v>23</v>
      </c>
      <c r="BE248" s="3" t="s">
        <v>1381</v>
      </c>
      <c r="BF248" s="121">
        <v>3.3</v>
      </c>
      <c r="BG248" s="50" t="s">
        <v>1287</v>
      </c>
      <c r="BH248" s="50" t="s">
        <v>1384</v>
      </c>
      <c r="BI248" s="3" t="s">
        <v>1368</v>
      </c>
      <c r="BJ248" s="77" t="s">
        <v>1293</v>
      </c>
      <c r="BK248" s="58" t="s">
        <v>1293</v>
      </c>
      <c r="BL248" s="58" t="s">
        <v>1293</v>
      </c>
      <c r="BM248" s="58" t="s">
        <v>1293</v>
      </c>
      <c r="BN248" s="58" t="s">
        <v>1293</v>
      </c>
      <c r="BO248" s="58" t="s">
        <v>1293</v>
      </c>
      <c r="BP248" s="58" t="s">
        <v>1293</v>
      </c>
      <c r="BQ248" s="58" t="s">
        <v>1293</v>
      </c>
      <c r="BR248" s="58" t="s">
        <v>1293</v>
      </c>
      <c r="BS248" s="58" t="s">
        <v>1293</v>
      </c>
      <c r="BT248" s="58" t="s">
        <v>1293</v>
      </c>
      <c r="BU248" s="58" t="s">
        <v>1293</v>
      </c>
      <c r="BV248" s="77">
        <f t="shared" si="1817"/>
        <v>224</v>
      </c>
      <c r="BW248" s="73">
        <f t="shared" si="1818"/>
        <v>256</v>
      </c>
      <c r="BX248" s="74">
        <f t="shared" si="1819"/>
        <v>261</v>
      </c>
      <c r="BY248" s="73" t="str">
        <f t="shared" si="1820"/>
        <v>-</v>
      </c>
      <c r="BZ248" s="74">
        <f t="shared" si="1821"/>
        <v>312</v>
      </c>
      <c r="CA248" s="73" t="str">
        <f t="shared" si="1822"/>
        <v>-</v>
      </c>
      <c r="CB248" s="74">
        <f t="shared" si="1823"/>
        <v>354</v>
      </c>
      <c r="CC248" s="73">
        <f t="shared" si="1824"/>
        <v>390</v>
      </c>
      <c r="CD248" s="74">
        <f t="shared" si="1825"/>
        <v>397</v>
      </c>
      <c r="CE248" s="73">
        <f t="shared" si="1826"/>
        <v>447</v>
      </c>
      <c r="CF248" s="74">
        <f t="shared" si="1827"/>
        <v>515</v>
      </c>
      <c r="CG248" s="73">
        <f t="shared" si="1828"/>
        <v>538</v>
      </c>
      <c r="CH248" s="77">
        <f t="shared" si="1829"/>
        <v>255</v>
      </c>
      <c r="CI248" s="73">
        <f t="shared" si="1830"/>
        <v>260</v>
      </c>
      <c r="CJ248" s="74">
        <f t="shared" si="1831"/>
        <v>285</v>
      </c>
      <c r="CK248" s="74" t="str">
        <f t="shared" si="1832"/>
        <v>-</v>
      </c>
      <c r="CL248" s="74">
        <f t="shared" si="1833"/>
        <v>346</v>
      </c>
      <c r="CM248" s="74" t="str">
        <f t="shared" si="1834"/>
        <v>-</v>
      </c>
      <c r="CN248" s="74">
        <f t="shared" si="1835"/>
        <v>378</v>
      </c>
      <c r="CO248" s="74">
        <f t="shared" si="1836"/>
        <v>392</v>
      </c>
      <c r="CP248" s="74">
        <f t="shared" si="1837"/>
        <v>428</v>
      </c>
      <c r="CQ248" s="74">
        <f t="shared" si="1838"/>
        <v>493</v>
      </c>
      <c r="CR248" s="74">
        <f t="shared" si="1839"/>
        <v>537</v>
      </c>
      <c r="CS248" s="74">
        <f t="shared" si="1840"/>
        <v>551</v>
      </c>
      <c r="CT248" s="23">
        <f t="shared" si="1841"/>
        <v>1</v>
      </c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1"/>
    </row>
    <row r="249" spans="1:1030" x14ac:dyDescent="0.2">
      <c r="C249" s="2"/>
    </row>
    <row r="250" spans="1:1030" x14ac:dyDescent="0.2">
      <c r="C250" s="2"/>
    </row>
    <row r="251" spans="1:1030" x14ac:dyDescent="0.2">
      <c r="C251" s="2"/>
    </row>
    <row r="252" spans="1:1030" x14ac:dyDescent="0.2">
      <c r="C252" s="2"/>
    </row>
    <row r="327" spans="52:86" x14ac:dyDescent="0.2">
      <c r="AZ327" s="79"/>
      <c r="BA327" s="28"/>
      <c r="BB327" s="16"/>
      <c r="BD327" s="2"/>
      <c r="BJ327" s="72"/>
      <c r="BV327" s="72"/>
      <c r="CH327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7 BB55 BB20:BB24 BB27:BB31">
    <cfRule type="cellIs" dxfId="51" priority="10" operator="equal">
      <formula>0</formula>
    </cfRule>
  </conditionalFormatting>
  <conditionalFormatting sqref="BB197:BB198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0">
    <cfRule type="cellIs" dxfId="48" priority="13" operator="equal">
      <formula>0</formula>
    </cfRule>
  </conditionalFormatting>
  <conditionalFormatting sqref="E210 AW210 AU210 AS210 AQ210 AO210 AM210 AK210 AI210 AG210 AE210 AC210 AA210 Y210 W210 U210 S210 Q210 O210 M210 K210 I210 G210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27:BB1048576 BB1:BB24">
    <cfRule type="cellIs" dxfId="41" priority="8" operator="equal">
      <formula>FALSE</formula>
    </cfRule>
  </conditionalFormatting>
  <conditionalFormatting sqref="BG27:BG38 BG18:BG24 BH18:BH38 BG39:BH1048576 BG1:BH17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2" activePane="bottomLeft" state="frozenSplit"/>
      <selection pane="bottomLeft" activeCell="A10" sqref="A1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1478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20</v>
      </c>
      <c r="AF4" s="50">
        <f>VLOOKUP(B4,'SegEnds_NonXtal_Prot#'!A:AL,12,FALSE)-VLOOKUP(B4,'SegEnds_NonXtal_Prot#'!A:AL,11,FALSE)</f>
        <v>1</v>
      </c>
      <c r="AG4" s="50">
        <f>VLOOKUP(B4,'SegEnds_NonXtal_Prot#'!A:AL,13,FALSE)-VLOOKUP(B4,'SegEnds_NonXtal_Prot#'!A:AL,11,FALSE)</f>
        <v>2</v>
      </c>
      <c r="AH4" s="50">
        <f>VLOOKUP(B4,'SegEnds_NonXtal_Prot#'!A:AL,16,FALSE)-VLOOKUP(B4,'SegEnds_NonXtal_Prot#'!A:AL,10,FALSE)</f>
        <v>52</v>
      </c>
      <c r="AI4" s="50">
        <f>VLOOKUP(B4,'SegEnds_NonXtal_Prot#'!A:AL,16,FALSE)-VLOOKUP(B4,'SegEnds_NonXtal_Prot#'!A:AL,11,FALSE)</f>
        <v>34</v>
      </c>
      <c r="AJ4" s="50">
        <f>VLOOKUP(B4,'SegEnds_NonXtal_Prot#'!A:AL,22,FALSE)-VLOOKUP(B4,'SegEnds_NonXtal_Prot#'!A:AL,19,FALSE)</f>
        <v>21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8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23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50" t="str">
        <f>VLOOKUP(B6,Classification!A:D,2,FALSE)</f>
        <v>A</v>
      </c>
      <c r="AB6" s="96" t="str">
        <f>VLOOKUP(B6,Classification!A:D,4,0)</f>
        <v>Dopamine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8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1</v>
      </c>
      <c r="AG7" s="50">
        <f>VLOOKUP(B7,'SegEnds_NonXtal_Prot#'!A:AL,13,FALSE)-VLOOKUP(B7,'SegEnds_NonXtal_Prot#'!A:AL,11,FALSE)</f>
        <v>2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34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8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50" t="str">
        <f>VLOOKUP(B8,Classification!A:D,2,FALSE)</f>
        <v>A</v>
      </c>
      <c r="AB8" s="96" t="str">
        <f>VLOOKUP(B8,Classification!A:D,4,0)</f>
        <v>5-Hydroxytryptamine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21</v>
      </c>
      <c r="AF8" s="50">
        <f>VLOOKUP(B8,'SegEnds_NonXtal_Prot#'!A:AL,12,FALSE)-VLOOKUP(B8,'SegEnds_NonXtal_Prot#'!A:AL,11,FALSE)</f>
        <v>3</v>
      </c>
      <c r="AG8" s="50">
        <f>VLOOKUP(B8,'SegEnds_NonXtal_Prot#'!A:AL,13,FALSE)-VLOOKUP(B8,'SegEnds_NonXtal_Prot#'!A:AL,11,FALSE)</f>
        <v>4</v>
      </c>
      <c r="AH8" s="50">
        <f>VLOOKUP(B8,'SegEnds_NonXtal_Prot#'!A:AL,16,FALSE)-VLOOKUP(B8,'SegEnds_NonXtal_Prot#'!A:AL,10,FALSE)</f>
        <v>53</v>
      </c>
      <c r="AI8" s="50">
        <f>VLOOKUP(B8,'SegEnds_NonXtal_Prot#'!A:AL,16,FALSE)-VLOOKUP(B8,'SegEnds_NonXtal_Prot#'!A:AL,11,FALSE)</f>
        <v>36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8"/>
    </row>
    <row r="9" spans="1:64" s="2" customFormat="1" x14ac:dyDescent="0.2">
      <c r="A9" s="2" t="s">
        <v>1483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50" t="str">
        <f>VLOOKUP(B9,Classification!A:D,2,FALSE)</f>
        <v>A</v>
      </c>
      <c r="AB9" s="96" t="str">
        <f>VLOOKUP(B9,Classification!A:D,4,0)</f>
        <v>5-Hydroxytryptamine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21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53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8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50" t="str">
        <f>VLOOKUP(B12,Classification!A:D,2,FALSE)</f>
        <v>A</v>
      </c>
      <c r="AB12" s="96" t="str">
        <f>VLOOKUP(B12,Classification!A:D,4,0)</f>
        <v>Acetylcholine(muscarinic)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20</v>
      </c>
      <c r="AF12" s="50">
        <f>VLOOKUP(B12,'SegEnds_NonXtal_Prot#'!A:AL,12,FALSE)-VLOOKUP(B12,'SegEnds_NonXtal_Prot#'!A:AL,11,FALSE)</f>
        <v>2</v>
      </c>
      <c r="AG12" s="50">
        <f>VLOOKUP(B12,'SegEnds_NonXtal_Prot#'!A:AL,13,FALSE)-VLOOKUP(B12,'SegEnds_NonXtal_Prot#'!A:AL,11,FALSE)</f>
        <v>3</v>
      </c>
      <c r="AH12" s="50">
        <f>VLOOKUP(B12,'SegEnds_NonXtal_Prot#'!A:AL,16,FALSE)-VLOOKUP(B12,'SegEnds_NonXtal_Prot#'!A:AL,10,FALSE)</f>
        <v>52</v>
      </c>
      <c r="AI12" s="50">
        <f>VLOOKUP(B12,'SegEnds_NonXtal_Prot#'!A:AL,16,FALSE)-VLOOKUP(B12,'SegEnds_NonXtal_Prot#'!A:AL,11,FALSE)</f>
        <v>35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8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6" t="str">
        <f>VLOOKUP(B13,Classification!A:D,4,0)</f>
        <v>Acetylcholine(muscarinic)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50" t="str">
        <f>VLOOKUP(B14,Classification!A:D,2,FALSE)</f>
        <v>A</v>
      </c>
      <c r="AB14" s="96" t="str">
        <f>VLOOKUP(B14,Classification!A:D,4,0)</f>
        <v>Adenosine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18</v>
      </c>
      <c r="AF14" s="50">
        <f>VLOOKUP(B14,'SegEnds_NonXtal_Prot#'!A:AL,12,FALSE)-VLOOKUP(B14,'SegEnds_NonXtal_Prot#'!A:AL,11,FALSE)</f>
        <v>1</v>
      </c>
      <c r="AG14" s="50">
        <f>VLOOKUP(B14,'SegEnds_NonXtal_Prot#'!A:AL,13,FALSE)-VLOOKUP(B14,'SegEnds_NonXtal_Prot#'!A:AL,11,FALSE)</f>
        <v>1</v>
      </c>
      <c r="AH14" s="50">
        <f>VLOOKUP(B14,'SegEnds_NonXtal_Prot#'!A:AL,16,FALSE)-VLOOKUP(B14,'SegEnds_NonXtal_Prot#'!A:AL,10,FALSE)</f>
        <v>50</v>
      </c>
      <c r="AI14" s="50">
        <f>VLOOKUP(B14,'SegEnds_NonXtal_Prot#'!A:AL,16,FALSE)-VLOOKUP(B14,'SegEnds_NonXtal_Prot#'!A:AL,11,FALSE)</f>
        <v>33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8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50" t="str">
        <f>VLOOKUP(B15,Classification!A:D,2,FALSE)</f>
        <v>A</v>
      </c>
      <c r="AB15" s="96" t="str">
        <f>VLOOKUP(B15,Classification!A:D,4,0)</f>
        <v>Adenosine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18</v>
      </c>
      <c r="AF15" s="50">
        <f>VLOOKUP(B15,'SegEnds_NonXtal_Prot#'!A:AL,12,FALSE)-VLOOKUP(B15,'SegEnds_NonXtal_Prot#'!A:AL,11,FALSE)</f>
        <v>1</v>
      </c>
      <c r="AG15" s="50">
        <f>VLOOKUP(B15,'SegEnds_NonXtal_Prot#'!A:AL,13,FALSE)-VLOOKUP(B15,'SegEnds_NonXtal_Prot#'!A:AL,11,FALSE)</f>
        <v>1</v>
      </c>
      <c r="AH15" s="50">
        <f>VLOOKUP(B15,'SegEnds_NonXtal_Prot#'!A:AL,16,FALSE)-VLOOKUP(B15,'SegEnds_NonXtal_Prot#'!A:AL,10,FALSE)</f>
        <v>50</v>
      </c>
      <c r="AI15" s="50">
        <f>VLOOKUP(B15,'SegEnds_NonXtal_Prot#'!A:AL,16,FALSE)-VLOOKUP(B15,'SegEnds_NonXtal_Prot#'!A:AL,11,FALSE)</f>
        <v>33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8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50" t="str">
        <f>VLOOKUP(B16,Classification!A:D,2,FALSE)</f>
        <v>A</v>
      </c>
      <c r="AB16" s="96" t="str">
        <f>VLOOKUP(B16,Classification!A:D,4,0)</f>
        <v>Adrenoceptors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2</v>
      </c>
      <c r="AG16" s="50">
        <f>VLOOKUP(B16,'SegEnds_NonXtal_Prot#'!A:AL,13,FALSE)-VLOOKUP(B16,'SegEnds_NonXtal_Prot#'!A:AL,11,FALSE)</f>
        <v>3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35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8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6" t="str">
        <f>VLOOKUP(B17,Classification!A:D,4,0)</f>
        <v>Adrenoceptors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8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Angiotensin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3</v>
      </c>
      <c r="AG18" s="50">
        <f>VLOOKUP(B18,'SegEnds_NonXtal_Prot#'!A:AL,13,FALSE)-VLOOKUP(B18,'SegEnds_NonXtal_Prot#'!A:AL,11,FALSE)</f>
        <v>4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36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8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50" t="str">
        <f>VLOOKUP(B19,Classification!A:D,2,FALSE)</f>
        <v>A</v>
      </c>
      <c r="AB19" s="96" t="str">
        <f>VLOOKUP(B19,Classification!A:D,4,0)</f>
        <v>Angiotensin</v>
      </c>
      <c r="AC19" s="50" t="e">
        <f>VLOOKUP(B19,'SegEnds_NonXtal_Prot#'!A:AL,6,FALSE)-VLOOKUP(B19,'SegEnds_NonXtal_Prot#'!A:AL,5,FALSE)</f>
        <v>#VALUE!</v>
      </c>
      <c r="AD19" s="50" t="e">
        <f>VLOOKUP(B19,'SegEnds_NonXtal_Prot#'!A:AL,9,FALSE)-VLOOKUP(B19,'SegEnds_NonXtal_Prot#'!A:AL,8,FALSE)</f>
        <v>#VALUE!</v>
      </c>
      <c r="AE19" s="50">
        <f>VLOOKUP(B19,'SegEnds_NonXtal_Prot#'!A:AL,13,FALSE)-VLOOKUP(B19,'SegEnds_NonXtal_Prot#'!A:AL,10,FALSE)</f>
        <v>20</v>
      </c>
      <c r="AF19" s="50">
        <f>VLOOKUP(B19,'SegEnds_NonXtal_Prot#'!A:AL,12,FALSE)-VLOOKUP(B19,'SegEnds_NonXtal_Prot#'!A:AL,11,FALSE)</f>
        <v>3</v>
      </c>
      <c r="AG19" s="50">
        <f>VLOOKUP(B19,'SegEnds_NonXtal_Prot#'!A:AL,13,FALSE)-VLOOKUP(B19,'SegEnds_NonXtal_Prot#'!A:AL,11,FALSE)</f>
        <v>4</v>
      </c>
      <c r="AH19" s="50">
        <f>VLOOKUP(B19,'SegEnds_NonXtal_Prot#'!A:AL,16,FALSE)-VLOOKUP(B19,'SegEnds_NonXtal_Prot#'!A:AL,10,FALSE)</f>
        <v>52</v>
      </c>
      <c r="AI19" s="50">
        <f>VLOOKUP(B19,'SegEnds_NonXtal_Prot#'!A:AL,16,FALSE)-VLOOKUP(B19,'SegEnds_NonXtal_Prot#'!A:AL,11,FALSE)</f>
        <v>36</v>
      </c>
      <c r="AJ19" s="50">
        <f>VLOOKUP(B19,'SegEnds_NonXtal_Prot#'!A:AL,22,FALSE)-VLOOKUP(B19,'SegEnds_NonXtal_Prot#'!A:AL,19,FALSE)</f>
        <v>19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8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50" t="str">
        <f>VLOOKUP(B20,Classification!A:D,2,FALSE)</f>
        <v>A</v>
      </c>
      <c r="AB20" s="96" t="str">
        <f>VLOOKUP(B20,Classification!A:D,4,0)</f>
        <v>Apelin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20</v>
      </c>
      <c r="AF20" s="50">
        <f>VLOOKUP(B20,'SegEnds_NonXtal_Prot#'!A:AL,12,FALSE)-VLOOKUP(B20,'SegEnds_NonXtal_Prot#'!A:AL,11,FALSE)</f>
        <v>2</v>
      </c>
      <c r="AG20" s="50">
        <f>VLOOKUP(B20,'SegEnds_NonXtal_Prot#'!A:AL,13,FALSE)-VLOOKUP(B20,'SegEnds_NonXtal_Prot#'!A:AL,11,FALSE)</f>
        <v>3</v>
      </c>
      <c r="AH20" s="50">
        <f>VLOOKUP(B20,'SegEnds_NonXtal_Prot#'!A:AL,16,FALSE)-VLOOKUP(B20,'SegEnds_NonXtal_Prot#'!A:AL,10,FALSE)</f>
        <v>52</v>
      </c>
      <c r="AI20" s="50">
        <f>VLOOKUP(B20,'SegEnds_NonXtal_Prot#'!A:AL,16,FALSE)-VLOOKUP(B20,'SegEnds_NonXtal_Prot#'!A:AL,11,FALSE)</f>
        <v>35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8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6" t="str">
        <f>VLOOKUP(B21,Classification!A:D,4,0)</f>
        <v>Cannabinoid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2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51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 t="e">
        <f>VLOOKUP(B21,'SegEnds_NonXtal_Prot#'!A:AL,15,FALSE)-VLOOKUP(B21,'SegEnds_NonXtal_Prot#'!A:AL,14,FALSE)</f>
        <v>#VALUE!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8"/>
      <c r="BL21" s="50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VLOOKUP(B22,'SegEnds_NonXtal_Prot#'!A:AL,16,FALSE)-VLOOKUP(B22,'SegEnds_NonXtal_Prot#'!A:AL,11,FALSE)</f>
        <v>34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50" t="str">
        <f>VLOOKUP(B23,Classification!A:D,2,FALSE)</f>
        <v>A</v>
      </c>
      <c r="AB23" s="96" t="str">
        <f>VLOOKUP(B23,Classification!A:D,4,0)</f>
        <v>Chemokine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 t="e">
        <f>VLOOKUP(B23,'SegEnds_NonXtal_Prot#'!A:AL,13,FALSE)-VLOOKUP(B23,'SegEnds_NonXtal_Prot#'!A:AL,10,FALSE)</f>
        <v>#VALUE!</v>
      </c>
      <c r="AF23" s="50" t="e">
        <f>VLOOKUP(B23,'SegEnds_NonXtal_Prot#'!A:AL,12,FALSE)-VLOOKUP(B23,'SegEnds_NonXtal_Prot#'!A:AL,11,FALSE)</f>
        <v>#VALUE!</v>
      </c>
      <c r="AG23" s="50" t="e">
        <f>VLOOKUP(B23,'SegEnds_NonXtal_Prot#'!A:AL,13,FALSE)-VLOOKUP(B23,'SegEnds_NonXtal_Prot#'!A:AL,11,FALSE)</f>
        <v>#VALUE!</v>
      </c>
      <c r="AH23" s="50">
        <f>VLOOKUP(B23,'SegEnds_NonXtal_Prot#'!A:AL,16,FALSE)-VLOOKUP(B23,'SegEnds_NonXtal_Prot#'!A:AL,10,FALSE)</f>
        <v>50</v>
      </c>
      <c r="AI23" s="50">
        <f>VLOOKUP(B23,'SegEnds_NonXtal_Prot#'!A:AL,16,FALSE)-VLOOKUP(B23,'SegEnds_NonXtal_Prot#'!A:AL,11,FALSE)</f>
        <v>34</v>
      </c>
      <c r="AJ23" s="50" t="e">
        <f>VLOOKUP(B23,'SegEnds_NonXtal_Prot#'!A:AL,22,FALSE)-VLOOKUP(B23,'SegEnds_NonXtal_Prot#'!A:AL,19,FALSE)</f>
        <v>#VALUE!</v>
      </c>
      <c r="AK23" s="50" t="e">
        <f>VLOOKUP(B23,'SegEnds_NonXtal_Prot#'!A:AL,15,FALSE)-VLOOKUP(B23,'SegEnds_NonXtal_Prot#'!A:AL,14,FALSE)</f>
        <v>#VALUE!</v>
      </c>
      <c r="AL23" s="50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6" t="str">
        <f>VLOOKUP(B24,Classification!A:D,4,0)</f>
        <v>Chemokine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1</v>
      </c>
      <c r="AG24" s="50">
        <f>VLOOKUP(B24,'SegEnds_NonXtal_Prot#'!A:AL,13,FALSE)-VLOOKUP(B24,'SegEnds_NonXtal_Prot#'!A:AL,11,FALSE)</f>
        <v>2</v>
      </c>
      <c r="AH24" s="50">
        <f>VLOOKUP(B24,'SegEnds_NonXtal_Prot#'!A:AL,16,FALSE)-VLOOKUP(B24,'SegEnds_NonXtal_Prot#'!A:AL,10,FALSE)</f>
        <v>50</v>
      </c>
      <c r="AI24" s="50">
        <f>VLOOKUP(B24,'SegEnds_NonXtal_Prot#'!A:AL,15,FALSE)-VLOOKUP(B24,'SegEnds_NonXtal_Prot#'!A:AL,11,FALSE)</f>
        <v>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8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50" t="str">
        <f>VLOOKUP(B25,Classification!A:D,2,FALSE)</f>
        <v>A</v>
      </c>
      <c r="AB25" s="96" t="str">
        <f>VLOOKUP(B25,Classification!A:D,4,0)</f>
        <v>Endothelin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8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50" t="str">
        <f>VLOOKUP(B26,Classification!A:D,2,FALSE)</f>
        <v>A</v>
      </c>
      <c r="AB26" s="96" t="str">
        <f>VLOOKUP(B26,Classification!A:D,4,0)</f>
        <v>Freefattyacid</v>
      </c>
      <c r="AC26" s="50" t="e">
        <f>VLOOKUP(B26,'SegEnds_NonXtal_Prot#'!A:AL,6,FALSE)-VLOOKUP(B26,'SegEnds_NonXtal_Prot#'!A:AL,5,FALSE)</f>
        <v>#VALUE!</v>
      </c>
      <c r="AD26" s="50" t="e">
        <f>VLOOKUP(B26,'SegEnds_NonXtal_Prot#'!A:AL,9,FALSE)-VLOOKUP(B26,'SegEnds_NonXtal_Prot#'!A:AL,8,FALSE)</f>
        <v>#VALUE!</v>
      </c>
      <c r="AE26" s="50">
        <f>VLOOKUP(B26,'SegEnds_NonXtal_Prot#'!A:AL,13,FALSE)-VLOOKUP(B26,'SegEnds_NonXtal_Prot#'!A:AL,10,FALSE)</f>
        <v>20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3</v>
      </c>
      <c r="AH26" s="50">
        <f>VLOOKUP(B26,'SegEnds_NonXtal_Prot#'!A:AL,16,FALSE)-VLOOKUP(B26,'SegEnds_NonXtal_Prot#'!A:AL,10,FALSE)</f>
        <v>52</v>
      </c>
      <c r="AI26" s="50">
        <f>VLOOKUP(B26,'SegEnds_NonXtal_Prot#'!A:AL,16,FALSE)-VLOOKUP(B26,'SegEnds_NonXtal_Prot#'!A:AL,11,FALSE)</f>
        <v>35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8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Histamine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20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52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8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6" t="str">
        <f>VLOOKUP(B28,Classification!A:D,4,0)</f>
        <v>Lysophospholipid(LPA)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18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5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38</v>
      </c>
      <c r="AJ28" s="50">
        <f>VLOOKUP(B28,'SegEnds_NonXtal_Prot#'!A:AL,22,FALSE)-VLOOKUP(B28,'SegEnds_NonXtal_Prot#'!A:AL,19,FALSE)</f>
        <v>19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8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6" t="str">
        <f>VLOOKUP(B29,Classification!A:D,4,0)</f>
        <v>Lysophospholipid(S1P)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18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5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38</v>
      </c>
      <c r="AJ29" s="50">
        <f>VLOOKUP(B29,'SegEnds_NonXtal_Prot#'!A:AL,22,FALSE)-VLOOKUP(B29,'SegEnds_NonXtal_Prot#'!A:AL,19,FALSE)</f>
        <v>19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8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50" t="str">
        <f>VLOOKUP(B30,Classification!A:D,2,FALSE)</f>
        <v>A</v>
      </c>
      <c r="AB30" s="96" t="str">
        <f>VLOOKUP(B30,Classification!A:D,4,0)</f>
        <v>Neurotensin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22</v>
      </c>
      <c r="AF30" s="50">
        <f>VLOOKUP(B30,'SegEnds_NonXtal_Prot#'!A:AL,12,FALSE)-VLOOKUP(B30,'SegEnds_NonXtal_Prot#'!A:AL,11,FALSE)</f>
        <v>3</v>
      </c>
      <c r="AG30" s="50">
        <f>VLOOKUP(B30,'SegEnds_NonXtal_Prot#'!A:AL,13,FALSE)-VLOOKUP(B30,'SegEnds_NonXtal_Prot#'!A:AL,11,FALSE)</f>
        <v>4</v>
      </c>
      <c r="AH30" s="50">
        <f>VLOOKUP(B30,'SegEnds_NonXtal_Prot#'!A:AL,16,FALSE)-VLOOKUP(B30,'SegEnds_NonXtal_Prot#'!A:AL,10,FALSE)</f>
        <v>54</v>
      </c>
      <c r="AI30" s="50">
        <f>VLOOKUP(B30,'SegEnds_NonXtal_Prot#'!A:AL,16,FALSE)-VLOOKUP(B30,'SegEnds_NonXtal_Prot#'!A:AL,11,FALSE)</f>
        <v>36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8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8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Opioid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19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51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8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50" t="str">
        <f>VLOOKUP(B35,Classification!A:D,2,FALSE)</f>
        <v>A</v>
      </c>
      <c r="AB35" s="96" t="str">
        <f>VLOOKUP(B35,Classification!A:D,4,0)</f>
        <v>Opioid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19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51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8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Opsins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21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53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8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6" t="str">
        <f>VLOOKUP(B38,Classification!A:D,4,0)</f>
        <v>Opsins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19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8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50" t="str">
        <f>VLOOKUP(B39,Classification!A:D,2,FALSE)</f>
        <v>A</v>
      </c>
      <c r="AB39" s="96" t="str">
        <f>VLOOKUP(B39,Classification!A:D,4,0)</f>
        <v>Orexin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1</v>
      </c>
      <c r="AG39" s="50">
        <f>VLOOKUP(B39,'SegEnds_NonXtal_Prot#'!A:AL,13,FALSE)-VLOOKUP(B39,'SegEnds_NonXtal_Prot#'!A:AL,11,FALSE)</f>
        <v>2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34</v>
      </c>
      <c r="AJ39" s="50">
        <f>VLOOKUP(B39,'SegEnds_NonXtal_Prot#'!A:AL,22,FALSE)-VLOOKUP(B39,'SegEnds_NonXtal_Prot#'!A:AL,19,FALSE)</f>
        <v>18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8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50" t="str">
        <f>VLOOKUP(B40,Classification!A:D,2,FALSE)</f>
        <v>A</v>
      </c>
      <c r="AB40" s="96" t="str">
        <f>VLOOKUP(B40,Classification!A:D,4,0)</f>
        <v>Orexin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2</v>
      </c>
      <c r="AG40" s="50">
        <f>VLOOKUP(B40,'SegEnds_NonXtal_Prot#'!A:AL,13,FALSE)-VLOOKUP(B40,'SegEnds_NonXtal_Prot#'!A:AL,11,FALSE)</f>
        <v>3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35</v>
      </c>
      <c r="AJ40" s="50">
        <f>VLOOKUP(B40,'SegEnds_NonXtal_Prot#'!A:AL,22,FALSE)-VLOOKUP(B40,'SegEnds_NonXtal_Prot#'!A:AL,19,FALSE)</f>
        <v>18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8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50" t="str">
        <f>VLOOKUP(B41,Classification!A:D,2,FALSE)</f>
        <v>A</v>
      </c>
      <c r="AB41" s="96" t="str">
        <f>VLOOKUP(B41,Classification!A:D,4,0)</f>
        <v>P2Y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8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50" t="str">
        <f>VLOOKUP(B42,Classification!A:D,2,FALSE)</f>
        <v>A</v>
      </c>
      <c r="AB42" s="96" t="str">
        <f>VLOOKUP(B42,Classification!A:D,4,0)</f>
        <v>P2Y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20</v>
      </c>
      <c r="AK42" s="50" t="e">
        <f>VLOOKUP(B42,'SegEnds_NonXtal_Prot#'!A:AL,15,FALSE)-VLOOKUP(B42,'SegEnds_NonXtal_Prot#'!A:AL,14,FALSE)</f>
        <v>#VALUE!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8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50" t="str">
        <f>VLOOKUP(B43,Classification!A:D,2,FALSE)</f>
        <v>A</v>
      </c>
      <c r="AB43" s="96" t="str">
        <f>VLOOKUP(B43,Classification!A:D,4,0)</f>
        <v>Proteinase-activated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>
        <f>VLOOKUP(B43,'SegEnds_NonXtal_Prot#'!A:AL,13,FALSE)-VLOOKUP(B43,'SegEnds_NonXtal_Prot#'!A:AL,10,FALSE)</f>
        <v>20</v>
      </c>
      <c r="AF43" s="50">
        <f>VLOOKUP(B43,'SegEnds_NonXtal_Prot#'!A:AL,12,FALSE)-VLOOKUP(B43,'SegEnds_NonXtal_Prot#'!A:AL,11,FALSE)</f>
        <v>3</v>
      </c>
      <c r="AG43" s="50">
        <f>VLOOKUP(B43,'SegEnds_NonXtal_Prot#'!A:AL,13,FALSE)-VLOOKUP(B43,'SegEnds_NonXtal_Prot#'!A:AL,11,FALSE)</f>
        <v>4</v>
      </c>
      <c r="AH43" s="50">
        <f>VLOOKUP(B43,'SegEnds_NonXtal_Prot#'!A:AL,16,FALSE)-VLOOKUP(B43,'SegEnds_NonXtal_Prot#'!A:AL,10,FALSE)</f>
        <v>52</v>
      </c>
      <c r="AI43" s="50">
        <f>VLOOKUP(B43,'SegEnds_NonXtal_Prot#'!A:AL,16,FALSE)-VLOOKUP(B43,'SegEnds_NonXtal_Prot#'!A:AL,11,FALSE)</f>
        <v>36</v>
      </c>
      <c r="AJ43" s="50">
        <f>VLOOKUP(B43,'SegEnds_NonXtal_Prot#'!A:AL,22,FALSE)-VLOOKUP(B43,'SegEnds_NonXtal_Prot#'!A:AL,19,FALSE)</f>
        <v>20</v>
      </c>
      <c r="AK43" s="50">
        <f>VLOOKUP(B43,'SegEnds_NonXtal_Prot#'!A:AL,15,FALSE)-VLOOKUP(B43,'SegEnds_NonXtal_Prot#'!A:AL,14,FALSE)</f>
        <v>1</v>
      </c>
      <c r="AL43" s="50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8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50" t="str">
        <f>VLOOKUP(B44,Classification!A:D,2,FALSE)</f>
        <v>A</v>
      </c>
      <c r="AB44" s="96" t="str">
        <f>VLOOKUP(B44,Classification!A:D,4,0)</f>
        <v>Proteinase-activated</v>
      </c>
      <c r="AC44" s="50" t="e">
        <f>VLOOKUP(B44,'SegEnds_NonXtal_Prot#'!A:AL,6,FALSE)-VLOOKUP(B44,'SegEnds_NonXtal_Prot#'!A:AL,5,FALSE)</f>
        <v>#VALUE!</v>
      </c>
      <c r="AD44" s="50" t="e">
        <f>VLOOKUP(B44,'SegEnds_NonXtal_Prot#'!A:AL,9,FALSE)-VLOOKUP(B44,'SegEnds_NonXtal_Prot#'!A:AL,8,FALSE)</f>
        <v>#VALUE!</v>
      </c>
      <c r="AE44" s="50">
        <f>VLOOKUP(B44,'SegEnds_NonXtal_Prot#'!A:AL,13,FALSE)-VLOOKUP(B44,'SegEnds_NonXtal_Prot#'!A:AL,10,FALSE)</f>
        <v>20</v>
      </c>
      <c r="AF44" s="50">
        <f>VLOOKUP(B44,'SegEnds_NonXtal_Prot#'!A:AL,12,FALSE)-VLOOKUP(B44,'SegEnds_NonXtal_Prot#'!A:AL,11,FALSE)</f>
        <v>3</v>
      </c>
      <c r="AG44" s="50">
        <f>VLOOKUP(B44,'SegEnds_NonXtal_Prot#'!A:AL,13,FALSE)-VLOOKUP(B44,'SegEnds_NonXtal_Prot#'!A:AL,11,FALSE)</f>
        <v>4</v>
      </c>
      <c r="AH44" s="50">
        <f>VLOOKUP(B44,'SegEnds_NonXtal_Prot#'!A:AL,16,FALSE)-VLOOKUP(B44,'SegEnds_NonXtal_Prot#'!A:AL,10,FALSE)</f>
        <v>52</v>
      </c>
      <c r="AI44" s="50">
        <f>VLOOKUP(B44,'SegEnds_NonXtal_Prot#'!A:AL,16,FALSE)-VLOOKUP(B44,'SegEnds_NonXtal_Prot#'!A:AL,11,FALSE)</f>
        <v>36</v>
      </c>
      <c r="AJ44" s="50">
        <f>VLOOKUP(B44,'SegEnds_NonXtal_Prot#'!A:AL,22,FALSE)-VLOOKUP(B44,'SegEnds_NonXtal_Prot#'!A:AL,19,FALSE)</f>
        <v>19</v>
      </c>
      <c r="AK44" s="50">
        <f>VLOOKUP(B44,'SegEnds_NonXtal_Prot#'!A:AL,15,FALSE)-VLOOKUP(B44,'SegEnds_NonXtal_Prot#'!A:AL,14,FALSE)</f>
        <v>1</v>
      </c>
      <c r="AL44" s="50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8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Calcitonin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53</v>
      </c>
      <c r="AI45" s="50">
        <f>VLOOKUP(B45,'SegEnds_NonXtal_Prot#'!A:AL,16,FALSE)-VLOOKUP(B45,'SegEnds_NonXtal_Prot#'!A:AL,11,FALSE)</f>
        <v>39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8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Corticotropin-releasingfact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51</v>
      </c>
      <c r="AI46" s="50">
        <f>VLOOKUP(B46,'SegEnds_NonXtal_Prot#'!A:AL,16,FALSE)-VLOOKUP(B46,'SegEnds_NonXtal_Prot#'!A:AL,11,FALSE)</f>
        <v>38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40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65</v>
      </c>
      <c r="AI47" s="50">
        <f>VLOOKUP(B47,'SegEnds_NonXtal_Prot#'!A:AL,16,FALSE)-VLOOKUP(B47,'SegEnds_NonXtal_Prot#'!A:AL,11,FALSE)</f>
        <v>48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50" t="str">
        <f>VLOOKUP(B48,Classification!A:D,2,FALSE)</f>
        <v>B1</v>
      </c>
      <c r="AB48" s="96" t="str">
        <f>VLOOKUP(B48,Classification!A:D,4,0)</f>
        <v>Glucagonreceptorfamily</v>
      </c>
      <c r="AC48" s="50">
        <f>VLOOKUP(B48,'SegEnds_NonXtal_Prot#'!A:AL,6,FALSE)-VLOOKUP(B48,'SegEnds_NonXtal_Prot#'!A:AL,5,FALSE)</f>
        <v>1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64</v>
      </c>
      <c r="AI48" s="50">
        <f>VLOOKUP(B48,'SegEnds_NonXtal_Prot#'!A:AL,16,FALSE)-VLOOKUP(B48,'SegEnds_NonXtal_Prot#'!A:AL,11,FALSE)</f>
        <v>50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8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50" t="str">
        <f>VLOOKUP(B49,Classification!A:D,2,FALSE)</f>
        <v>B1</v>
      </c>
      <c r="AB49" s="96" t="str">
        <f>VLOOKUP(B49,Classification!A:D,4,0)</f>
        <v>Glucagonreceptorfamily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64</v>
      </c>
      <c r="AI49" s="50">
        <f>VLOOKUP(B49,'SegEnds_NonXtal_Prot#'!A:AL,16,FALSE)-VLOOKUP(B49,'SegEnds_NonXtal_Prot#'!A:AL,11,FALSE)</f>
        <v>40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8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37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34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50" t="str">
        <f>VLOOKUP(B50,Classification!A:D,2,FALSE)</f>
        <v>C</v>
      </c>
      <c r="AB50" s="96" t="str">
        <f>VLOOKUP(B50,Classification!A:D,4,0)</f>
        <v>Metabotropicglutamate</v>
      </c>
      <c r="AC50" s="50">
        <f>VLOOKUP(B50,'SegEnds_NonXtal_Prot#'!A:AL,6,FALSE)-VLOOKUP(B50,'SegEnds_NonXtal_Prot#'!A:AL,5,FALSE)</f>
        <v>3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44</v>
      </c>
      <c r="AI50" s="50">
        <f>VLOOKUP(B50,'SegEnds_NonXtal_Prot#'!A:AL,16,FALSE)-VLOOKUP(B50,'SegEnds_NonXtal_Prot#'!A:AL,11,FALSE)</f>
        <v>33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8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37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34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50" t="str">
        <f>VLOOKUP(B51,Classification!A:D,2,FALSE)</f>
        <v>C</v>
      </c>
      <c r="AB51" s="96" t="str">
        <f>VLOOKUP(B51,Classification!A:D,4,0)</f>
        <v>Metabotropicglutamate</v>
      </c>
      <c r="AC51" s="50">
        <f>VLOOKUP(B51,'SegEnds_NonXtal_Prot#'!A:AL,6,FALSE)-VLOOKUP(B51,'SegEnds_NonXtal_Prot#'!A:AL,5,FALSE)</f>
        <v>3</v>
      </c>
      <c r="AD51" s="50">
        <f>VLOOKUP(B51,'SegEnds_NonXtal_Prot#'!A:AL,9,FALSE)-VLOOKUP(B51,'SegEnds_NonXtal_Prot#'!A:AL,8,FALSE)</f>
        <v>1</v>
      </c>
      <c r="AE51" s="50" t="e">
        <f>VLOOKUP(B51,'SegEnds_NonXtal_Prot#'!A:AL,13,FALSE)-VLOOKUP(B51,'SegEnds_NonXtal_Prot#'!A:AL,10,FALSE)</f>
        <v>#VALUE!</v>
      </c>
      <c r="AF51" s="50" t="e">
        <f>VLOOKUP(B51,'SegEnds_NonXtal_Prot#'!A:AL,12,FALSE)-VLOOKUP(B51,'SegEnds_NonXtal_Prot#'!A:AL,11,FALSE)</f>
        <v>#VALUE!</v>
      </c>
      <c r="AG51" s="50" t="e">
        <f>VLOOKUP(B51,'SegEnds_NonXtal_Prot#'!A:AL,13,FALSE)-VLOOKUP(B51,'SegEnds_NonXtal_Prot#'!A:AL,11,FALSE)</f>
        <v>#VALUE!</v>
      </c>
      <c r="AH51" s="50">
        <f>VLOOKUP(B51,'SegEnds_NonXtal_Prot#'!A:AL,16,FALSE)-VLOOKUP(B51,'SegEnds_NonXtal_Prot#'!A:AL,10,FALSE)</f>
        <v>44</v>
      </c>
      <c r="AI51" s="50">
        <f>VLOOKUP(B51,'SegEnds_NonXtal_Prot#'!A:AL,16,FALSE)-VLOOKUP(B51,'SegEnds_NonXtal_Prot#'!A:AL,11,FALSE)</f>
        <v>33</v>
      </c>
      <c r="AJ51" s="50" t="e">
        <f>VLOOKUP(B51,'SegEnds_NonXtal_Prot#'!A:AL,22,FALSE)-VLOOKUP(B51,'SegEnds_NonXtal_Prot#'!A:AL,19,FALSE)</f>
        <v>#VALUE!</v>
      </c>
      <c r="AK51" s="50" t="e">
        <f>VLOOKUP(B51,'SegEnds_NonXtal_Prot#'!A:AL,15,FALSE)-VLOOKUP(B51,'SegEnds_NonXtal_Prot#'!A:AL,14,FALSE)</f>
        <v>#VALUE!</v>
      </c>
      <c r="AL51" s="50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8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29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36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35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50" t="str">
        <f>VLOOKUP(B52,Classification!A:D,2,FALSE)</f>
        <v>F</v>
      </c>
      <c r="AB52" s="96" t="str">
        <f>VLOOKUP(B52,Classification!A:D,4,0)</f>
        <v>Frizzled</v>
      </c>
      <c r="AC52" s="50">
        <f>VLOOKUP(B52,'SegEnds_NonXtal_Prot#'!A:AL,6,FALSE)-VLOOKUP(B52,'SegEnds_NonXtal_Prot#'!A:AL,5,FALSE)</f>
        <v>1</v>
      </c>
      <c r="AD52" s="50">
        <f>VLOOKUP(B52,'SegEnds_NonXtal_Prot#'!A:AL,9,FALSE)-VLOOKUP(B52,'SegEnds_NonXtal_Prot#'!A:AL,8,FALSE)</f>
        <v>1</v>
      </c>
      <c r="AE52" s="50" t="e">
        <f>VLOOKUP(B52,'SegEnds_NonXtal_Prot#'!A:AL,13,FALSE)-VLOOKUP(B52,'SegEnds_NonXtal_Prot#'!A:AL,10,FALSE)</f>
        <v>#VALUE!</v>
      </c>
      <c r="AF52" s="50" t="e">
        <f>VLOOKUP(B52,'SegEnds_NonXtal_Prot#'!A:AL,12,FALSE)-VLOOKUP(B52,'SegEnds_NonXtal_Prot#'!A:AL,11,FALSE)</f>
        <v>#VALUE!</v>
      </c>
      <c r="AG52" s="50" t="e">
        <f>VLOOKUP(B52,'SegEnds_NonXtal_Prot#'!A:AL,13,FALSE)-VLOOKUP(B52,'SegEnds_NonXtal_Prot#'!A:AL,11,FALSE)</f>
        <v>#VALUE!</v>
      </c>
      <c r="AH52" s="50">
        <f>VLOOKUP(B52,'SegEnds_NonXtal_Prot#'!A:AL,16,FALSE)-VLOOKUP(B52,'SegEnds_NonXtal_Prot#'!A:AL,10,FALSE)</f>
        <v>67</v>
      </c>
      <c r="AI52" s="50">
        <f>VLOOKUP(B52,'SegEnds_NonXtal_Prot#'!A:AL,16,FALSE)-VLOOKUP(B52,'SegEnds_NonXtal_Prot#'!A:AL,11,FALSE)</f>
        <v>54</v>
      </c>
      <c r="AJ52" s="50" t="e">
        <f>VLOOKUP(B52,'SegEnds_NonXtal_Prot#'!A:AL,22,FALSE)-VLOOKUP(B52,'SegEnds_NonXtal_Prot#'!A:AL,19,FALSE)</f>
        <v>#VALUE!</v>
      </c>
      <c r="AK52" s="50" t="e">
        <f>VLOOKUP(B52,'SegEnds_NonXtal_Prot#'!A:AL,15,FALSE)-VLOOKUP(B52,'SegEnds_NonXtal_Prot#'!A:AL,14,FALSE)</f>
        <v>#VALUE!</v>
      </c>
      <c r="AL52" s="50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59</v>
      </c>
      <c r="Y53" s="2">
        <f>IFERROR(50+VLOOKUP($A53,'SegEnds_Xtal_Prot#'!$A:$AY,49,FALSE)-VLOOKUP($B53,'SegEnds_NonXtal_Prot#'!$A:$AL,37,FALSE),"-")</f>
        <v>50</v>
      </c>
      <c r="Z53" s="2">
        <f>IFERROR(50+VLOOKUP($A53,'SegEnds_Xtal_Prot#'!$A:$AY,51,FALSE)-VLOOKUP($B53,'SegEnds_NonXtal_Prot#'!$A:$AL,37,FALSE),"-")</f>
        <v>61</v>
      </c>
      <c r="AA53" s="50" t="str">
        <f>VLOOKUP(B53,Classification!A:D,2,FALSE)</f>
        <v>A</v>
      </c>
      <c r="AB53" s="96" t="str">
        <f>VLOOKUP(B53,Classification!A:D,4,0)</f>
        <v>Lysophospholipid(LPA)</v>
      </c>
      <c r="AC53" s="50">
        <f>VLOOKUP(B53,'SegEnds_NonXtal_Prot#'!A:AL,6,FALSE)-VLOOKUP(B53,'SegEnds_NonXtal_Prot#'!A:AL,5,FALSE)</f>
        <v>1</v>
      </c>
      <c r="AD53" s="50">
        <f>VLOOKUP(B53,'SegEnds_NonXtal_Prot#'!A:AL,9,FALSE)-VLOOKUP(B53,'SegEnds_NonXtal_Prot#'!A:AL,8,FALSE)</f>
        <v>1</v>
      </c>
      <c r="AE53" s="50">
        <f>VLOOKUP(B53,'SegEnds_NonXtal_Prot#'!A:AL,13,FALSE)-VLOOKUP(B53,'SegEnds_NonXtal_Prot#'!A:AL,10,FALSE)</f>
        <v>19</v>
      </c>
      <c r="AF53" s="50">
        <f>VLOOKUP(B53,'SegEnds_NonXtal_Prot#'!A:AL,12,FALSE)-VLOOKUP(B53,'SegEnds_NonXtal_Prot#'!A:AL,11,FALSE)</f>
        <v>2</v>
      </c>
      <c r="AG53" s="50">
        <f>VLOOKUP(B53,'SegEnds_NonXtal_Prot#'!A:AL,13,FALSE)-VLOOKUP(B53,'SegEnds_NonXtal_Prot#'!A:AL,11,FALSE)</f>
        <v>3</v>
      </c>
      <c r="AH53" s="50">
        <f>VLOOKUP(B53,'SegEnds_NonXtal_Prot#'!A:AL,16,FALSE)-VLOOKUP(B53,'SegEnds_NonXtal_Prot#'!A:AL,10,FALSE)</f>
        <v>51</v>
      </c>
      <c r="AI53" s="50">
        <f>VLOOKUP(B53,'SegEnds_NonXtal_Prot#'!A:AL,16,FALSE)-VLOOKUP(B53,'SegEnds_NonXtal_Prot#'!A:AL,11,FALSE)</f>
        <v>35</v>
      </c>
      <c r="AJ53" s="50">
        <f>VLOOKUP(B53,'SegEnds_NonXtal_Prot#'!A:AL,22,FALSE)-VLOOKUP(B53,'SegEnds_NonXtal_Prot#'!A:AL,19,FALSE)</f>
        <v>20</v>
      </c>
      <c r="AK53" s="50">
        <f>VLOOKUP(B53,'SegEnds_NonXtal_Prot#'!A:AL,15,FALSE)-VLOOKUP(B53,'SegEnds_NonXtal_Prot#'!A:AL,14,FALSE)</f>
        <v>1</v>
      </c>
      <c r="AL53" s="50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54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50" t="str">
        <f>VLOOKUP(B54,Classification!A:D,2,FALSE)</f>
        <v>A</v>
      </c>
      <c r="AB54" s="96" t="str">
        <f>VLOOKUP(B54,Classification!A:D,4,0)</f>
        <v>Leukotriene</v>
      </c>
      <c r="AC54" s="50">
        <f>VLOOKUP(B54,'SegEnds_NonXtal_Prot#'!A:AL,6,FALSE)-VLOOKUP(B54,'SegEnds_NonXtal_Prot#'!A:AL,5,FALSE)</f>
        <v>1</v>
      </c>
      <c r="AD54" s="50">
        <f>VLOOKUP(B54,'SegEnds_NonXtal_Prot#'!A:AL,9,FALSE)-VLOOKUP(B54,'SegEnds_NonXtal_Prot#'!A:AL,8,FALSE)</f>
        <v>1</v>
      </c>
      <c r="AE54" s="50">
        <f>VLOOKUP(B54,'SegEnds_NonXtal_Prot#'!A:AL,13,FALSE)-VLOOKUP(B54,'SegEnds_NonXtal_Prot#'!A:AL,10,FALSE)</f>
        <v>19</v>
      </c>
      <c r="AF54" s="50">
        <f>VLOOKUP(B54,'SegEnds_NonXtal_Prot#'!A:AL,12,FALSE)-VLOOKUP(B54,'SegEnds_NonXtal_Prot#'!A:AL,11,FALSE)</f>
        <v>1</v>
      </c>
      <c r="AG54" s="50">
        <f>VLOOKUP(B54,'SegEnds_NonXtal_Prot#'!A:AL,13,FALSE)-VLOOKUP(B54,'SegEnds_NonXtal_Prot#'!A:AL,11,FALSE)</f>
        <v>2</v>
      </c>
      <c r="AH54" s="50">
        <f>VLOOKUP(B54,'SegEnds_NonXtal_Prot#'!A:AL,16,FALSE)-VLOOKUP(B54,'SegEnds_NonXtal_Prot#'!A:AL,10,FALSE)</f>
        <v>51</v>
      </c>
      <c r="AI54" s="50">
        <f>VLOOKUP(B54,'SegEnds_NonXtal_Prot#'!A:AL,16,FALSE)-VLOOKUP(B54,'SegEnds_NonXtal_Prot#'!A:AL,11,FALSE)</f>
        <v>34</v>
      </c>
      <c r="AJ54" s="50">
        <f>VLOOKUP(B54,'SegEnds_NonXtal_Prot#'!A:AL,22,FALSE)-VLOOKUP(B54,'SegEnds_NonXtal_Prot#'!A:AL,19,FALSE)</f>
        <v>20</v>
      </c>
      <c r="AK54" s="50">
        <f>VLOOKUP(B54,'SegEnds_NonXtal_Prot#'!A:AL,15,FALSE)-VLOOKUP(B54,'SegEnds_NonXtal_Prot#'!A:AL,14,FALSE)</f>
        <v>1</v>
      </c>
      <c r="AL54" s="50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50"/>
      <c r="AB55" s="98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2"/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50"/>
      <c r="AB56" s="98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2"/>
      <c r="AN56" s="39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34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7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9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37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34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37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34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18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9"/>
  <sheetViews>
    <sheetView zoomScale="135" zoomScaleNormal="135" zoomScalePageLayoutView="135" workbookViewId="0">
      <pane ySplit="1" topLeftCell="A212" activePane="bottomLeft" state="frozenSplit"/>
      <selection pane="bottomLeft" activeCell="H241" sqref="H24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67</v>
      </c>
      <c r="U2" s="1">
        <f t="array" ref="U2">INDEX('ICL3'!$H$2:$H$40,MATCH(MIN(ABS(AH2-'ICL3'!$F$2:$F$40)),ABS(AH2-'ICL3'!$F$2:$F$40),0))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 t="str">
        <f>IF(ISERROR(MATCH(A2,'SegEnds_Xtal_Prot#'!B:B, 0)), "NoXtal", "Xtal")</f>
        <v>NoXtal</v>
      </c>
    </row>
    <row r="3" spans="1:36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INDEX('ICL3'!$G$2:$G$40,MATCH(MIN(ABS(AH3-'ICL3'!$F$2:$F$40)),ABS(AH3-'ICL3'!$F$2:$F$40),0))</f>
        <v>67</v>
      </c>
      <c r="U3" s="1">
        <f t="array" ref="U3">INDEX('ICL3'!$H$2:$H$40,MATCH(MIN(ABS(AH3-'ICL3'!$F$2:$F$40)),ABS(AH3-'ICL3'!$F$2:$F$40),0))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 t="str">
        <f>IF(ISERROR(MATCH(A3,'SegEnds_Xtal_Prot#'!B:B, 0)), "NoXtal", "Xtal")</f>
        <v>NoXtal</v>
      </c>
    </row>
    <row r="4" spans="1:36" x14ac:dyDescent="0.2">
      <c r="A4" s="1" t="s">
        <v>142</v>
      </c>
      <c r="B4" s="1" t="str">
        <f>VLOOKUP(A4,Xtal_Templ!A:B,2,FALSE)</f>
        <v>cxcr4_human</v>
      </c>
      <c r="C4" s="5">
        <f>VLOOKUP($B4&amp;"__wt",'SegEnds_Xtal_BW#'!$A:$Z,3,FALSE)</f>
        <v>24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32</v>
      </c>
      <c r="T4" s="1">
        <f t="array" ref="T4">INDEX('ICL3'!$G$2:$G$40,MATCH(MIN(ABS(AH4-'ICL3'!$F$2:$F$40)),ABS(AH4-'ICL3'!$F$2:$F$40),0))</f>
        <v>64</v>
      </c>
      <c r="U4" s="1">
        <f t="array" ref="U4">INDEX('ICL3'!$H$2:$H$40,MATCH(MIN(ABS(AH4-'ICL3'!$F$2:$F$40)),ABS(AH4-'ICL3'!$F$2:$F$40),0))</f>
        <v>34</v>
      </c>
      <c r="V4" s="1">
        <v>64</v>
      </c>
      <c r="W4" s="1">
        <v>24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 t="str">
        <f>IF(ISERROR(MATCH(A4,'SegEnds_Xtal_Prot#'!B:B, 0)), "NoXtal", "Xtal")</f>
        <v>NoXtal</v>
      </c>
    </row>
    <row r="5" spans="1:36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90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INDEX('ICL3'!$G$2:$G$40,MATCH(MIN(ABS(AH5-'ICL3'!$F$2:$F$40)),ABS(AH5-'ICL3'!$F$2:$F$40),0))</f>
        <v>72</v>
      </c>
      <c r="U5" s="4">
        <f t="array" ref="U5">INDEX('ICL3'!$H$2:$H$40,MATCH(MIN(ABS(AH5-'ICL3'!$F$2:$F$40)),ABS(AH5-'ICL3'!$F$2:$F$40),0))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 t="str">
        <f>IF(ISERROR(MATCH(A7,'SegEnds_Xtal_Prot#'!B:B, 0)), "NoXtal", "Xtal")</f>
        <v>NoXtal</v>
      </c>
    </row>
    <row r="8" spans="1:36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INDEX('ICL3'!$G$2:$G$40,MATCH(MIN(ABS(AH8-'ICL3'!$F$2:$F$40)),ABS(AH8-'ICL3'!$F$2:$F$40),0))</f>
        <v>72</v>
      </c>
      <c r="U8" s="1">
        <f t="array" ref="U8">INDEX('ICL3'!$H$2:$H$40,MATCH(MIN(ABS(AH8-'ICL3'!$F$2:$F$40)),ABS(AH8-'ICL3'!$F$2:$F$40),0))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 t="str">
        <f>IF(ISERROR(MATCH(A8,'SegEnds_Xtal_Prot#'!B:B, 0)), "NoXtal", "Xtal")</f>
        <v>NoXtal</v>
      </c>
    </row>
    <row r="9" spans="1:36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 t="str">
        <f>IF(ISERROR(MATCH(A9,'SegEnds_Xtal_Prot#'!B:B, 0)), "NoXtal", "Xtal")</f>
        <v>NoXtal</v>
      </c>
    </row>
    <row r="10" spans="1:36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 t="str">
        <f>IF(ISERROR(MATCH(A10,'SegEnds_Xtal_Prot#'!B:B, 0)), "NoXtal", "Xtal")</f>
        <v>NoXtal</v>
      </c>
    </row>
    <row r="11" spans="1:36" x14ac:dyDescent="0.2">
      <c r="A11" s="1" t="s">
        <v>308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61</v>
      </c>
      <c r="W11" s="1">
        <v>28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 t="str">
        <f>IF(ISERROR(MATCH(A11,'SegEnds_Xtal_Prot#'!B:B, 0)), "NoXtal", "Xtal")</f>
        <v>NoXtal</v>
      </c>
    </row>
    <row r="12" spans="1:36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 t="str">
        <f>IF(ISERROR(MATCH(A12,'SegEnds_Xtal_Prot#'!B:B, 0)), "NoXtal", "Xtal")</f>
        <v>NoXtal</v>
      </c>
    </row>
    <row r="13" spans="1:36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90">
        <v>38</v>
      </c>
      <c r="P13" s="4">
        <f>VLOOKUP($B13&amp;"__wt",'SegEnds_Xtal_BW#'!$A:$Z,16,FALSE)</f>
        <v>63</v>
      </c>
      <c r="Q13" s="117">
        <v>50</v>
      </c>
      <c r="R13" s="117">
        <v>52</v>
      </c>
      <c r="S13" s="4">
        <v>35</v>
      </c>
      <c r="T13" s="4">
        <f t="array" ref="T13">INDEX('ICL3'!$G$2:$G$40,MATCH(MIN(ABS(AH13-'ICL3'!$F$2:$F$40)),ABS(AH13-'ICL3'!$F$2:$F$40),0))</f>
        <v>74</v>
      </c>
      <c r="U13" s="4">
        <f t="array" ref="U13">INDEX('ICL3'!$H$2:$H$40,MATCH(MIN(ABS(AH13-'ICL3'!$F$2:$F$40)),ABS(AH13-'ICL3'!$F$2:$F$40),0))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243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10">
        <v>38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INDEX('ICL3'!$G$2:$G$40,MATCH(MIN(ABS(AH16-'ICL3'!$F$2:$F$40)),ABS(AH16-'ICL3'!$F$2:$F$40),0))</f>
        <v>72</v>
      </c>
      <c r="U16" s="1">
        <f t="array" ref="U16">INDEX('ICL3'!$H$2:$H$40,MATCH(MIN(ABS(AH16-'ICL3'!$F$2:$F$40)),ABS(AH16-'ICL3'!$F$2:$F$40),0))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 t="str">
        <f>IF(ISERROR(MATCH(A16,'SegEnds_Xtal_Prot#'!B:B, 0)), "NoXtal", "Xtal")</f>
        <v>Xtal</v>
      </c>
    </row>
    <row r="17" spans="1:36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INDEX('ICL3'!$G$2:$G$40,MATCH(MIN(ABS(AH17-'ICL3'!$F$2:$F$40)),ABS(AH17-'ICL3'!$F$2:$F$40),0))</f>
        <v>74</v>
      </c>
      <c r="U17" s="1">
        <f t="array" ref="U17">INDEX('ICL3'!$H$2:$H$40,MATCH(MIN(ABS(AH17-'ICL3'!$F$2:$F$40)),ABS(AH17-'ICL3'!$F$2:$F$40),0))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 t="str">
        <f>IF(ISERROR(MATCH(A17,'SegEnds_Xtal_Prot#'!B:B, 0)), "NoXtal", "Xtal")</f>
        <v>Xtal</v>
      </c>
    </row>
    <row r="18" spans="1:36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 t="str">
        <f>IF(ISERROR(MATCH(A18,'SegEnds_Xtal_Prot#'!B:B, 0)), "NoXtal", "Xtal")</f>
        <v>NoXtal</v>
      </c>
    </row>
    <row r="19" spans="1:36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10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143</v>
      </c>
      <c r="B20" s="1" t="str">
        <f>VLOOKUP(A20,Xtal_Templ!A:B,2,FALSE)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10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9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INDEX('ICL3'!$G$2:$G$40,MATCH(MIN(ABS(AH20-'ICL3'!$F$2:$F$40)),ABS(AH20-'ICL3'!$F$2:$F$40),0))</f>
        <v>68</v>
      </c>
      <c r="U20" s="1">
        <f t="array" ref="U20">INDEX('ICL3'!$H$2:$H$40,MATCH(MIN(ABS(AH20-'ICL3'!$F$2:$F$40)),ABS(AH20-'ICL3'!$F$2:$F$40),0))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 t="str">
        <f>IF(ISERROR(MATCH(A20,'SegEnds_Xtal_Prot#'!B:B, 0)), "NoXtal", "Xtal")</f>
        <v>NoXtal</v>
      </c>
    </row>
    <row r="21" spans="1:36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10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INDEX('ICL3'!$G$2:$G$40,MATCH(MIN(ABS(AH21-'ICL3'!$F$2:$F$40)),ABS(AH21-'ICL3'!$F$2:$F$40),0))</f>
        <v>68</v>
      </c>
      <c r="U21" s="1">
        <f t="array" ref="U21">INDEX('ICL3'!$H$2:$H$40,MATCH(MIN(ABS(AH21-'ICL3'!$F$2:$F$40)),ABS(AH21-'ICL3'!$F$2:$F$40),0))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 t="str">
        <f>IF(ISERROR(MATCH(A21,'SegEnds_Xtal_Prot#'!B:B, 0)), "NoXtal", "Xtal")</f>
        <v>NoXtal</v>
      </c>
    </row>
    <row r="22" spans="1:36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9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INDEX('ICL3'!$G$2:$G$40,MATCH(MIN(ABS(AH22-'ICL3'!$F$2:$F$40)),ABS(AH22-'ICL3'!$F$2:$F$40),0))</f>
        <v>68</v>
      </c>
      <c r="U22" s="1">
        <f t="array" ref="U22">INDEX('ICL3'!$H$2:$H$40,MATCH(MIN(ABS(AH22-'ICL3'!$F$2:$F$40)),ABS(AH22-'ICL3'!$F$2:$F$40),0))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 t="str">
        <f>IF(ISERROR(MATCH(A22,'SegEnds_Xtal_Prot#'!B:B, 0)), "NoXtal", "Xtal")</f>
        <v>NoXtal</v>
      </c>
    </row>
    <row r="23" spans="1:36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Xtal</v>
      </c>
    </row>
    <row r="24" spans="1:36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 t="str">
        <f>IF(ISERROR(MATCH(A24,'SegEnds_Xtal_Prot#'!B:B, 0)), "NoXtal", "Xtal")</f>
        <v>NoXtal</v>
      </c>
    </row>
    <row r="25" spans="1:36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9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 t="str">
        <f>IF(ISERROR(MATCH(A25,'SegEnds_Xtal_Prot#'!B:B, 0)), "NoXtal", "Xtal")</f>
        <v>Xtal</v>
      </c>
    </row>
    <row r="26" spans="1:36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9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INDEX('ICL3'!$G$2:$G$40,MATCH(MIN(ABS(AH26-'ICL3'!$F$2:$F$40)),ABS(AH26-'ICL3'!$F$2:$F$40),0))</f>
        <v>68</v>
      </c>
      <c r="U26" s="12">
        <f t="array" ref="U26">INDEX('ICL3'!$H$2:$H$40,MATCH(MIN(ABS(AH26-'ICL3'!$F$2:$F$40)),ABS(AH26-'ICL3'!$F$2:$F$40),0))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7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2" t="str">
        <f>IF(ISERROR(MATCH(A26,'SegEnds_Xtal_Prot#'!B:B, 0)), "NoXtal", "Xtal")</f>
        <v>NoXtal</v>
      </c>
    </row>
    <row r="27" spans="1:36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 t="str">
        <f>IF(ISERROR(MATCH(A27,'SegEnds_Xtal_Prot#'!B:B, 0)), "NoXtal", "Xtal")</f>
        <v>NoXtal</v>
      </c>
    </row>
    <row r="28" spans="1:36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9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INDEX('ICL3'!$G$2:$G$40,MATCH(MIN(ABS(AH28-'ICL3'!$F$2:$F$40)),ABS(AH28-'ICL3'!$F$2:$F$40),0))</f>
        <v>68</v>
      </c>
      <c r="U28" s="12">
        <f t="array" ref="U28">INDEX('ICL3'!$H$2:$H$40,MATCH(MIN(ABS(AH28-'ICL3'!$F$2:$F$40)),ABS(AH28-'ICL3'!$F$2:$F$40),0))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7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2" t="str">
        <f>IF(ISERROR(MATCH(A28,'SegEnds_Xtal_Prot#'!B:B, 0)), "NoXtal", "Xtal")</f>
        <v>Xtal</v>
      </c>
    </row>
    <row r="29" spans="1:36" x14ac:dyDescent="0.2">
      <c r="A29" s="1" t="s">
        <v>184</v>
      </c>
      <c r="B29" s="1" t="str">
        <f>VLOOKUP(A29,Xtal_Templ!A:B,2,FALSE)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INDEX('ICL3'!$G$2:$G$40,MATCH(MIN(ABS(AH29-'ICL3'!$F$2:$F$40)),ABS(AH29-'ICL3'!$F$2:$F$40),0))</f>
        <v>68</v>
      </c>
      <c r="U29" s="1">
        <f t="array" ref="U29">INDEX('ICL3'!$H$2:$H$40,MATCH(MIN(ABS(AH29-'ICL3'!$F$2:$F$40)),ABS(AH29-'ICL3'!$F$2:$F$40),0))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 t="str">
        <f>IF(ISERROR(MATCH(A29,'SegEnds_Xtal_Prot#'!B:B, 0)), "NoXtal", "Xtal")</f>
        <v>NoXtal</v>
      </c>
    </row>
    <row r="30" spans="1:36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0">
        <v>56</v>
      </c>
      <c r="O30" s="89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INDEX('ICL3'!$G$2:$G$40,MATCH(MIN(ABS(AH30-'ICL3'!$F$2:$F$40)),ABS(AH30-'ICL3'!$F$2:$F$40),0))</f>
        <v>68</v>
      </c>
      <c r="U30" s="1">
        <f t="array" ref="U30">INDEX('ICL3'!$H$2:$H$40,MATCH(MIN(ABS(AH30-'ICL3'!$F$2:$F$40)),ABS(AH30-'ICL3'!$F$2:$F$40),0))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 t="str">
        <f>IF(ISERROR(MATCH(A30,'SegEnds_Xtal_Prot#'!B:B, 0)), "NoXtal", "Xtal")</f>
        <v>NoXtal</v>
      </c>
    </row>
    <row r="31" spans="1:36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0">
        <v>56</v>
      </c>
      <c r="O31" s="110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 t="str">
        <f>IF(ISERROR(MATCH(A31,'SegEnds_Xtal_Prot#'!B:B, 0)), "NoXtal", "Xtal")</f>
        <v>NoXtal</v>
      </c>
    </row>
    <row r="32" spans="1:36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INDEX('ICL3'!$G$2:$G$40,MATCH(MIN(ABS(AH32-'ICL3'!$F$2:$F$40)),ABS(AH32-'ICL3'!$F$2:$F$40),0))</f>
        <v>68</v>
      </c>
      <c r="U32" s="1">
        <f t="array" ref="U32">INDEX('ICL3'!$H$2:$H$40,MATCH(MIN(ABS(AH32-'ICL3'!$F$2:$F$40)),ABS(AH32-'ICL3'!$F$2:$F$40),0))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 t="str">
        <f>IF(ISERROR(MATCH(A32,'SegEnds_Xtal_Prot#'!B:B, 0)), "NoXtal", "Xtal")</f>
        <v>NoXtal</v>
      </c>
    </row>
    <row r="33" spans="1:36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INDEX('ICL3'!$G$2:$G$40,MATCH(MIN(ABS(AH33-'ICL3'!$F$2:$F$40)),ABS(AH33-'ICL3'!$F$2:$F$40),0))</f>
        <v>68</v>
      </c>
      <c r="U33" s="1">
        <f t="array" ref="U33">INDEX('ICL3'!$H$2:$H$40,MATCH(MIN(ABS(AH33-'ICL3'!$F$2:$F$40)),ABS(AH33-'ICL3'!$F$2:$F$40),0))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 t="str">
        <f>IF(ISERROR(MATCH(A33,'SegEnds_Xtal_Prot#'!B:B, 0)), "NoXtal", "Xtal")</f>
        <v>Xtal</v>
      </c>
    </row>
    <row r="34" spans="1:36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68</v>
      </c>
      <c r="U34" s="1">
        <f t="array" ref="U34">INDEX('ICL3'!$H$2:$H$40,MATCH(MIN(ABS(AH34-'ICL3'!$F$2:$F$40)),ABS(AH34-'ICL3'!$F$2:$F$40),0))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 t="str">
        <f>IF(ISERROR(MATCH(A34,'SegEnds_Xtal_Prot#'!B:B, 0)), "NoXtal", "Xtal")</f>
        <v>NoXtal</v>
      </c>
    </row>
    <row r="35" spans="1:36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9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INDEX('ICL3'!$G$2:$G$40,MATCH(MIN(ABS(AH35-'ICL3'!$F$2:$F$40)),ABS(AH35-'ICL3'!$F$2:$F$40),0))</f>
        <v>68</v>
      </c>
      <c r="U35" s="12">
        <f t="array" ref="U35">INDEX('ICL3'!$H$2:$H$40,MATCH(MIN(ABS(AH35-'ICL3'!$F$2:$F$40)),ABS(AH35-'ICL3'!$F$2:$F$40),0))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7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2" t="str">
        <f>IF(ISERROR(MATCH(A35,'SegEnds_Xtal_Prot#'!B:B, 0)), "NoXtal", "Xtal")</f>
        <v>NoXtal</v>
      </c>
    </row>
    <row r="36" spans="1:36" x14ac:dyDescent="0.2">
      <c r="A36" s="1" t="s">
        <v>220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 t="str">
        <f>IF(ISERROR(MATCH(A36,'SegEnds_Xtal_Prot#'!B:B, 0)), "NoXtal", "Xtal")</f>
        <v>NoXtal</v>
      </c>
    </row>
    <row r="37" spans="1:36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INDEX('ICL3'!$G$2:$G$40,MATCH(MIN(ABS(AH37-'ICL3'!$F$2:$F$40)),ABS(AH37-'ICL3'!$F$2:$F$40),0))</f>
        <v>68</v>
      </c>
      <c r="U37" s="1">
        <f t="array" ref="U37">INDEX('ICL3'!$H$2:$H$40,MATCH(MIN(ABS(AH37-'ICL3'!$F$2:$F$40)),ABS(AH37-'ICL3'!$F$2:$F$40),0))</f>
        <v>24</v>
      </c>
      <c r="V37" s="1">
        <v>64</v>
      </c>
      <c r="W37" s="1">
        <v>24</v>
      </c>
      <c r="X37" s="6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 t="str">
        <f>IF(ISERROR(MATCH(A37,'SegEnds_Xtal_Prot#'!B:B, 0)), "NoXtal", "Xtal")</f>
        <v>NoXtal</v>
      </c>
    </row>
    <row r="38" spans="1:36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9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INDEX('ICL3'!$G$2:$G$40,MATCH(MIN(ABS(AH38-'ICL3'!$F$2:$F$40)),ABS(AH38-'ICL3'!$F$2:$F$40),0))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 t="str">
        <f>IF(ISERROR(MATCH(A38,'SegEnds_Xtal_Prot#'!B:B, 0)), "NoXtal", "Xtal")</f>
        <v>Xtal</v>
      </c>
    </row>
    <row r="39" spans="1:36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68</v>
      </c>
      <c r="U39" s="1">
        <f t="array" ref="U39">INDEX('ICL3'!$H$2:$H$40,MATCH(MIN(ABS(AH39-'ICL3'!$F$2:$F$40)),ABS(AH39-'ICL3'!$F$2:$F$40),0))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 t="str">
        <f>IF(ISERROR(MATCH(A39,'SegEnds_Xtal_Prot#'!B:B, 0)), "NoXtal", "Xtal")</f>
        <v>NoXtal</v>
      </c>
    </row>
    <row r="40" spans="1:36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INDEX('ICL3'!$G$2:$G$40,MATCH(MIN(ABS(AH40-'ICL3'!$F$2:$F$40)),ABS(AH40-'ICL3'!$F$2:$F$40),0))</f>
        <v>68</v>
      </c>
      <c r="U40" s="1">
        <f t="array" ref="U40">INDEX('ICL3'!$H$2:$H$40,MATCH(MIN(ABS(AH40-'ICL3'!$F$2:$F$40)),ABS(AH40-'ICL3'!$F$2:$F$40),0))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 t="str">
        <f>IF(ISERROR(MATCH(A40,'SegEnds_Xtal_Prot#'!B:B, 0)), "NoXtal", "Xtal")</f>
        <v>NoXtal</v>
      </c>
    </row>
    <row r="41" spans="1:36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INDEX('ICL3'!$G$2:$G$40,MATCH(MIN(ABS(AH41-'ICL3'!$F$2:$F$40)),ABS(AH41-'ICL3'!$F$2:$F$40),0))</f>
        <v>68</v>
      </c>
      <c r="U41" s="1">
        <f t="array" ref="U41">INDEX('ICL3'!$H$2:$H$40,MATCH(MIN(ABS(AH41-'ICL3'!$F$2:$F$40)),ABS(AH41-'ICL3'!$F$2:$F$40),0))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 t="str">
        <f>IF(ISERROR(MATCH(A41,'SegEnds_Xtal_Prot#'!B:B, 0)), "NoXtal", "Xtal")</f>
        <v>NoXtal</v>
      </c>
    </row>
    <row r="42" spans="1:36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9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INDEX('ICL3'!$G$2:$G$40,MATCH(MIN(ABS(AH42-'ICL3'!$F$2:$F$40)),ABS(AH42-'ICL3'!$F$2:$F$40),0))</f>
        <v>68</v>
      </c>
      <c r="U42" s="12">
        <f t="array" ref="U42">INDEX('ICL3'!$H$2:$H$40,MATCH(MIN(ABS(AH42-'ICL3'!$F$2:$F$40)),ABS(AH42-'ICL3'!$F$2:$F$40),0))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7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2" t="str">
        <f>IF(ISERROR(MATCH(A42,'SegEnds_Xtal_Prot#'!B:B, 0)), "NoXtal", "Xtal")</f>
        <v>NoXtal</v>
      </c>
    </row>
    <row r="43" spans="1:36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9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Xtal</v>
      </c>
    </row>
    <row r="44" spans="1:36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INDEX('ICL3'!$G$2:$G$40,MATCH(MIN(ABS(AH44-'ICL3'!$F$2:$F$40)),ABS(AH44-'ICL3'!$F$2:$F$40),0))</f>
        <v>74</v>
      </c>
      <c r="U44" s="1">
        <f t="array" ref="U44">INDEX('ICL3'!$H$2:$H$40,MATCH(MIN(ABS(AH44-'ICL3'!$F$2:$F$40)),ABS(AH44-'ICL3'!$F$2:$F$40),0))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 t="str">
        <f>IF(ISERROR(MATCH(A45,'SegEnds_Xtal_Prot#'!B:B, 0)), "NoXtal", "Xtal")</f>
        <v>NoXtal</v>
      </c>
    </row>
    <row r="46" spans="1:36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64</v>
      </c>
      <c r="W46" s="1">
        <v>24</v>
      </c>
      <c r="X46" s="6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 t="str">
        <f>IF(ISERROR(MATCH(A46,'SegEnds_Xtal_Prot#'!B:B, 0)), "NoXtal", "Xtal")</f>
        <v>NoXtal</v>
      </c>
    </row>
    <row r="47" spans="1:36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9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INDEX('ICL3'!$G$2:$G$40,MATCH(MIN(ABS(AH47-'ICL3'!$F$2:$F$40)),ABS(AH47-'ICL3'!$F$2:$F$40),0))</f>
        <v>76</v>
      </c>
      <c r="U47" s="4">
        <f t="array" ref="U47">INDEX('ICL3'!$H$2:$H$40,MATCH(MIN(ABS(AH47-'ICL3'!$F$2:$F$40)),ABS(AH47-'ICL3'!$F$2:$F$40),0))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217</v>
      </c>
      <c r="B48" s="1" t="str">
        <f>VLOOKUP(A48,Xtal_Templ!A:B,2,FALSE)</f>
        <v>par1_human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32</v>
      </c>
      <c r="T48" s="1">
        <f t="array" ref="T48">INDEX('ICL3'!$G$2:$G$40,MATCH(MIN(ABS(AH48-'ICL3'!$F$2:$F$40)),ABS(AH48-'ICL3'!$F$2:$F$40),0))</f>
        <v>68</v>
      </c>
      <c r="U48" s="1">
        <f t="array" ref="U48">INDEX('ICL3'!$H$2:$H$40,MATCH(MIN(ABS(AH48-'ICL3'!$F$2:$F$40)),ABS(AH48-'ICL3'!$F$2:$F$40),0))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 t="str">
        <f>IF(ISERROR(MATCH(A48,'SegEnds_Xtal_Prot#'!B:B, 0)), "NoXtal", "Xtal")</f>
        <v>NoXtal</v>
      </c>
    </row>
    <row r="49" spans="1:36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INDEX('ICL3'!$G$2:$G$40,MATCH(MIN(ABS(AH49-'ICL3'!$F$2:$F$40)),ABS(AH49-'ICL3'!$F$2:$F$40),0))</f>
        <v>68</v>
      </c>
      <c r="U49" s="1">
        <f t="array" ref="U49">INDEX('ICL3'!$H$2:$H$40,MATCH(MIN(ABS(AH49-'ICL3'!$F$2:$F$40)),ABS(AH49-'ICL3'!$F$2:$F$40),0))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 t="str">
        <f>IF(ISERROR(MATCH(A49,'SegEnds_Xtal_Prot#'!B:B, 0)), "NoXtal", "Xtal")</f>
        <v>NoXtal</v>
      </c>
    </row>
    <row r="50" spans="1:36" x14ac:dyDescent="0.2">
      <c r="A50" s="1" t="s">
        <v>241</v>
      </c>
      <c r="B50" s="1" t="str">
        <f>VLOOKUP(A50,Xtal_Templ!A:B,2,FALSE)</f>
        <v>apj_human</v>
      </c>
      <c r="C50" s="5">
        <f>VLOOKUP($B50&amp;"__wt",'SegEnds_Xtal_BW#'!$A:$Z,3,FALSE)</f>
        <v>33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52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INDEX('ICL3'!$G$2:$G$40,MATCH(MIN(ABS(AH50-'ICL3'!$F$2:$F$40)),ABS(AH50-'ICL3'!$F$2:$F$40),0))</f>
        <v>68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61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 t="str">
        <f>IF(ISERROR(MATCH(A50,'SegEnds_Xtal_Prot#'!B:B, 0)), "NoXtal", "Xtal")</f>
        <v>NoXtal</v>
      </c>
    </row>
    <row r="51" spans="1:36" x14ac:dyDescent="0.2">
      <c r="A51" s="1" t="s">
        <v>251</v>
      </c>
      <c r="B51" s="1" t="str">
        <f>VLOOKUP(A51,Xtal_Templ!A:B,2,FALSE)</f>
        <v>oprk_human</v>
      </c>
      <c r="C51" s="5">
        <f>VLOOKUP($B51&amp;"__wt",'SegEnds_Xtal_BW#'!$A:$Z,3,FALSE)</f>
        <v>30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INDEX('ICL3'!$G$2:$G$40,MATCH(MIN(ABS(AH51-'ICL3'!$F$2:$F$40)),ABS(AH51-'ICL3'!$F$2:$F$40),0))</f>
        <v>68</v>
      </c>
      <c r="U51" s="1">
        <f t="array" ref="U51">INDEX('ICL3'!$H$2:$H$40,MATCH(MIN(ABS(AH51-'ICL3'!$F$2:$F$40)),ABS(AH51-'ICL3'!$F$2:$F$40),0))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 t="str">
        <f>IF(ISERROR(MATCH(A51,'SegEnds_Xtal_Prot#'!B:B, 0)), "NoXtal", "Xtal")</f>
        <v>NoXtal</v>
      </c>
    </row>
    <row r="52" spans="1:36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9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76</v>
      </c>
      <c r="U52" s="1">
        <f t="array" ref="U52">INDEX('ICL3'!$H$2:$H$40,MATCH(MIN(ABS(AH52-'ICL3'!$F$2:$F$40)),ABS(AH52-'ICL3'!$F$2:$F$40),0))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NoXtal</v>
      </c>
    </row>
    <row r="53" spans="1:36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9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INDEX('ICL3'!$G$2:$G$40,MATCH(MIN(ABS(AH53-'ICL3'!$F$2:$F$40)),ABS(AH53-'ICL3'!$F$2:$F$40),0))</f>
        <v>73</v>
      </c>
      <c r="U53" s="1">
        <f t="array" ref="U53">INDEX('ICL3'!$H$2:$H$40,MATCH(MIN(ABS(AH53-'ICL3'!$F$2:$F$40)),ABS(AH53-'ICL3'!$F$2:$F$40),0))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10">
        <v>56</v>
      </c>
      <c r="O54" s="89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 t="str">
        <f>IF(ISERROR(MATCH(A54,'SegEnds_Xtal_Prot#'!B:B, 0)), "NoXtal", "Xtal")</f>
        <v>NoXtal</v>
      </c>
    </row>
    <row r="55" spans="1:36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10">
        <v>56</v>
      </c>
      <c r="O55" s="89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INDEX('ICL3'!$G$2:$G$40,MATCH(MIN(ABS(AH55-'ICL3'!$F$2:$F$40)),ABS(AH55-'ICL3'!$F$2:$F$40),0))</f>
        <v>73</v>
      </c>
      <c r="U55" s="1">
        <f t="array" ref="U55">INDEX('ICL3'!$H$2:$H$40,MATCH(MIN(ABS(AH55-'ICL3'!$F$2:$F$40)),ABS(AH55-'ICL3'!$F$2:$F$40),0))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NoXtal</v>
      </c>
    </row>
    <row r="56" spans="1:36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INDEX('ICL3'!$G$2:$G$40,MATCH(MIN(ABS(AH56-'ICL3'!$F$2:$F$40)),ABS(AH56-'ICL3'!$F$2:$F$40),0))</f>
        <v>68</v>
      </c>
      <c r="U56" s="1">
        <f t="array" ref="U56">INDEX('ICL3'!$H$2:$H$40,MATCH(MIN(ABS(AH56-'ICL3'!$F$2:$F$40)),ABS(AH56-'ICL3'!$F$2:$F$40),0))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 t="str">
        <f>IF(ISERROR(MATCH(A56,'SegEnds_Xtal_Prot#'!B:B, 0)), "NoXtal", "Xtal")</f>
        <v>NoXtal</v>
      </c>
    </row>
    <row r="57" spans="1:36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INDEX('ICL3'!$G$2:$G$40,MATCH(MIN(ABS(AH57-'ICL3'!$F$2:$F$40)),ABS(AH57-'ICL3'!$F$2:$F$40),0))</f>
        <v>67</v>
      </c>
      <c r="U57" s="1">
        <f t="array" ref="U57">INDEX('ICL3'!$H$2:$H$40,MATCH(MIN(ABS(AH57-'ICL3'!$F$2:$F$40)),ABS(AH57-'ICL3'!$F$2:$F$40),0))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 t="str">
        <f>IF(ISERROR(MATCH(A57,'SegEnds_Xtal_Prot#'!B:B, 0)), "NoXtal", "Xtal")</f>
        <v>NoXtal</v>
      </c>
    </row>
    <row r="58" spans="1:36" x14ac:dyDescent="0.2">
      <c r="A58" s="1" t="s">
        <v>290</v>
      </c>
      <c r="B58" s="1" t="str">
        <f>VLOOKUP(A58,Xtal_Templ!A:B,2,FALSE)</f>
        <v>ccr5_human</v>
      </c>
      <c r="C58" s="5">
        <f>VLOOKUP($B58&amp;"__wt",'SegEnds_Xtal_BW#'!$A:$Z,3,FALSE)</f>
        <v>24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30</v>
      </c>
      <c r="T58" s="1">
        <f t="array" ref="T58">INDEX('ICL3'!$G$2:$G$40,MATCH(MIN(ABS(AH58-'ICL3'!$F$2:$F$40)),ABS(AH58-'ICL3'!$F$2:$F$40),0))</f>
        <v>68</v>
      </c>
      <c r="U58" s="1">
        <f t="array" ref="U58">INDEX('ICL3'!$H$2:$H$40,MATCH(MIN(ABS(AH58-'ICL3'!$F$2:$F$40)),ABS(AH58-'ICL3'!$F$2:$F$40),0))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59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 t="str">
        <f>IF(ISERROR(MATCH(A58,'SegEnds_Xtal_Prot#'!B:B, 0)), "NoXtal", "Xtal")</f>
        <v>NoXtal</v>
      </c>
    </row>
    <row r="59" spans="1:36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68</v>
      </c>
      <c r="U59" s="1">
        <f t="array" ref="U59">INDEX('ICL3'!$H$2:$H$40,MATCH(MIN(ABS(AH59-'ICL3'!$F$2:$F$40)),ABS(AH59-'ICL3'!$F$2:$F$40),0))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 t="str">
        <f>IF(ISERROR(MATCH(A59,'SegEnds_Xtal_Prot#'!B:B, 0)), "NoXtal", "Xtal")</f>
        <v>NoXtal</v>
      </c>
    </row>
    <row r="60" spans="1:36" x14ac:dyDescent="0.2">
      <c r="A60" s="1" t="s">
        <v>293</v>
      </c>
      <c r="B60" s="1" t="str">
        <f>VLOOKUP(A60,Xtal_Templ!A:B,2,FALSE)</f>
        <v>ntr1_rat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67</v>
      </c>
      <c r="U60" s="1">
        <f t="array" ref="U60">INDEX('ICL3'!$H$2:$H$40,MATCH(MIN(ABS(AH60-'ICL3'!$F$2:$F$40)),ABS(AH60-'ICL3'!$F$2:$F$40),0))</f>
        <v>26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 t="str">
        <f>IF(ISERROR(MATCH(A60,'SegEnds_Xtal_Prot#'!B:B, 0)), "NoXtal", "Xtal")</f>
        <v>NoXtal</v>
      </c>
    </row>
    <row r="61" spans="1:36" x14ac:dyDescent="0.2">
      <c r="A61" s="1" t="s">
        <v>301</v>
      </c>
      <c r="B61" s="1" t="str">
        <f>VLOOKUP(A61,Xtal_Templ!A:B,2,FALSE)</f>
        <v>agtr1_human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INDEX('ICL3'!$G$2:$G$40,MATCH(MIN(ABS(AH61-'ICL3'!$F$2:$F$40)),ABS(AH61-'ICL3'!$F$2:$F$40),0))</f>
        <v>68</v>
      </c>
      <c r="U61" s="1">
        <f t="array" ref="U61">INDEX('ICL3'!$H$2:$H$40,MATCH(MIN(ABS(AH61-'ICL3'!$F$2:$F$40)),ABS(AH61-'ICL3'!$F$2:$F$40),0))</f>
        <v>28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61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 t="str">
        <f>IF(ISERROR(MATCH(A61,'SegEnds_Xtal_Prot#'!B:B, 0)), "NoXtal", "Xtal")</f>
        <v>NoXtal</v>
      </c>
    </row>
    <row r="62" spans="1:36" x14ac:dyDescent="0.2">
      <c r="A62" s="1" t="s">
        <v>320</v>
      </c>
      <c r="B62" s="1" t="str">
        <f>VLOOKUP(A62,Xtal_Templ!A:B,2,FALSE)</f>
        <v>oprd_human</v>
      </c>
      <c r="C62" s="5">
        <f>VLOOKUP($B62&amp;"__wt",'SegEnds_Xtal_BW#'!$A:$Z,3,FALSE)</f>
        <v>22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INDEX('ICL3'!$G$2:$G$40,MATCH(MIN(ABS(AH62-'ICL3'!$F$2:$F$40)),ABS(AH62-'ICL3'!$F$2:$F$40),0))</f>
        <v>68</v>
      </c>
      <c r="U62" s="1">
        <f t="array" ref="U62">INDEX('ICL3'!$H$2:$H$40,MATCH(MIN(ABS(AH62-'ICL3'!$F$2:$F$40)),ABS(AH62-'ICL3'!$F$2:$F$40),0))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60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 t="str">
        <f>IF(ISERROR(MATCH(A62,'SegEnds_Xtal_Prot#'!B:B, 0)), "NoXtal", "Xtal")</f>
        <v>NoXtal</v>
      </c>
    </row>
    <row r="63" spans="1:36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INDEX('ICL3'!$G$2:$G$40,MATCH(MIN(ABS(AH63-'ICL3'!$F$2:$F$40)),ABS(AH63-'ICL3'!$F$2:$F$40),0))</f>
        <v>68</v>
      </c>
      <c r="U63" s="1">
        <f t="array" ref="U63">INDEX('ICL3'!$H$2:$H$40,MATCH(MIN(ABS(AH63-'ICL3'!$F$2:$F$40)),ABS(AH63-'ICL3'!$F$2:$F$40),0))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 t="str">
        <f>IF(ISERROR(MATCH(A63,'SegEnds_Xtal_Prot#'!B:B, 0)), "NoXtal", "Xtal")</f>
        <v>NoXtal</v>
      </c>
    </row>
    <row r="64" spans="1:36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INDEX('ICL3'!$G$2:$G$40,MATCH(MIN(ABS(AH64-'ICL3'!$F$2:$F$40)),ABS(AH64-'ICL3'!$F$2:$F$40),0))</f>
        <v>68</v>
      </c>
      <c r="U64" s="1">
        <f t="array" ref="U64">INDEX('ICL3'!$H$2:$H$40,MATCH(MIN(ABS(AH64-'ICL3'!$F$2:$F$40)),ABS(AH64-'ICL3'!$F$2:$F$40),0))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 t="str">
        <f>IF(ISERROR(MATCH(A64,'SegEnds_Xtal_Prot#'!B:B, 0)), "NoXtal", "Xtal")</f>
        <v>Xtal</v>
      </c>
    </row>
    <row r="65" spans="1:36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9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INDEX('ICL3'!$G$2:$G$40,MATCH(MIN(ABS(AH65-'ICL3'!$F$2:$F$40)),ABS(AH65-'ICL3'!$F$2:$F$40),0))</f>
        <v>68</v>
      </c>
      <c r="U65" s="1">
        <f t="array" ref="U65">INDEX('ICL3'!$H$2:$H$40,MATCH(MIN(ABS(AH65-'ICL3'!$F$2:$F$40)),ABS(AH65-'ICL3'!$F$2:$F$40),0))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 t="str">
        <f>IF(ISERROR(MATCH(A65,'SegEnds_Xtal_Prot#'!B:B, 0)), "NoXtal", "Xtal")</f>
        <v>Xtal</v>
      </c>
    </row>
    <row r="66" spans="1:36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9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INDEX('ICL3'!$G$2:$G$40,MATCH(MIN(ABS(AH66-'ICL3'!$F$2:$F$40)),ABS(AH66-'ICL3'!$F$2:$F$40),0))</f>
        <v>68</v>
      </c>
      <c r="U66" s="1">
        <f t="array" ref="U66">INDEX('ICL3'!$H$2:$H$40,MATCH(MIN(ABS(AH66-'ICL3'!$F$2:$F$40)),ABS(AH66-'ICL3'!$F$2:$F$40),0))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 t="str">
        <f>IF(ISERROR(MATCH(A66,'SegEnds_Xtal_Prot#'!B:B, 0)), "NoXtal", "Xtal")</f>
        <v>Xtal</v>
      </c>
    </row>
    <row r="67" spans="1:36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INDEX('ICL3'!$G$2:$G$40,MATCH(MIN(ABS(AH67-'ICL3'!$F$2:$F$40)),ABS(AH67-'ICL3'!$F$2:$F$40),0))</f>
        <v>68</v>
      </c>
      <c r="U67" s="1">
        <f t="array" ref="U67">INDEX('ICL3'!$H$2:$H$40,MATCH(MIN(ABS(AH67-'ICL3'!$F$2:$F$40)),ABS(AH67-'ICL3'!$F$2:$F$40),0))</f>
        <v>23</v>
      </c>
      <c r="V67" s="1">
        <v>61</v>
      </c>
      <c r="W67" s="1">
        <v>28</v>
      </c>
      <c r="X67" s="6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 t="str">
        <f>IF(ISERROR(MATCH(A67,'SegEnds_Xtal_Prot#'!B:B, 0)), "NoXtal", "Xtal")</f>
        <v>NoXtal</v>
      </c>
    </row>
    <row r="68" spans="1:36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INDEX('ICL3'!$G$2:$G$40,MATCH(MIN(ABS(AH68-'ICL3'!$F$2:$F$40)),ABS(AH68-'ICL3'!$F$2:$F$40),0))</f>
        <v>68</v>
      </c>
      <c r="U68" s="1">
        <f t="array" ref="U68">INDEX('ICL3'!$H$2:$H$40,MATCH(MIN(ABS(AH68-'ICL3'!$F$2:$F$40)),ABS(AH68-'ICL3'!$F$2:$F$40),0))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 t="str">
        <f>IF(ISERROR(MATCH(A68,'SegEnds_Xtal_Prot#'!B:B, 0)), "NoXtal", "Xtal")</f>
        <v>Xtal</v>
      </c>
    </row>
    <row r="69" spans="1:36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9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INDEX('ICL3'!$G$2:$G$40,MATCH(MIN(ABS(AH69-'ICL3'!$F$2:$F$40)),ABS(AH69-'ICL3'!$F$2:$F$40),0))</f>
        <v>68</v>
      </c>
      <c r="U69" s="1">
        <f t="array" ref="U69">INDEX('ICL3'!$H$2:$H$40,MATCH(MIN(ABS(AH69-'ICL3'!$F$2:$F$40)),ABS(AH69-'ICL3'!$F$2:$F$40),0))</f>
        <v>23</v>
      </c>
      <c r="V69" s="1">
        <v>61</v>
      </c>
      <c r="W69" s="1">
        <v>28</v>
      </c>
      <c r="X69" s="6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 t="str">
        <f>IF(ISERROR(MATCH(A69,'SegEnds_Xtal_Prot#'!B:B, 0)), "NoXtal", "Xtal")</f>
        <v>Xtal</v>
      </c>
    </row>
    <row r="70" spans="1:36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10">
        <v>56</v>
      </c>
      <c r="O70" s="89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INDEX('ICL3'!$G$2:$G$40,MATCH(MIN(ABS(AH70-'ICL3'!$F$2:$F$40)),ABS(AH70-'ICL3'!$F$2:$F$40),0))</f>
        <v>68</v>
      </c>
      <c r="U70" s="4">
        <f t="array" ref="U70">INDEX('ICL3'!$H$2:$H$40,MATCH(MIN(ABS(AH70-'ICL3'!$F$2:$F$40)),ABS(AH70-'ICL3'!$F$2:$F$40),0))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 t="str">
        <f>IF(ISERROR(MATCH(A70,'SegEnds_Xtal_Prot#'!B:B, 0)), "NoXtal", "Xtal")</f>
        <v>NoXtal</v>
      </c>
    </row>
    <row r="71" spans="1:36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63</v>
      </c>
      <c r="Q71" s="110">
        <v>50</v>
      </c>
      <c r="R71" s="110">
        <v>52</v>
      </c>
      <c r="S71" s="1">
        <f>VLOOKUP($B71&amp;"__wt",'SegEnds_Xtal_BW#'!$A:$Z,19,FALSE)</f>
        <v>36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10">
        <f>VLOOKUP($B72&amp;"__wt",'SegEnds_Xtal_BW#'!$A:$Z,14,FALSE)</f>
        <v>57</v>
      </c>
      <c r="O72" s="110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24</v>
      </c>
      <c r="V72" s="110">
        <v>64</v>
      </c>
      <c r="W72" s="1">
        <v>24</v>
      </c>
      <c r="X72" s="1">
        <f>VLOOKUP($B72&amp;"__wt",'SegEnds_Xtal_BW#'!$A:$Z,24,FALSE)</f>
        <v>59</v>
      </c>
      <c r="Y72" s="1">
        <f>VLOOKUP($B72&amp;"__wt",'SegEnds_Xtal_BW#'!$A:$Z,25,FALSE)</f>
        <v>50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Xtal</v>
      </c>
    </row>
    <row r="73" spans="1:36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9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30</v>
      </c>
      <c r="V73" s="1">
        <v>64</v>
      </c>
      <c r="W73" s="1">
        <v>24</v>
      </c>
      <c r="X73" s="1">
        <f>VLOOKUP($B73&amp;"__wt",'SegEnds_Xtal_BW#'!$A:$Z,24,FALSE)</f>
        <v>54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 t="str">
        <f>IF(ISERROR(MATCH(A73,'SegEnds_Xtal_Prot#'!B:B, 0)), "NoXtal", "Xtal")</f>
        <v>Xtal</v>
      </c>
    </row>
    <row r="74" spans="1:36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0">
        <f>VLOOKUP($B74&amp;"__wt",'SegEnds_Xtal_BW#'!$A:$Z,14,FALSE)</f>
        <v>56</v>
      </c>
      <c r="O74" s="89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 t="str">
        <f>IF(ISERROR(MATCH(A74,'SegEnds_Xtal_Prot#'!B:B, 0)), "NoXtal", "Xtal")</f>
        <v>Xtal</v>
      </c>
    </row>
    <row r="75" spans="1:36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10">
        <v>56</v>
      </c>
      <c r="O75" s="89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INDEX('ICL3'!$G$2:$G$40,MATCH(MIN(ABS(AH75-'ICL3'!$F$2:$F$40)),ABS(AH75-'ICL3'!$F$2:$F$40),0))</f>
        <v>67</v>
      </c>
      <c r="U75" s="1">
        <f t="array" ref="U75">INDEX('ICL3'!$H$2:$H$40,MATCH(MIN(ABS(AH75-'ICL3'!$F$2:$F$40)),ABS(AH75-'ICL3'!$F$2:$F$40),0))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 t="str">
        <f>IF(ISERROR(MATCH(A75,'SegEnds_Xtal_Prot#'!B:B, 0)), "NoXtal", "Xtal")</f>
        <v>NoXtal</v>
      </c>
    </row>
    <row r="76" spans="1:36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10">
        <v>56</v>
      </c>
      <c r="O76" s="89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 t="str">
        <f>IF(ISERROR(MATCH(A76,'SegEnds_Xtal_Prot#'!B:B, 0)), "NoXtal", "Xtal")</f>
        <v>NoXtal</v>
      </c>
    </row>
    <row r="77" spans="1:36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 t="str">
        <f>IF(ISERROR(MATCH(A77,'SegEnds_Xtal_Prot#'!B:B, 0)), "NoXtal", "Xtal")</f>
        <v>NoXtal</v>
      </c>
    </row>
    <row r="78" spans="1:36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10">
        <v>56</v>
      </c>
      <c r="O78" s="89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 t="str">
        <f>IF(ISERROR(MATCH(A78,'SegEnds_Xtal_Prot#'!B:B, 0)), "NoXtal", "Xtal")</f>
        <v>NoXtal</v>
      </c>
    </row>
    <row r="79" spans="1:36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 t="str">
        <f>IF(ISERROR(MATCH(A79,'SegEnds_Xtal_Prot#'!B:B, 0)), "NoXtal", "Xtal")</f>
        <v>NoXtal</v>
      </c>
    </row>
    <row r="80" spans="1:36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 t="str">
        <f>IF(ISERROR(MATCH(A80,'SegEnds_Xtal_Prot#'!B:B, 0)), "NoXtal", "Xtal")</f>
        <v>NoXtal</v>
      </c>
    </row>
    <row r="81" spans="1:36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INDEX('ICL3'!$G$2:$G$40,MATCH(MIN(ABS(AH81-'ICL3'!$F$2:$F$40)),ABS(AH81-'ICL3'!$F$2:$F$40),0))</f>
        <v>72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 t="str">
        <f>IF(ISERROR(MATCH(A81,'SegEnds_Xtal_Prot#'!B:B, 0)), "NoXtal", "Xtal")</f>
        <v>NoXtal</v>
      </c>
    </row>
    <row r="82" spans="1:36" x14ac:dyDescent="0.2">
      <c r="A82" s="1" t="s">
        <v>384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 t="str">
        <f>IF(ISERROR(MATCH(A82,'SegEnds_Xtal_Prot#'!B:B, 0)), "NoXtal", "Xtal")</f>
        <v>NoXtal</v>
      </c>
    </row>
    <row r="83" spans="1:36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INDEX('ICL3'!$G$2:$G$40,MATCH(MIN(ABS(AH83-'ICL3'!$F$2:$F$40)),ABS(AH83-'ICL3'!$F$2:$F$40),0))</f>
        <v>72</v>
      </c>
      <c r="U83" s="1">
        <f t="array" ref="U83">INDEX('ICL3'!$H$2:$H$40,MATCH(MIN(ABS(AH83-'ICL3'!$F$2:$F$40)),ABS(AH83-'ICL3'!$F$2:$F$40),0))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 t="str">
        <f>IF(ISERROR(MATCH(A83,'SegEnds_Xtal_Prot#'!B:B, 0)), "NoXtal", "Xtal")</f>
        <v>NoXtal</v>
      </c>
    </row>
    <row r="84" spans="1:36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24</v>
      </c>
      <c r="V84" s="1">
        <v>64</v>
      </c>
      <c r="W84" s="1">
        <v>24</v>
      </c>
      <c r="X84" s="6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 t="str">
        <f>IF(ISERROR(MATCH(A84,'SegEnds_Xtal_Prot#'!B:B, 0)), "NoXtal", "Xtal")</f>
        <v>NoXtal</v>
      </c>
    </row>
    <row r="85" spans="1:36" x14ac:dyDescent="0.2">
      <c r="A85" s="1" t="s">
        <v>396</v>
      </c>
      <c r="B85" s="1" t="str">
        <f>VLOOKUP(A85,Xtal_Templ!A:B,2,FALSE)</f>
        <v>ccr5_human</v>
      </c>
      <c r="C85" s="5">
        <f>VLOOKUP($B85&amp;"__wt",'SegEnds_Xtal_BW#'!$A:$Z,3,FALSE)</f>
        <v>24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INDEX('ICL3'!$G$2:$G$40,MATCH(MIN(ABS(AH85-'ICL3'!$F$2:$F$40)),ABS(AH85-'ICL3'!$F$2:$F$40),0))</f>
        <v>72</v>
      </c>
      <c r="U85" s="1">
        <f t="array" ref="U85">INDEX('ICL3'!$H$2:$H$40,MATCH(MIN(ABS(AH85-'ICL3'!$F$2:$F$40)),ABS(AH85-'ICL3'!$F$2:$F$40),0))</f>
        <v>29</v>
      </c>
      <c r="V85" s="1">
        <v>61</v>
      </c>
      <c r="W85" s="1">
        <v>28</v>
      </c>
      <c r="X85" s="110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 t="str">
        <f>IF(ISERROR(MATCH(A85,'SegEnds_Xtal_Prot#'!B:B, 0)), "NoXtal", "Xtal")</f>
        <v>NoXtal</v>
      </c>
    </row>
    <row r="86" spans="1:36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INDEX('ICL3'!$G$2:$G$40,MATCH(MIN(ABS(AH86-'ICL3'!$F$2:$F$40)),ABS(AH86-'ICL3'!$F$2:$F$40),0))</f>
        <v>76</v>
      </c>
      <c r="U86" s="1">
        <f t="array" ref="U86">INDEX('ICL3'!$H$2:$H$40,MATCH(MIN(ABS(AH86-'ICL3'!$F$2:$F$40)),ABS(AH86-'ICL3'!$F$2:$F$40),0))</f>
        <v>24</v>
      </c>
      <c r="V86" s="1">
        <v>60</v>
      </c>
      <c r="W86" s="1">
        <v>31</v>
      </c>
      <c r="X86" s="34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 t="str">
        <f>IF(ISERROR(MATCH(A86,'SegEnds_Xtal_Prot#'!B:B, 0)), "NoXtal", "Xtal")</f>
        <v>NoXtal</v>
      </c>
    </row>
    <row r="87" spans="1:36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9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INDEX('ICL3'!$G$2:$G$40,MATCH(MIN(ABS(AH87-'ICL3'!$F$2:$F$40)),ABS(AH87-'ICL3'!$F$2:$F$40),0))</f>
        <v>74</v>
      </c>
      <c r="U87" s="1">
        <f t="array" ref="U87">INDEX('ICL3'!$H$2:$H$40,MATCH(MIN(ABS(AH87-'ICL3'!$F$2:$F$40)),ABS(AH87-'ICL3'!$F$2:$F$40),0))</f>
        <v>24</v>
      </c>
      <c r="V87" s="1">
        <v>60</v>
      </c>
      <c r="W87" s="1">
        <v>31</v>
      </c>
      <c r="X87" s="34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 t="str">
        <f>IF(ISERROR(MATCH(A87,'SegEnds_Xtal_Prot#'!B:B, 0)), "NoXtal", "Xtal")</f>
        <v>Xtal</v>
      </c>
    </row>
    <row r="88" spans="1:36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INDEX('ICL3'!$G$2:$G$40,MATCH(MIN(ABS(AH88-'ICL3'!$F$2:$F$40)),ABS(AH88-'ICL3'!$F$2:$F$40),0))</f>
        <v>74</v>
      </c>
      <c r="U88" s="1">
        <f t="array" ref="U88">INDEX('ICL3'!$H$2:$H$40,MATCH(MIN(ABS(AH88-'ICL3'!$F$2:$F$40)),ABS(AH88-'ICL3'!$F$2:$F$40),0))</f>
        <v>24</v>
      </c>
      <c r="V88" s="1">
        <v>60</v>
      </c>
      <c r="W88" s="1">
        <v>31</v>
      </c>
      <c r="X88" s="34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 t="str">
        <f>IF(ISERROR(MATCH(A88,'SegEnds_Xtal_Prot#'!B:B, 0)), "NoXtal", "Xtal")</f>
        <v>NoXtal</v>
      </c>
    </row>
    <row r="89" spans="1:36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INDEX('ICL3'!$G$2:$G$40,MATCH(MIN(ABS(AH89-'ICL3'!$F$2:$F$40)),ABS(AH89-'ICL3'!$F$2:$F$40),0))</f>
        <v>76</v>
      </c>
      <c r="U89" s="1">
        <f t="array" ref="U89">INDEX('ICL3'!$H$2:$H$40,MATCH(MIN(ABS(AH89-'ICL3'!$F$2:$F$40)),ABS(AH89-'ICL3'!$F$2:$F$40),0))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 t="str">
        <f>IF(ISERROR(MATCH(A89,'SegEnds_Xtal_Prot#'!B:B, 0)), "NoXtal", "Xtal")</f>
        <v>NoXtal</v>
      </c>
    </row>
    <row r="90" spans="1:36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INDEX('ICL3'!$G$2:$G$40,MATCH(MIN(ABS(AH90-'ICL3'!$F$2:$F$40)),ABS(AH90-'ICL3'!$F$2:$F$40),0))</f>
        <v>76</v>
      </c>
      <c r="U90" s="1">
        <f t="array" ref="U90">INDEX('ICL3'!$H$2:$H$40,MATCH(MIN(ABS(AH90-'ICL3'!$F$2:$F$40)),ABS(AH90-'ICL3'!$F$2:$F$40),0))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134</v>
      </c>
      <c r="B91" s="1" t="str">
        <f>VLOOKUP(A91,Xtal_Templ!A:B,2,FALSE)</f>
        <v>adrb2_human</v>
      </c>
      <c r="C91" s="5">
        <f>VLOOKUP($B91&amp;"__wt",'SegEnds_Xtal_BW#'!$A:$Z,3,FALSE)</f>
        <v>25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INDEX('ICL3'!$G$2:$G$40,MATCH(MIN(ABS(AH91-'ICL3'!$F$2:$F$40)),ABS(AH91-'ICL3'!$F$2:$F$40),0))</f>
        <v>76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34">
        <f>VLOOKUP($B91&amp;"__wt",'SegEnds_Xtal_BW#'!$A:$Z,24,FALSE)</f>
        <v>55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 t="str">
        <f>IF(ISERROR(MATCH(A91,'SegEnds_Xtal_Prot#'!B:B, 0)), "NoXtal", "Xtal")</f>
        <v>NoXtal</v>
      </c>
    </row>
    <row r="92" spans="1:36" x14ac:dyDescent="0.2">
      <c r="A92" s="1" t="s">
        <v>136</v>
      </c>
      <c r="B92" s="1" t="str">
        <f>VLOOKUP(A92,Xtal_Templ!A:B,2,FALSE)</f>
        <v>5ht2b_human</v>
      </c>
      <c r="C92" s="5">
        <f>VLOOKUP($B92&amp;"__wt",'SegEnds_Xtal_BW#'!$A:$Z,3,FALSE)</f>
        <v>32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INDEX('ICL3'!$G$2:$G$40,MATCH(MIN(ABS(AH92-'ICL3'!$F$2:$F$40)),ABS(AH92-'ICL3'!$F$2:$F$40),0))</f>
        <v>76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 t="str">
        <f>IF(ISERROR(MATCH(A92,'SegEnds_Xtal_Prot#'!B:B, 0)), "NoXtal", "Xtal")</f>
        <v>NoXtal</v>
      </c>
    </row>
    <row r="93" spans="1:36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9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INDEX('ICL3'!$G$2:$G$40,MATCH(MIN(ABS(AH94-'ICL3'!$F$2:$F$40)),ABS(AH94-'ICL3'!$F$2:$F$40),0))</f>
        <v>75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 t="str">
        <f>IF(ISERROR(MATCH(A94,'SegEnds_Xtal_Prot#'!B:B, 0)), "NoXtal", "Xtal")</f>
        <v>Xtal</v>
      </c>
    </row>
    <row r="95" spans="1:36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9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 t="str">
        <f>IF(ISERROR(MATCH(A95,'SegEnds_Xtal_Prot#'!B:B, 0)), "NoXtal", "Xtal")</f>
        <v>Xtal</v>
      </c>
    </row>
    <row r="96" spans="1:36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INDEX('ICL3'!$G$2:$G$40,MATCH(MIN(ABS(AH96-'ICL3'!$F$2:$F$40)),ABS(AH96-'ICL3'!$F$2:$F$40),0))</f>
        <v>75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 t="str">
        <f>IF(ISERROR(MATCH(A96,'SegEnds_Xtal_Prot#'!B:B, 0)), "NoXtal", "Xtal")</f>
        <v>NoXtal</v>
      </c>
    </row>
    <row r="97" spans="1:36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9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INDEX('ICL3'!$G$2:$G$40,MATCH(MIN(ABS(AH97-'ICL3'!$F$2:$F$40)),ABS(AH97-'ICL3'!$F$2:$F$40),0))</f>
        <v>75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 t="str">
        <f>IF(ISERROR(MATCH(A97,'SegEnds_Xtal_Prot#'!B:B, 0)), "NoXtal", "Xtal")</f>
        <v>Xtal</v>
      </c>
    </row>
    <row r="98" spans="1:36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INDEX('ICL3'!$G$2:$G$40,MATCH(MIN(ABS(AH98-'ICL3'!$F$2:$F$40)),ABS(AH98-'ICL3'!$F$2:$F$40),0))</f>
        <v>75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 t="str">
        <f>IF(ISERROR(MATCH(A98,'SegEnds_Xtal_Prot#'!B:B, 0)), "NoXtal", "Xtal")</f>
        <v>Xtal</v>
      </c>
    </row>
    <row r="99" spans="1:36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INDEX('ICL3'!$G$2:$G$40,MATCH(MIN(ABS(AH99-'ICL3'!$F$2:$F$40)),ABS(AH99-'ICL3'!$F$2:$F$40),0))</f>
        <v>75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 t="str">
        <f>IF(ISERROR(MATCH(A99,'SegEnds_Xtal_Prot#'!B:B, 0)), "NoXtal", "Xtal")</f>
        <v>NoXtal</v>
      </c>
    </row>
    <row r="100" spans="1:36" x14ac:dyDescent="0.2">
      <c r="A100" s="1" t="s">
        <v>152</v>
      </c>
      <c r="B100" s="1" t="str">
        <f>VLOOKUP(A100,Xtal_Templ!A:B,2,FALSE)</f>
        <v>adrb2_human</v>
      </c>
      <c r="C100" s="5">
        <f>VLOOKUP($B100&amp;"__wt",'SegEnds_Xtal_BW#'!$A:$Z,3,FALSE)</f>
        <v>25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INDEX('ICL3'!$G$2:$G$40,MATCH(MIN(ABS(AH100-'ICL3'!$F$2:$F$40)),ABS(AH100-'ICL3'!$F$2:$F$40),0))</f>
        <v>76</v>
      </c>
      <c r="U100" s="1">
        <f t="array" ref="U100">INDEX('ICL3'!$H$2:$H$40,MATCH(MIN(ABS(AH100-'ICL3'!$F$2:$F$40)),ABS(AH100-'ICL3'!$F$2:$F$40),0))</f>
        <v>24</v>
      </c>
      <c r="V100" s="1">
        <v>61</v>
      </c>
      <c r="W100" s="1">
        <v>31</v>
      </c>
      <c r="X100" s="1">
        <f>VLOOKUP($B100&amp;"__wt",'SegEnds_Xtal_BW#'!$A:$Z,24,FALSE)</f>
        <v>55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153</v>
      </c>
      <c r="B101" s="1" t="str">
        <f>VLOOKUP(A101,Xtal_Templ!A:B,2,FALSE)</f>
        <v>drd3_human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INDEX('ICL3'!$G$2:$G$40,MATCH(MIN(ABS(AH101-'ICL3'!$F$2:$F$40)),ABS(AH101-'ICL3'!$F$2:$F$40),0))</f>
        <v>74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154</v>
      </c>
      <c r="B102" s="1" t="str">
        <f>VLOOKUP(A102,Xtal_Templ!A:B,2,FALSE)</f>
        <v>adrb2_human</v>
      </c>
      <c r="C102" s="5">
        <f>VLOOKUP($B102&amp;"__wt",'SegEnds_Xtal_BW#'!$A:$Z,3,FALSE)</f>
        <v>25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74</v>
      </c>
      <c r="U102" s="1">
        <f t="array" ref="U102">INDEX('ICL3'!$H$2:$H$40,MATCH(MIN(ABS(AH102-'ICL3'!$F$2:$F$40)),ABS(AH102-'ICL3'!$F$2:$F$40),0))</f>
        <v>24</v>
      </c>
      <c r="V102" s="1">
        <v>61</v>
      </c>
      <c r="W102" s="1">
        <v>31</v>
      </c>
      <c r="X102" s="1">
        <f>VLOOKUP($B102&amp;"__wt",'SegEnds_Xtal_BW#'!$A:$Z,24,FALSE)</f>
        <v>55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 t="str">
        <f>IF(ISERROR(MATCH(A102,'SegEnds_Xtal_Prot#'!B:B, 0)), "NoXtal", "Xtal")</f>
        <v>NoXtal</v>
      </c>
    </row>
    <row r="103" spans="1:36" x14ac:dyDescent="0.2">
      <c r="A103" s="1" t="s">
        <v>155</v>
      </c>
      <c r="B103" s="1" t="str">
        <f>VLOOKUP(A103,Xtal_Templ!A:B,2,FALSE)</f>
        <v>drd3_human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75</v>
      </c>
      <c r="U103" s="1">
        <f t="array" ref="U103">INDEX('ICL3'!$H$2:$H$40,MATCH(MIN(ABS(AH103-'ICL3'!$F$2:$F$40)),ABS(AH103-'ICL3'!$F$2:$F$40),0))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 t="str">
        <f>IF(ISERROR(MATCH(A103,'SegEnds_Xtal_Prot#'!B:B, 0)), "NoXtal", "Xtal")</f>
        <v>NoXtal</v>
      </c>
    </row>
    <row r="104" spans="1:36" x14ac:dyDescent="0.2">
      <c r="A104" s="1" t="s">
        <v>156</v>
      </c>
      <c r="B104" s="1" t="str">
        <f>VLOOKUP(A104,Xtal_Templ!A:B,2,FALSE)</f>
        <v>drd3_human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75</v>
      </c>
      <c r="U104" s="1">
        <f t="array" ref="U104">INDEX('ICL3'!$H$2:$H$40,MATCH(MIN(ABS(AH104-'ICL3'!$F$2:$F$40)),ABS(AH104-'ICL3'!$F$2:$F$40),0))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157</v>
      </c>
      <c r="B105" s="1" t="str">
        <f>VLOOKUP(A105,Xtal_Templ!A:B,2,FALSE)</f>
        <v>drd3_human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INDEX('ICL3'!$G$2:$G$40,MATCH(MIN(ABS(AH105-'ICL3'!$F$2:$F$40)),ABS(AH105-'ICL3'!$F$2:$F$40),0))</f>
        <v>75</v>
      </c>
      <c r="U105" s="1">
        <f t="array" ref="U105">INDEX('ICL3'!$H$2:$H$40,MATCH(MIN(ABS(AH105-'ICL3'!$F$2:$F$40)),ABS(AH105-'ICL3'!$F$2:$F$40),0))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NoXtal</v>
      </c>
    </row>
    <row r="106" spans="1:36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INDEX('ICL3'!$G$2:$G$40,MATCH(MIN(ABS(AH106-'ICL3'!$F$2:$F$40)),ABS(AH106-'ICL3'!$F$2:$F$40),0))</f>
        <v>74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NoXtal</v>
      </c>
    </row>
    <row r="107" spans="1:36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9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INDEX('ICL3'!$G$2:$G$40,MATCH(MIN(ABS(AH107-'ICL3'!$F$2:$F$40)),ABS(AH107-'ICL3'!$F$2:$F$40),0))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 t="str">
        <f>IF(ISERROR(MATCH(A107,'SegEnds_Xtal_Prot#'!B:B, 0)), "NoXtal", "Xtal")</f>
        <v>Xtal</v>
      </c>
    </row>
    <row r="108" spans="1:36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INDEX('ICL3'!$G$2:$G$40,MATCH(MIN(ABS(AH108-'ICL3'!$F$2:$F$40)),ABS(AH108-'ICL3'!$F$2:$F$40),0))</f>
        <v>76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Xtal</v>
      </c>
    </row>
    <row r="109" spans="1:36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6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 t="str">
        <f>IF(ISERROR(MATCH(A109,'SegEnds_Xtal_Prot#'!B:B, 0)), "NoXtal", "Xtal")</f>
        <v>NoXtal</v>
      </c>
    </row>
    <row r="110" spans="1:36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INDEX('ICL3'!$G$2:$G$40,MATCH(MIN(ABS(AH110-'ICL3'!$F$2:$F$40)),ABS(AH110-'ICL3'!$F$2:$F$40),0))</f>
        <v>68</v>
      </c>
      <c r="U110" s="1">
        <f t="array" ref="U110">INDEX('ICL3'!$H$2:$H$40,MATCH(MIN(ABS(AH110-'ICL3'!$F$2:$F$40)),ABS(AH110-'ICL3'!$F$2:$F$40),0))</f>
        <v>24</v>
      </c>
      <c r="V110" s="1">
        <v>64</v>
      </c>
      <c r="W110" s="1">
        <v>24</v>
      </c>
      <c r="X110" s="6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 t="str">
        <f>IF(ISERROR(MATCH(A110,'SegEnds_Xtal_Prot#'!B:B, 0)), "NoXtal", "Xtal")</f>
        <v>Xtal</v>
      </c>
    </row>
    <row r="111" spans="1:36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10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 t="str">
        <f>IF(ISERROR(MATCH(A111,'SegEnds_Xtal_Prot#'!B:B, 0)), "NoXtal", "Xtal")</f>
        <v>Xtal</v>
      </c>
    </row>
    <row r="112" spans="1:36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9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29</v>
      </c>
      <c r="V112" s="110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 t="str">
        <f>IF(ISERROR(MATCH(A112,'SegEnds_Xtal_Prot#'!B:B, 0)), "NoXtal", "Xtal")</f>
        <v>Xtal</v>
      </c>
    </row>
    <row r="113" spans="1:36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 t="str">
        <f>IF(ISERROR(MATCH(A113,'SegEnds_Xtal_Prot#'!B:B, 0)), "NoXtal", "Xtal")</f>
        <v>NoXtal</v>
      </c>
    </row>
    <row r="114" spans="1:36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10">
        <v>57</v>
      </c>
      <c r="O114" s="89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INDEX('ICL3'!$G$2:$G$40,MATCH(MIN(ABS(AH114-'ICL3'!$F$2:$F$40)),ABS(AH114-'ICL3'!$F$2:$F$40),0))</f>
        <v>68</v>
      </c>
      <c r="U114" s="1">
        <f t="array" ref="U114">INDEX('ICL3'!$H$2:$H$40,MATCH(MIN(ABS(AH114-'ICL3'!$F$2:$F$40)),ABS(AH114-'ICL3'!$F$2:$F$40),0))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 t="str">
        <f>IF(ISERROR(MATCH(A114,'SegEnds_Xtal_Prot#'!B:B, 0)), "NoXtal", "Xtal")</f>
        <v>NoXtal</v>
      </c>
    </row>
    <row r="115" spans="1:36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INDEX('ICL3'!$G$2:$G$40,MATCH(MIN(ABS(AH115-'ICL3'!$F$2:$F$40)),ABS(AH115-'ICL3'!$F$2:$F$40),0))</f>
        <v>72</v>
      </c>
      <c r="U115" s="1">
        <f t="array" ref="U115">INDEX('ICL3'!$H$2:$H$40,MATCH(MIN(ABS(AH115-'ICL3'!$F$2:$F$40)),ABS(AH115-'ICL3'!$F$2:$F$40),0))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 t="str">
        <f>IF(ISERROR(MATCH(A115,'SegEnds_Xtal_Prot#'!B:B, 0)), "NoXtal", "Xtal")</f>
        <v>NoXtal</v>
      </c>
    </row>
    <row r="116" spans="1:36" x14ac:dyDescent="0.2">
      <c r="A116" s="1" t="s">
        <v>164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INDEX('ICL3'!$G$2:$G$40,MATCH(MIN(ABS(AH116-'ICL3'!$F$2:$F$40)),ABS(AH116-'ICL3'!$F$2:$F$40),0))</f>
        <v>68</v>
      </c>
      <c r="U116" s="1">
        <f t="array" ref="U116">INDEX('ICL3'!$H$2:$H$40,MATCH(MIN(ABS(AH116-'ICL3'!$F$2:$F$40)),ABS(AH116-'ICL3'!$F$2:$F$40),0))</f>
        <v>28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 t="str">
        <f>IF(ISERROR(MATCH(A116,'SegEnds_Xtal_Prot#'!B:B, 0)), "NoXtal", "Xtal")</f>
        <v>NoXtal</v>
      </c>
    </row>
    <row r="117" spans="1:36" x14ac:dyDescent="0.2">
      <c r="A117" s="1" t="s">
        <v>165</v>
      </c>
      <c r="B117" s="1" t="str">
        <f>VLOOKUP(A117,Xtal_Templ!A:B,2,FALSE)</f>
        <v>agtr1_human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34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30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61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166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INDEX('ICL3'!$G$2:$G$40,MATCH(MIN(ABS(AH118-'ICL3'!$F$2:$F$40)),ABS(AH118-'ICL3'!$F$2:$F$40),0))</f>
        <v>64</v>
      </c>
      <c r="U118" s="1">
        <f t="array" ref="U118">INDEX('ICL3'!$H$2:$H$31,MATCH(MIN(ABS(AH118-'ICL3'!$F$2:$F$31)),ABS(AH118-'ICL3'!$F$2:$F$31),0))</f>
        <v>34</v>
      </c>
      <c r="V118" s="1">
        <v>61</v>
      </c>
      <c r="W118" s="1"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 t="str">
        <f>IF(ISERROR(MATCH(A118,'SegEnds_Xtal_Prot#'!B:B, 0)), "NoXtal", "Xtal")</f>
        <v>NoXtal</v>
      </c>
    </row>
    <row r="119" spans="1:36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INDEX('ICL3'!$G$2:$G$40,MATCH(MIN(ABS(AH119-'ICL3'!$F$2:$F$40)),ABS(AH119-'ICL3'!$F$2:$F$40),0))</f>
        <v>74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 t="str">
        <f>IF(ISERROR(MATCH(A119,'SegEnds_Xtal_Prot#'!B:B, 0)), "NoXtal", "Xtal")</f>
        <v>NoXtal</v>
      </c>
    </row>
    <row r="120" spans="1:36" x14ac:dyDescent="0.2">
      <c r="A120" s="1" t="s">
        <v>179</v>
      </c>
      <c r="B120" s="1" t="str">
        <f>VLOOKUP(A120,Xtal_Templ!A:B,2,FALSE)</f>
        <v>agtr1_human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67</v>
      </c>
      <c r="U120" s="1">
        <f t="array" ref="U120">INDEX('ICL3'!$H$2:$H$40,MATCH(MIN(ABS(AH120-'ICL3'!$F$2:$F$40)),ABS(AH120-'ICL3'!$F$2:$F$40),0))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 t="str">
        <f>IF(ISERROR(MATCH(A120,'SegEnds_Xtal_Prot#'!B:B, 0)), "NoXtal", "Xtal")</f>
        <v>NoXtal</v>
      </c>
    </row>
    <row r="121" spans="1:36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 t="str">
        <f>IF(ISERROR(MATCH(A121,'SegEnds_Xtal_Prot#'!B:B, 0)), "NoXtal", "Xtal")</f>
        <v>NoXtal</v>
      </c>
    </row>
    <row r="122" spans="1:36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INDEX('ICL3'!$G$2:$G$40,MATCH(MIN(ABS(AH122-'ICL3'!$F$2:$F$40)),ABS(AH122-'ICL3'!$F$2:$F$40),0))</f>
        <v>68</v>
      </c>
      <c r="U122" s="1">
        <f t="array" ref="U122">INDEX('ICL3'!$H$2:$H$40,MATCH(MIN(ABS(AH122-'ICL3'!$F$2:$F$40)),ABS(AH122-'ICL3'!$F$2:$F$40),0))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9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INDEX('ICL3'!$G$2:$G$40,MATCH(MIN(ABS(AH123-'ICL3'!$F$2:$F$40)),ABS(AH123-'ICL3'!$F$2:$F$40),0))</f>
        <v>75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 t="str">
        <f>IF(ISERROR(MATCH(A123,'SegEnds_Xtal_Prot#'!B:B, 0)), "NoXtal", "Xtal")</f>
        <v>Xtal</v>
      </c>
    </row>
    <row r="124" spans="1:36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 t="str">
        <f>IF(ISERROR(MATCH(A124,'SegEnds_Xtal_Prot#'!B:B, 0)), "NoXtal", "Xtal")</f>
        <v>Xtal</v>
      </c>
    </row>
    <row r="125" spans="1:36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INDEX('ICL3'!$G$2:$G$40,MATCH(MIN(ABS(AH125-'ICL3'!$F$2:$F$40)),ABS(AH125-'ICL3'!$F$2:$F$40),0))</f>
        <v>72</v>
      </c>
      <c r="U125" s="1">
        <f t="array" ref="U125">INDEX('ICL3'!$H$2:$H$40,MATCH(MIN(ABS(AH125-'ICL3'!$F$2:$F$40)),ABS(AH125-'ICL3'!$F$2:$F$40),0))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 t="str">
        <f>IF(ISERROR(MATCH(A125,'SegEnds_Xtal_Prot#'!B:B, 0)), "NoXtal", "Xtal")</f>
        <v>NoXtal</v>
      </c>
    </row>
    <row r="126" spans="1:36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9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INDEX('ICL3'!$G$2:$G$40,MATCH(MIN(ABS(AH126-'ICL3'!$F$2:$F$40)),ABS(AH126-'ICL3'!$F$2:$F$40),0))</f>
        <v>67</v>
      </c>
      <c r="U126" s="1">
        <f t="array" ref="U126">INDEX('ICL3'!$H$2:$H$40,MATCH(MIN(ABS(AH126-'ICL3'!$F$2:$F$40)),ABS(AH126-'ICL3'!$F$2:$F$40),0))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 t="str">
        <f>IF(ISERROR(MATCH(A126,'SegEnds_Xtal_Prot#'!B:B, 0)), "NoXtal", "Xtal")</f>
        <v>Xtal</v>
      </c>
    </row>
    <row r="127" spans="1:36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9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INDEX('ICL3'!$G$2:$G$40,MATCH(MIN(ABS(AH127-'ICL3'!$F$2:$F$40)),ABS(AH127-'ICL3'!$F$2:$F$40),0))</f>
        <v>67</v>
      </c>
      <c r="U127" s="1">
        <f t="array" ref="U127">INDEX('ICL3'!$H$2:$H$40,MATCH(MIN(ABS(AH127-'ICL3'!$F$2:$F$40)),ABS(AH127-'ICL3'!$F$2:$F$40),0))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 t="str">
        <f>IF(ISERROR(MATCH(A127,'SegEnds_Xtal_Prot#'!B:B, 0)), "NoXtal", "Xtal")</f>
        <v>NoXtal</v>
      </c>
    </row>
    <row r="128" spans="1:36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 t="str">
        <f>IF(ISERROR(MATCH(A128,'SegEnds_Xtal_Prot#'!B:B, 0)), "NoXtal", "Xtal")</f>
        <v>NoXtal</v>
      </c>
    </row>
    <row r="129" spans="1:36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 t="str">
        <f>IF(ISERROR(MATCH(A129,'SegEnds_Xtal_Prot#'!B:B, 0)), "NoXtal", "Xtal")</f>
        <v>NoXtal</v>
      </c>
    </row>
    <row r="130" spans="1:36" x14ac:dyDescent="0.2">
      <c r="A130" s="1" t="s">
        <v>202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24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 t="str">
        <f>IF(ISERROR(MATCH(A130,'SegEnds_Xtal_Prot#'!B:B, 0)), "NoXtal", "Xtal")</f>
        <v>NoXtal</v>
      </c>
    </row>
    <row r="131" spans="1:36" x14ac:dyDescent="0.2">
      <c r="A131" s="1" t="s">
        <v>203</v>
      </c>
      <c r="B131" s="1" t="str">
        <f>VLOOKUP(A131,Xtal_Templ!A:B,2,FALSE)</f>
        <v>cxcr4_human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32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 t="str">
        <f>IF(ISERROR(MATCH(A131,'SegEnds_Xtal_Prot#'!B:B, 0)), "NoXtal", "Xtal")</f>
        <v>NoXtal</v>
      </c>
    </row>
    <row r="132" spans="1:36" x14ac:dyDescent="0.2">
      <c r="A132" s="1" t="s">
        <v>205</v>
      </c>
      <c r="B132" s="1" t="str">
        <f>VLOOKUP(A132,Xtal_Templ!A:B,2,FALSE)</f>
        <v>ox1r_human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32</v>
      </c>
      <c r="T132" s="1">
        <f t="array" ref="T132">INDEX('ICL3'!$G$2:$G$40,MATCH(MIN(ABS(AH132-'ICL3'!$F$2:$F$40)),ABS(AH132-'ICL3'!$F$2:$F$40),0))</f>
        <v>72</v>
      </c>
      <c r="U132" s="1">
        <f t="array" ref="U132">INDEX('ICL3'!$H$2:$H$40,MATCH(MIN(ABS(AH132-'ICL3'!$F$2:$F$40)),ABS(AH132-'ICL3'!$F$2:$F$40),0))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INDEX('ICL3'!$G$2:$G$40,MATCH(MIN(ABS(AH133-'ICL3'!$F$2:$F$40)),ABS(AH133-'ICL3'!$F$2:$F$40),0))</f>
        <v>72</v>
      </c>
      <c r="U133" s="1">
        <f t="array" ref="U133">INDEX('ICL3'!$H$2:$H$40,MATCH(MIN(ABS(AH133-'ICL3'!$F$2:$F$40)),ABS(AH133-'ICL3'!$F$2:$F$40),0))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INDEX('ICL3'!$G$2:$G$40,MATCH(MIN(ABS(AH134-'ICL3'!$F$2:$F$40)),ABS(AH134-'ICL3'!$F$2:$F$40),0))</f>
        <v>72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INDEX('ICL3'!$G$2:$G$40,MATCH(MIN(ABS(AH135-'ICL3'!$F$2:$F$40)),ABS(AH135-'ICL3'!$F$2:$F$40),0))</f>
        <v>76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 t="str">
        <f>IF(ISERROR(MATCH(A135,'SegEnds_Xtal_Prot#'!B:B, 0)), "NoXtal", "Xtal")</f>
        <v>NoXtal</v>
      </c>
    </row>
    <row r="136" spans="1:36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INDEX('ICL3'!$G$2:$G$40,MATCH(MIN(ABS(AH136-'ICL3'!$F$2:$F$40)),ABS(AH136-'ICL3'!$F$2:$F$40),0))</f>
        <v>72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INDEX('ICL3'!$G$2:$G$40,MATCH(MIN(ABS(AH137-'ICL3'!$F$2:$F$40)),ABS(AH137-'ICL3'!$F$2:$F$40),0))</f>
        <v>74</v>
      </c>
      <c r="U137" s="1">
        <f t="array" ref="U137">INDEX('ICL3'!$H$2:$H$40,MATCH(MIN(ABS(AH137-'ICL3'!$F$2:$F$40)),ABS(AH137-'ICL3'!$F$2:$F$40),0))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NoXtal</v>
      </c>
    </row>
    <row r="138" spans="1:36" x14ac:dyDescent="0.2">
      <c r="A138" s="1" t="s">
        <v>212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INDEX('ICL3'!$G$2:$G$40,MATCH(MIN(ABS(AH138-'ICL3'!$F$2:$F$40)),ABS(AH138-'ICL3'!$F$2:$F$40),0))</f>
        <v>75</v>
      </c>
      <c r="U138" s="1">
        <f t="array" ref="U138">INDEX('ICL3'!$H$2:$H$40,MATCH(MIN(ABS(AH138-'ICL3'!$F$2:$F$40)),ABS(AH138-'ICL3'!$F$2:$F$40),0))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 t="str">
        <f>IF(ISERROR(MATCH(A138,'SegEnds_Xtal_Prot#'!B:B, 0)), "NoXtal", "Xtal")</f>
        <v>NoXtal</v>
      </c>
    </row>
    <row r="139" spans="1:36" x14ac:dyDescent="0.2">
      <c r="A139" s="1" t="s">
        <v>213</v>
      </c>
      <c r="B139" s="1" t="str">
        <f>VLOOKUP(A139,Xtal_Templ!A:B,2,FALSE)</f>
        <v>aa1r_human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10">
        <v>66</v>
      </c>
      <c r="I139" s="1">
        <f>VLOOKUP($B139&amp;"__wt",'SegEnds_Xtal_BW#'!$A:$Z,9,FALSE)</f>
        <v>50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INDEX('ICL3'!$G$2:$G$40,MATCH(MIN(ABS(AH139-'ICL3'!$F$2:$F$40)),ABS(AH139-'ICL3'!$F$2:$F$40),0))</f>
        <v>74</v>
      </c>
      <c r="U139" s="1">
        <f t="array" ref="U139">INDEX('ICL3'!$H$2:$H$40,MATCH(MIN(ABS(AH139-'ICL3'!$F$2:$F$40)),ABS(AH139-'ICL3'!$F$2:$F$40),0))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69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 t="str">
        <f>IF(ISERROR(MATCH(A139,'SegEnds_Xtal_Prot#'!B:B, 0)), "NoXtal", "Xtal")</f>
        <v>NoXtal</v>
      </c>
    </row>
    <row r="140" spans="1:36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INDEX('ICL3'!$G$2:$G$40,MATCH(MIN(ABS(AH140-'ICL3'!$F$2:$F$40)),ABS(AH140-'ICL3'!$F$2:$F$40),0))</f>
        <v>67</v>
      </c>
      <c r="U140" s="1">
        <f t="array" ref="U140">INDEX('ICL3'!$H$2:$H$40,MATCH(MIN(ABS(AH140-'ICL3'!$F$2:$F$40)),ABS(AH140-'ICL3'!$F$2:$F$40),0))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 t="str">
        <f>IF(ISERROR(MATCH(A140,'SegEnds_Xtal_Prot#'!B:B, 0)), "NoXtal", "Xtal")</f>
        <v>NoXtal</v>
      </c>
    </row>
    <row r="141" spans="1:36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9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INDEX('ICL3'!$G$2:$G$40,MATCH(MIN(ABS(AH141-'ICL3'!$F$2:$F$40)),ABS(AH141-'ICL3'!$F$2:$F$40),0))</f>
        <v>68</v>
      </c>
      <c r="U141" s="1">
        <f t="array" ref="U141">INDEX('ICL3'!$H$2:$H$40,MATCH(MIN(ABS(AH141-'ICL3'!$F$2:$F$40)),ABS(AH141-'ICL3'!$F$2:$F$40),0))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 t="str">
        <f>IF(ISERROR(MATCH(A142,'SegEnds_Xtal_Prot#'!B:B, 0)), "NoXtal", "Xtal")</f>
        <v>NoXtal</v>
      </c>
    </row>
    <row r="143" spans="1:36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INDEX('ICL3'!$G$2:$G$40,MATCH(MIN(ABS(AH143-'ICL3'!$F$2:$F$40)),ABS(AH143-'ICL3'!$F$2:$F$40),0))</f>
        <v>76</v>
      </c>
      <c r="U143" s="1">
        <f t="array" ref="U143">INDEX('ICL3'!$H$2:$H$40,MATCH(MIN(ABS(AH143-'ICL3'!$F$2:$F$40)),ABS(AH143-'ICL3'!$F$2:$F$40),0))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 t="str">
        <f>IF(ISERROR(MATCH(A143,'SegEnds_Xtal_Prot#'!B:B, 0)), "NoXtal", "Xtal")</f>
        <v>NoXtal</v>
      </c>
    </row>
    <row r="144" spans="1:36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INDEX('ICL3'!$G$2:$G$40,MATCH(MIN(ABS(AH144-'ICL3'!$F$2:$F$40)),ABS(AH144-'ICL3'!$F$2:$F$40),0))</f>
        <v>67</v>
      </c>
      <c r="U144" s="1">
        <f t="array" ref="U144">INDEX('ICL3'!$H$2:$H$40,MATCH(MIN(ABS(AH144-'ICL3'!$F$2:$F$40)),ABS(AH144-'ICL3'!$F$2:$F$40),0))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 t="str">
        <f>IF(ISERROR(MATCH(A144,'SegEnds_Xtal_Prot#'!B:B, 0)), "NoXtal", "Xtal")</f>
        <v>NoXtal</v>
      </c>
    </row>
    <row r="145" spans="1:36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INDEX('ICL3'!$G$2:$G$40,MATCH(MIN(ABS(AH145-'ICL3'!$F$2:$F$40)),ABS(AH145-'ICL3'!$F$2:$F$40),0))</f>
        <v>68</v>
      </c>
      <c r="U145" s="1">
        <f t="array" ref="U145">INDEX('ICL3'!$H$2:$H$40,MATCH(MIN(ABS(AH145-'ICL3'!$F$2:$F$40)),ABS(AH145-'ICL3'!$F$2:$F$40),0))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 t="str">
        <f>IF(ISERROR(MATCH(A145,'SegEnds_Xtal_Prot#'!B:B, 0)), "NoXtal", "Xtal")</f>
        <v>NoXtal</v>
      </c>
    </row>
    <row r="146" spans="1:36" x14ac:dyDescent="0.2">
      <c r="A146" s="1" t="s">
        <v>234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 t="str">
        <f>IF(ISERROR(MATCH(A146,'SegEnds_Xtal_Prot#'!B:B, 0)), "NoXtal", "Xtal")</f>
        <v>NoXtal</v>
      </c>
    </row>
    <row r="147" spans="1:36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INDEX('ICL3'!$G$2:$G$40,MATCH(MIN(ABS(AH147-'ICL3'!$F$2:$F$40)),ABS(AH147-'ICL3'!$F$2:$F$40),0))</f>
        <v>68</v>
      </c>
      <c r="U147" s="1">
        <f t="array" ref="U147">INDEX('ICL3'!$H$2:$H$40,MATCH(MIN(ABS(AH147-'ICL3'!$F$2:$F$40)),ABS(AH147-'ICL3'!$F$2:$F$40),0))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 t="str">
        <f>IF(ISERROR(MATCH(A147,'SegEnds_Xtal_Prot#'!B:B, 0)), "NoXtal", "Xtal")</f>
        <v>NoXtal</v>
      </c>
    </row>
    <row r="148" spans="1:36" x14ac:dyDescent="0.2">
      <c r="A148" s="1" t="s">
        <v>239</v>
      </c>
      <c r="B148" s="1" t="str">
        <f>VLOOKUP(A148,Xtal_Templ!A:B,2,FALSE)</f>
        <v>apj_human</v>
      </c>
      <c r="C148" s="5">
        <f>VLOOKUP($B148&amp;"__wt",'SegEnds_Xtal_BW#'!$A:$Z,3,FALSE)</f>
        <v>33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52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INDEX('ICL3'!$G$2:$G$40,MATCH(MIN(ABS(AH148-'ICL3'!$F$2:$F$40)),ABS(AH148-'ICL3'!$F$2:$F$40),0))</f>
        <v>68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 t="str">
        <f>IF(ISERROR(MATCH(A148,'SegEnds_Xtal_Prot#'!B:B, 0)), "NoXtal", "Xtal")</f>
        <v>NoXtal</v>
      </c>
    </row>
    <row r="149" spans="1:36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INDEX('ICL3'!$G$2:$G$40,MATCH(MIN(ABS(AH149-'ICL3'!$F$2:$F$40)),ABS(AH149-'ICL3'!$F$2:$F$40),0))</f>
        <v>67</v>
      </c>
      <c r="U149" s="1">
        <f t="array" ref="U149">INDEX('ICL3'!$H$2:$H$40,MATCH(MIN(ABS(AH149-'ICL3'!$F$2:$F$40)),ABS(AH149-'ICL3'!$F$2:$F$40),0))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 t="str">
        <f>IF(ISERROR(MATCH(A149,'SegEnds_Xtal_Prot#'!B:B, 0)), "NoXtal", "Xtal")</f>
        <v>NoXtal</v>
      </c>
    </row>
    <row r="150" spans="1:36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9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INDEX('ICL3'!$G$2:$G$40,MATCH(MIN(ABS(AH150-'ICL3'!$F$2:$F$40)),ABS(AH150-'ICL3'!$F$2:$F$40),0))</f>
        <v>73</v>
      </c>
      <c r="U150" s="4">
        <f t="array" ref="U150">INDEX('ICL3'!$H$2:$H$40,MATCH(MIN(ABS(AH150-'ICL3'!$F$2:$F$40)),ABS(AH150-'ICL3'!$F$2:$F$40),0))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244</v>
      </c>
      <c r="B151" s="1" t="str">
        <f>VLOOKUP(A151,Xtal_Templ!A:B,2,FALSE)</f>
        <v>5ht2b_human</v>
      </c>
      <c r="C151" s="5">
        <f>VLOOKUP($B151&amp;"__wt",'SegEnds_Xtal_BW#'!$A:$Z,3,FALSE)</f>
        <v>32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10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 t="str">
        <f>IF(ISERROR(MATCH(A151,'SegEnds_Xtal_Prot#'!B:B, 0)), "NoXtal", "Xtal")</f>
        <v>NoXtal</v>
      </c>
    </row>
    <row r="152" spans="1:36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9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74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INDEX('ICL3'!$G$2:$G$40,MATCH(MIN(ABS(AH153-'ICL3'!$F$2:$F$40)),ABS(AH153-'ICL3'!$F$2:$F$40),0))</f>
        <v>67</v>
      </c>
      <c r="U153" s="1">
        <f t="array" ref="U153">INDEX('ICL3'!$H$2:$H$40,MATCH(MIN(ABS(AH153-'ICL3'!$F$2:$F$40)),ABS(AH153-'ICL3'!$F$2:$F$40),0))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 t="str">
        <f>IF(ISERROR(MATCH(A153,'SegEnds_Xtal_Prot#'!B:B, 0)), "NoXtal", "Xtal")</f>
        <v>NoXtal</v>
      </c>
    </row>
    <row r="154" spans="1:36" x14ac:dyDescent="0.2">
      <c r="A154" s="1" t="s">
        <v>247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 t="str">
        <f>IF(ISERROR(MATCH(A154,'SegEnds_Xtal_Prot#'!B:B, 0)), "NoXtal", "Xtal")</f>
        <v>NoXtal</v>
      </c>
    </row>
    <row r="155" spans="1:36" x14ac:dyDescent="0.2">
      <c r="A155" s="1" t="s">
        <v>250</v>
      </c>
      <c r="B155" s="1" t="str">
        <f>VLOOKUP(A155,Xtal_Templ!A:B,2,FALSE)</f>
        <v>oprd_mouse</v>
      </c>
      <c r="C155" s="5">
        <f>VLOOKUP($B155&amp;"__wt",'SegEnds_Xtal_BW#'!$A:$Z,3,FALSE)</f>
        <v>24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 t="str">
        <f>IF(ISERROR(MATCH(A155,'SegEnds_Xtal_Prot#'!B:B, 0)), "NoXtal", "Xtal")</f>
        <v>NoXtal</v>
      </c>
    </row>
    <row r="156" spans="1:36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INDEX('ICL3'!$G$2:$G$40,MATCH(MIN(ABS(AH156-'ICL3'!$F$2:$F$40)),ABS(AH156-'ICL3'!$F$2:$F$40),0))</f>
        <v>68</v>
      </c>
      <c r="U156" s="1">
        <f t="array" ref="U156">INDEX('ICL3'!$H$2:$H$40,MATCH(MIN(ABS(AH156-'ICL3'!$F$2:$F$40)),ABS(AH156-'ICL3'!$F$2:$F$40),0))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 t="str">
        <f>IF(ISERROR(MATCH(A156,'SegEnds_Xtal_Prot#'!B:B, 0)), "NoXtal", "Xtal")</f>
        <v>NoXtal</v>
      </c>
    </row>
    <row r="157" spans="1:36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68</v>
      </c>
      <c r="U157" s="1">
        <f t="array" ref="U157">INDEX('ICL3'!$H$2:$H$40,MATCH(MIN(ABS(AH157-'ICL3'!$F$2:$F$40)),ABS(AH157-'ICL3'!$F$2:$F$40),0))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INDEX('ICL3'!$G$2:$G$40,MATCH(MIN(ABS(AH159-'ICL3'!$F$2:$F$40)),ABS(AH159-'ICL3'!$F$2:$F$40),0))</f>
        <v>67</v>
      </c>
      <c r="U159" s="1">
        <f t="array" ref="U159">INDEX('ICL3'!$H$2:$H$40,MATCH(MIN(ABS(AH159-'ICL3'!$F$2:$F$40)),ABS(AH159-'ICL3'!$F$2:$F$40),0))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INDEX('ICL3'!$G$2:$G$40,MATCH(MIN(ABS(AH160-'ICL3'!$F$2:$F$40)),ABS(AH160-'ICL3'!$F$2:$F$40),0))</f>
        <v>68</v>
      </c>
      <c r="U160" s="1">
        <f t="array" ref="U160">INDEX('ICL3'!$H$2:$H$40,MATCH(MIN(ABS(AH160-'ICL3'!$F$2:$F$40)),ABS(AH160-'ICL3'!$F$2:$F$40),0))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 t="str">
        <f>IF(ISERROR(MATCH(A160,'SegEnds_Xtal_Prot#'!B:B, 0)), "NoXtal", "Xtal")</f>
        <v>NoXtal</v>
      </c>
    </row>
    <row r="161" spans="1:36" x14ac:dyDescent="0.2">
      <c r="A161" s="1" t="s">
        <v>259</v>
      </c>
      <c r="B161" s="1" t="str">
        <f>VLOOKUP(A161,Xtal_Templ!A:B,2,FALSE)</f>
        <v>5ht1b_human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57</v>
      </c>
      <c r="O161" s="89"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INDEX('ICL3'!$G$2:$G$40,MATCH(MIN(ABS(AH161-'ICL3'!$F$2:$F$40)),ABS(AH161-'ICL3'!$F$2:$F$40),0))</f>
        <v>76</v>
      </c>
      <c r="U161" s="1">
        <f t="array" ref="U161">INDEX('ICL3'!$H$2:$H$40,MATCH(MIN(ABS(AH161-'ICL3'!$F$2:$F$40)),ABS(AH161-'ICL3'!$F$2:$F$40),0))</f>
        <v>24</v>
      </c>
      <c r="V161" s="1">
        <v>61</v>
      </c>
      <c r="W161" s="1">
        <v>28</v>
      </c>
      <c r="X161" s="6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58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10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INDEX('ICL3'!$G$2:$G$40,MATCH(MIN(ABS(AH162-'ICL3'!$F$2:$F$40)),ABS(AH162-'ICL3'!$F$2:$F$40),0))</f>
        <v>74</v>
      </c>
      <c r="U162" s="1">
        <f t="array" ref="U162">INDEX('ICL3'!$H$2:$H$40,MATCH(MIN(ABS(AH162-'ICL3'!$F$2:$F$40)),ABS(AH162-'ICL3'!$F$2:$F$40),0))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 t="str">
        <f>IF(ISERROR(MATCH(A162,'SegEnds_Xtal_Prot#'!B:B, 0)), "NoXtal", "Xtal")</f>
        <v>NoXtal</v>
      </c>
    </row>
    <row r="163" spans="1:36" x14ac:dyDescent="0.2">
      <c r="A163" s="1" t="s">
        <v>265</v>
      </c>
      <c r="B163" s="1" t="str">
        <f>VLOOKUP(A163,Xtal_Templ!A:B,2,FALSE)</f>
        <v>5ht2b_human</v>
      </c>
      <c r="C163" s="5">
        <f>VLOOKUP($B163&amp;"__wt",'SegEnds_Xtal_BW#'!$A:$Z,3,FALSE)</f>
        <v>32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9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INDEX('ICL3'!$G$2:$G$40,MATCH(MIN(ABS(AH163-'ICL3'!$F$2:$F$40)),ABS(AH163-'ICL3'!$F$2:$F$40),0))</f>
        <v>76</v>
      </c>
      <c r="U163" s="1">
        <f t="array" ref="U163">INDEX('ICL3'!$H$2:$H$40,MATCH(MIN(ABS(AH163-'ICL3'!$F$2:$F$40)),ABS(AH163-'ICL3'!$F$2:$F$40),0))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267</v>
      </c>
      <c r="B164" s="1" t="str">
        <f>VLOOKUP(A164,Xtal_Templ!A:B,2,FALSE)</f>
        <v>ox1r_human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INDEX('ICL3'!$G$2:$G$40,MATCH(MIN(ABS(AH164-'ICL3'!$F$2:$F$40)),ABS(AH164-'ICL3'!$F$2:$F$40),0))</f>
        <v>76</v>
      </c>
      <c r="U164" s="1">
        <f t="array" ref="U164">INDEX('ICL3'!$H$2:$H$40,MATCH(MIN(ABS(AH164-'ICL3'!$F$2:$F$40)),ABS(AH164-'ICL3'!$F$2:$F$40),0))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INDEX('ICL3'!$G$2:$G$40,MATCH(MIN(ABS(AH165-'ICL3'!$F$2:$F$40)),ABS(AH165-'ICL3'!$F$2:$F$40),0))</f>
        <v>73</v>
      </c>
      <c r="U165" s="1">
        <f t="array" ref="U165">INDEX('ICL3'!$H$2:$H$40,MATCH(MIN(ABS(AH165-'ICL3'!$F$2:$F$40)),ABS(AH165-'ICL3'!$F$2:$F$40),0))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NoXtal</v>
      </c>
    </row>
    <row r="166" spans="1:36" x14ac:dyDescent="0.2">
      <c r="A166" s="1" t="s">
        <v>270</v>
      </c>
      <c r="B166" s="1" t="str">
        <f>VLOOKUP(A166,Xtal_Templ!A:B,2,FALSE)</f>
        <v>ednrb_human</v>
      </c>
      <c r="C166" s="5">
        <f>VLOOKUP($B166&amp;"__wt",'SegEnds_Xtal_BW#'!$A:$Z,3,FALSE)</f>
        <v>22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52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28</v>
      </c>
      <c r="T166" s="1">
        <f t="array" ref="T166">INDEX('ICL3'!$G$2:$G$40,MATCH(MIN(ABS(AH166-'ICL3'!$F$2:$F$40)),ABS(AH166-'ICL3'!$F$2:$F$40),0))</f>
        <v>74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 t="str">
        <f>IF(ISERROR(MATCH(A166,'SegEnds_Xtal_Prot#'!B:B, 0)), "NoXtal", "Xtal")</f>
        <v>NoXtal</v>
      </c>
    </row>
    <row r="167" spans="1:36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 t="str">
        <f>IF(ISERROR(MATCH(A168,'SegEnds_Xtal_Prot#'!B:B, 0)), "NoXtal", "Xtal")</f>
        <v>NoXtal</v>
      </c>
    </row>
    <row r="169" spans="1:36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67</v>
      </c>
      <c r="U169" s="1">
        <f t="array" ref="U169">INDEX('ICL3'!$H$2:$H$40,MATCH(MIN(ABS(AH169-'ICL3'!$F$2:$F$40)),ABS(AH169-'ICL3'!$F$2:$F$40),0))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 t="str">
        <f>IF(ISERROR(MATCH(A169,'SegEnds_Xtal_Prot#'!B:B, 0)), "NoXtal", "Xtal")</f>
        <v>NoXtal</v>
      </c>
    </row>
    <row r="170" spans="1:36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 t="str">
        <f>IF(ISERROR(MATCH(A170,'SegEnds_Xtal_Prot#'!B:B, 0)), "NoXtal", "Xtal")</f>
        <v>NoXtal</v>
      </c>
    </row>
    <row r="171" spans="1:36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67</v>
      </c>
      <c r="U171" s="1">
        <f t="array" ref="U171">INDEX('ICL3'!$H$2:$H$40,MATCH(MIN(ABS(AH171-'ICL3'!$F$2:$F$40)),ABS(AH171-'ICL3'!$F$2:$F$40),0))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 t="str">
        <f>IF(ISERROR(MATCH(A171,'SegEnds_Xtal_Prot#'!B:B, 0)), "NoXtal", "Xtal")</f>
        <v>NoXtal</v>
      </c>
    </row>
    <row r="172" spans="1:36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9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INDEX('ICL3'!$G$2:$G$40,MATCH(MIN(ABS(AH172-'ICL3'!$F$2:$F$40)),ABS(AH172-'ICL3'!$F$2:$F$40),0))</f>
        <v>76</v>
      </c>
      <c r="U172" s="1">
        <f t="array" ref="U172">INDEX('ICL3'!$H$2:$H$40,MATCH(MIN(ABS(AH172-'ICL3'!$F$2:$F$40)),ABS(AH172-'ICL3'!$F$2:$F$40),0))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 t="str">
        <f>IF(ISERROR(MATCH(A172,'SegEnds_Xtal_Prot#'!B:B, 0)), "NoXtal", "Xtal")</f>
        <v>Xtal</v>
      </c>
    </row>
    <row r="173" spans="1:36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INDEX('ICL3'!$G$2:$G$40,MATCH(MIN(ABS(AH173-'ICL3'!$F$2:$F$40)),ABS(AH173-'ICL3'!$F$2:$F$40),0))</f>
        <v>73</v>
      </c>
      <c r="U173" s="1">
        <f t="array" ref="U173">INDEX('ICL3'!$H$2:$H$40,MATCH(MIN(ABS(AH173-'ICL3'!$F$2:$F$40)),ABS(AH173-'ICL3'!$F$2:$F$40),0))</f>
        <v>22</v>
      </c>
      <c r="V173" s="1">
        <v>61</v>
      </c>
      <c r="W173" s="1">
        <v>31</v>
      </c>
      <c r="X173" s="1">
        <f>VLOOKUP($B173&amp;"__wt",'SegEnds_Xtal_BW#'!$A:$Z,24,FALSE)</f>
        <v>55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 t="str">
        <f>IF(ISERROR(MATCH(A173,'SegEnds_Xtal_Prot#'!B:B, 0)), "NoXtal", "Xtal")</f>
        <v>NoXtal</v>
      </c>
    </row>
    <row r="174" spans="1:36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9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INDEX('ICL3'!$G$2:$G$40,MATCH(MIN(ABS(AH174-'ICL3'!$F$2:$F$40)),ABS(AH174-'ICL3'!$F$2:$F$40),0))</f>
        <v>75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 t="str">
        <f>IF(ISERROR(MATCH(A174,'SegEnds_Xtal_Prot#'!B:B, 0)), "NoXtal", "Xtal")</f>
        <v>NoXtal</v>
      </c>
    </row>
    <row r="175" spans="1:36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INDEX('ICL3'!$G$2:$G$40,MATCH(MIN(ABS(AH175-'ICL3'!$F$2:$F$40)),ABS(AH175-'ICL3'!$F$2:$F$40),0))</f>
        <v>74</v>
      </c>
      <c r="U175" s="1">
        <f t="array" ref="U175">INDEX('ICL3'!$H$2:$H$40,MATCH(MIN(ABS(AH175-'ICL3'!$F$2:$F$40)),ABS(AH175-'ICL3'!$F$2:$F$40),0))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 t="str">
        <f>IF(ISERROR(MATCH(A175,'SegEnds_Xtal_Prot#'!B:B, 0)), "NoXtal", "Xtal")</f>
        <v>NoXtal</v>
      </c>
    </row>
    <row r="176" spans="1:36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 t="str">
        <f>IF(ISERROR(MATCH(A176,'SegEnds_Xtal_Prot#'!B:B, 0)), "NoXtal", "Xtal")</f>
        <v>NoXtal</v>
      </c>
    </row>
    <row r="177" spans="1:36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72</v>
      </c>
      <c r="U178" s="1">
        <f t="array" ref="U178">INDEX('ICL3'!$H$2:$H$40,MATCH(MIN(ABS(AH178-'ICL3'!$F$2:$F$40)),ABS(AH178-'ICL3'!$F$2:$F$40),0))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306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f>VLOOKUP($B181&amp;"__wt",'SegEnds_Xtal_BW#'!$A:$Z,15,FALSE)</f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68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INDEX('ICL3'!$G$2:$G$40,MATCH(MIN(ABS(AH182-'ICL3'!$F$2:$F$40)),ABS(AH182-'ICL3'!$F$2:$F$40),0))</f>
        <v>72</v>
      </c>
      <c r="U182" s="1">
        <f t="array" ref="U182">INDEX('ICL3'!$H$2:$H$40,MATCH(MIN(ABS(AH182-'ICL3'!$F$2:$F$40)),ABS(AH182-'ICL3'!$F$2:$F$40),0))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INDEX('ICL3'!$G$2:$G$40,MATCH(MIN(ABS(AH184-'ICL3'!$F$2:$F$40)),ABS(AH184-'ICL3'!$F$2:$F$40),0))</f>
        <v>72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INDEX('ICL3'!$G$2:$G$40,MATCH(MIN(ABS(AH185-'ICL3'!$F$2:$F$40)),ABS(AH185-'ICL3'!$F$2:$F$40),0))</f>
        <v>72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9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INDEX('ICL3'!$G$2:$G$40,MATCH(MIN(ABS(AH186-'ICL3'!$F$2:$F$40)),ABS(AH186-'ICL3'!$F$2:$F$40),0))</f>
        <v>73</v>
      </c>
      <c r="U186" s="1">
        <f t="array" ref="U186">INDEX('ICL3'!$H$2:$H$40,MATCH(MIN(ABS(AH186-'ICL3'!$F$2:$F$40)),ABS(AH186-'ICL3'!$F$2:$F$40),0))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73</v>
      </c>
      <c r="U187" s="1">
        <f t="array" ref="U187">INDEX('ICL3'!$H$2:$H$40,MATCH(MIN(ABS(AH187-'ICL3'!$F$2:$F$40)),ABS(AH187-'ICL3'!$F$2:$F$40),0))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INDEX('ICL3'!$G$2:$G$40,MATCH(MIN(ABS(AH188-'ICL3'!$F$2:$F$40)),ABS(AH188-'ICL3'!$F$2:$F$40),0))</f>
        <v>73</v>
      </c>
      <c r="U188" s="1">
        <f t="array" ref="U188">INDEX('ICL3'!$H$2:$H$40,MATCH(MIN(ABS(AH188-'ICL3'!$F$2:$F$40)),ABS(AH188-'ICL3'!$F$2:$F$40),0))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 t="str">
        <f>IF(ISERROR(MATCH(A190,'SegEnds_Xtal_Prot#'!B:B, 0)), "NoXtal", "Xtal")</f>
        <v>NoXtal</v>
      </c>
    </row>
    <row r="191" spans="1:36" x14ac:dyDescent="0.2">
      <c r="A191" s="1" t="s">
        <v>323</v>
      </c>
      <c r="B191" s="1" t="str">
        <f>VLOOKUP(A191,Xtal_Templ!A:B,2,FALSE)</f>
        <v>ox2r_human</v>
      </c>
      <c r="C191" s="5">
        <f>VLOOKUP($B191&amp;"__wt",'SegEnds_Xtal_BW#'!$A:$Z,3,FALSE)</f>
        <v>31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33</v>
      </c>
      <c r="T191" s="1">
        <f t="array" ref="T191">INDEX('ICL3'!$G$2:$G$40,MATCH(MIN(ABS(AH191-'ICL3'!$F$2:$F$40)),ABS(AH191-'ICL3'!$F$2:$F$40),0))</f>
        <v>73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 t="str">
        <f>IF(ISERROR(MATCH(A191,'SegEnds_Xtal_Prot#'!B:B, 0)), "NoXtal", "Xtal")</f>
        <v>NoXtal</v>
      </c>
    </row>
    <row r="192" spans="1:36" x14ac:dyDescent="0.2">
      <c r="A192" s="1" t="s">
        <v>324</v>
      </c>
      <c r="B192" s="1" t="str">
        <f>VLOOKUP(A192,Xtal_Templ!A:B,2,FALSE)</f>
        <v>adrb2_human</v>
      </c>
      <c r="C192" s="5">
        <f>VLOOKUP($B192&amp;"__wt",'SegEnds_Xtal_BW#'!$A:$Z,3,FALSE)</f>
        <v>25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INDEX('ICL3'!$G$2:$G$40,MATCH(MIN(ABS(AH192-'ICL3'!$F$2:$F$40)),ABS(AH192-'ICL3'!$F$2:$F$40),0))</f>
        <v>76</v>
      </c>
      <c r="U192" s="1">
        <f t="array" ref="U192">INDEX('ICL3'!$H$2:$H$40,MATCH(MIN(ABS(AH192-'ICL3'!$F$2:$F$40)),ABS(AH192-'ICL3'!$F$2:$F$40),0))</f>
        <v>24</v>
      </c>
      <c r="V192" s="1">
        <v>61</v>
      </c>
      <c r="W192" s="1">
        <v>28</v>
      </c>
      <c r="X192" s="1">
        <f>VLOOKUP($B192&amp;"__wt",'SegEnds_Xtal_BW#'!$A:$Z,24,FALSE)</f>
        <v>55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 t="str">
        <f>IF(ISERROR(MATCH(A192,'SegEnds_Xtal_Prot#'!B:B, 0)), "NoXtal", "Xtal")</f>
        <v>NoXtal</v>
      </c>
    </row>
    <row r="193" spans="1:36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 t="str">
        <f>IF(ISERROR(MATCH(A193,'SegEnds_Xtal_Prot#'!B:B, 0)), "NoXtal", "Xtal")</f>
        <v>NoXtal</v>
      </c>
    </row>
    <row r="194" spans="1:36" x14ac:dyDescent="0.2">
      <c r="A194" s="1" t="s">
        <v>326</v>
      </c>
      <c r="B194" s="1" t="str">
        <f>VLOOKUP(A194,Xtal_Templ!A:B,2,FALSE)</f>
        <v>ox1r_human</v>
      </c>
      <c r="C194" s="5">
        <f>VLOOKUP($B194&amp;"__wt",'SegEnds_Xtal_BW#'!$A:$Z,3,FALSE)</f>
        <v>32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72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INDEX('ICL3'!$G$2:$G$40,MATCH(MIN(ABS(AH196-'ICL3'!$F$2:$F$40)),ABS(AH196-'ICL3'!$F$2:$F$40),0))</f>
        <v>76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 t="str">
        <f>IF(ISERROR(MATCH(A196,'SegEnds_Xtal_Prot#'!B:B, 0)), "NoXtal", "Xtal")</f>
        <v>NoXtal</v>
      </c>
    </row>
    <row r="197" spans="1:36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INDEX('ICL3'!$G$2:$G$40,MATCH(MIN(ABS(AH197-'ICL3'!$F$2:$F$40)),ABS(AH197-'ICL3'!$F$2:$F$40),0))</f>
        <v>73</v>
      </c>
      <c r="U197" s="1">
        <f t="array" ref="U197">INDEX('ICL3'!$H$2:$H$40,MATCH(MIN(ABS(AH197-'ICL3'!$F$2:$F$40)),ABS(AH197-'ICL3'!$F$2:$F$40),0))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str">
        <f>IF(ISERROR(MATCH(A197,'SegEnds_Xtal_Prot#'!B:B, 0)), "NoXtal", "Xtal")</f>
        <v>NoXtal</v>
      </c>
    </row>
    <row r="198" spans="1:36" x14ac:dyDescent="0.2">
      <c r="A198" s="1" t="s">
        <v>331</v>
      </c>
      <c r="B198" s="1" t="str">
        <f>VLOOKUP(A198,Xtal_Templ!A:B,2,FALSE)</f>
        <v>agtr2_human</v>
      </c>
      <c r="C198" s="5">
        <f>VLOOKUP($B198&amp;"__wt",'SegEnds_Xtal_BW#'!$A:$Z,3,FALSE)</f>
        <v>33</v>
      </c>
      <c r="D198" s="1">
        <f>VLOOKUP($B198&amp;"__wt",'SegEnds_Xtal_BW#'!$A:$Z,4,FALSE)</f>
        <v>60</v>
      </c>
      <c r="E198" s="110">
        <v>48</v>
      </c>
      <c r="F198" s="110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47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INDEX('ICL3'!$G$2:$G$40,MATCH(MIN(ABS(AH198-'ICL3'!$F$2:$F$40)),ABS(AH198-'ICL3'!$F$2:$F$40),0))</f>
        <v>67</v>
      </c>
      <c r="U198" s="1">
        <f t="array" ref="U198">INDEX('ICL3'!$H$2:$H$40,MATCH(MIN(ABS(AH198-'ICL3'!$F$2:$F$40)),ABS(AH198-'ICL3'!$F$2:$F$40),0))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9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INDEX('ICL3'!$G$2:$G$40,MATCH(MIN(ABS(AH199-'ICL3'!$F$2:$F$40)),ABS(AH199-'ICL3'!$F$2:$F$40),0))</f>
        <v>73</v>
      </c>
      <c r="U199" s="1">
        <f t="array" ref="U199">INDEX('ICL3'!$H$2:$H$40,MATCH(MIN(ABS(AH199-'ICL3'!$F$2:$F$40)),ABS(AH199-'ICL3'!$F$2:$F$40),0))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 t="str">
        <f>IF(ISERROR(MATCH(A199,'SegEnds_Xtal_Prot#'!B:B, 0)), "NoXtal", "Xtal")</f>
        <v>NoXtal</v>
      </c>
    </row>
    <row r="200" spans="1:36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INDEX('ICL3'!$G$2:$G$40,MATCH(MIN(ABS(AH200-'ICL3'!$F$2:$F$40)),ABS(AH200-'ICL3'!$F$2:$F$40),0))</f>
        <v>74</v>
      </c>
      <c r="U200" s="1">
        <f t="array" ref="U200">INDEX('ICL3'!$H$2:$H$40,MATCH(MIN(ABS(AH200-'ICL3'!$F$2:$F$40)),ABS(AH200-'ICL3'!$F$2:$F$40),0))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 t="str">
        <f>IF(ISERROR(MATCH(A200,'SegEnds_Xtal_Prot#'!B:B, 0)), "NoXtal", "Xtal")</f>
        <v>NoXtal</v>
      </c>
    </row>
    <row r="201" spans="1:36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10">
        <v>56</v>
      </c>
      <c r="O201" s="89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 t="str">
        <f>IF(ISERROR(MATCH(A201,'SegEnds_Xtal_Prot#'!B:B, 0)), "NoXtal", "Xtal")</f>
        <v>NoXtal</v>
      </c>
    </row>
    <row r="202" spans="1:36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10">
        <v>56</v>
      </c>
      <c r="O202" s="89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 t="str">
        <f>IF(ISERROR(MATCH(A202,'SegEnds_Xtal_Prot#'!B:B, 0)), "NoXtal", "Xtal")</f>
        <v>NoXtal</v>
      </c>
    </row>
    <row r="203" spans="1:36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10">
        <f>VLOOKUP($B203&amp;"__wt",'SegEnds_Xtal_BW#'!$A:$Z,14,FALSE)</f>
        <v>56</v>
      </c>
      <c r="O203" s="89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INDEX('ICL3'!$G$2:$G$40,MATCH(MIN(ABS(AH203-'ICL3'!$F$2:$F$40)),ABS(AH203-'ICL3'!$F$2:$F$40),0))</f>
        <v>72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Xtal</v>
      </c>
    </row>
    <row r="204" spans="1:36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10">
        <f>VLOOKUP($B204&amp;"__wt",'SegEnds_Xtal_BW#'!$A:$Z,14,FALSE)</f>
        <v>56</v>
      </c>
      <c r="O204" s="89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INDEX('ICL3'!$G$2:$G$40,MATCH(MIN(ABS(AH204-'ICL3'!$F$2:$F$40)),ABS(AH204-'ICL3'!$F$2:$F$40),0))</f>
        <v>72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 t="str">
        <f>IF(ISERROR(MATCH(A204,'SegEnds_Xtal_Prot#'!B:B, 0)), "NoXtal", "Xtal")</f>
        <v>Xtal</v>
      </c>
    </row>
    <row r="205" spans="1:36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INDEX('ICL3'!$G$2:$G$40,MATCH(MIN(ABS(AH205-'ICL3'!$F$2:$F$40)),ABS(AH205-'ICL3'!$F$2:$F$40),0))</f>
        <v>72</v>
      </c>
      <c r="U205" s="1">
        <f t="array" ref="U205">INDEX('ICL3'!$H$2:$H$40,MATCH(MIN(ABS(AH205-'ICL3'!$F$2:$F$40)),ABS(AH205-'ICL3'!$F$2:$F$40),0))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NoXtal</v>
      </c>
    </row>
    <row r="206" spans="1:36" x14ac:dyDescent="0.2">
      <c r="A206" s="1" t="s">
        <v>341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9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INDEX('ICL3'!$G$2:$G$40,MATCH(MIN(ABS(AH206-'ICL3'!$F$2:$F$40)),ABS(AH206-'ICL3'!$F$2:$F$40),0))</f>
        <v>72</v>
      </c>
      <c r="U206" s="1">
        <f t="array" ref="U206">INDEX('ICL3'!$H$2:$H$40,MATCH(MIN(ABS(AH206-'ICL3'!$F$2:$F$40)),ABS(AH206-'ICL3'!$F$2:$F$40),0))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 t="str">
        <f>IF(ISERROR(MATCH(A206,'SegEnds_Xtal_Prot#'!B:B, 0)), "NoXtal", "Xtal")</f>
        <v>NoXtal</v>
      </c>
    </row>
    <row r="207" spans="1:36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2" t="str">
        <f>IF(ISERROR(MATCH(A207,'SegEnds_Xtal_Prot#'!B:B, 0)), "NoXtal", "Xtal")</f>
        <v>Xtal</v>
      </c>
    </row>
    <row r="208" spans="1:36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INDEX('ICL3'!$G$2:$G$40,MATCH(MIN(ABS(AH208-'ICL3'!$F$2:$F$40)),ABS(AH208-'ICL3'!$F$2:$F$40),0))</f>
        <v>76</v>
      </c>
      <c r="U208" s="1">
        <v>20</v>
      </c>
      <c r="V208" s="1">
        <v>61</v>
      </c>
      <c r="W208" s="110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2" t="str">
        <f>IF(ISERROR(MATCH(A208,'SegEnds_Xtal_Prot#'!B:B, 0)), "NoXtal", "Xtal")</f>
        <v>Xtal</v>
      </c>
    </row>
    <row r="209" spans="1:36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INDEX('ICL3'!$G$2:$G$40,MATCH(MIN(ABS(AH209-'ICL3'!$F$2:$F$40)),ABS(AH209-'ICL3'!$F$2:$F$40),0))</f>
        <v>67</v>
      </c>
      <c r="U209" s="1">
        <f t="array" ref="U209">INDEX('ICL3'!$H$2:$H$40,MATCH(MIN(ABS(AH209-'ICL3'!$F$2:$F$40)),ABS(AH209-'ICL3'!$F$2:$F$40),0))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 t="str">
        <f>IF(ISERROR(MATCH(A209,'SegEnds_Xtal_Prot#'!B:B, 0)), "NoXtal", "Xtal")</f>
        <v>NoXtal</v>
      </c>
    </row>
    <row r="210" spans="1:36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67</v>
      </c>
      <c r="U210" s="1">
        <f t="array" ref="U210">INDEX('ICL3'!$H$2:$H$40,MATCH(MIN(ABS(AH210-'ICL3'!$F$2:$F$40)),ABS(AH210-'ICL3'!$F$2:$F$40),0))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4" t="s">
        <v>344</v>
      </c>
      <c r="B211" s="4" t="str">
        <f>VLOOKUP(A211,Xtal_Templ!A:B,2,FALSE)</f>
        <v>ox1r_human</v>
      </c>
      <c r="C211" s="5">
        <f>VLOOKUP($B211&amp;"__wt",'SegEnds_Xtal_BW#'!$A:$Z,3,FALSE)</f>
        <v>32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90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32</v>
      </c>
      <c r="T211" s="4">
        <f t="array" ref="T211">INDEX('ICL3'!$G$2:$G$40,MATCH(MIN(ABS(AH211-'ICL3'!$F$2:$F$40)),ABS(AH211-'ICL3'!$F$2:$F$40),0))</f>
        <v>76</v>
      </c>
      <c r="U211" s="4">
        <f t="array" ref="U211">INDEX('ICL3'!$H$2:$H$40,MATCH(MIN(ABS(AH211-'ICL3'!$F$2:$F$40)),ABS(AH211-'ICL3'!$F$2:$F$40),0))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NoXtal</v>
      </c>
    </row>
    <row r="212" spans="1:36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 t="str">
        <f>IF(ISERROR(MATCH(A212,'SegEnds_Xtal_Prot#'!B:B, 0)), "NoXtal", "Xtal")</f>
        <v>Xtal</v>
      </c>
    </row>
    <row r="213" spans="1:36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 t="str">
        <f>IF(ISERROR(MATCH(A213,'SegEnds_Xtal_Prot#'!B:B, 0)), "NoXtal", "Xtal")</f>
        <v>NoXtal</v>
      </c>
    </row>
    <row r="214" spans="1:36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 t="str">
        <f>IF(ISERROR(MATCH(A214,'SegEnds_Xtal_Prot#'!B:B, 0)), "NoXtal", "Xtal")</f>
        <v>NoXtal</v>
      </c>
    </row>
    <row r="215" spans="1:36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 t="str">
        <f>IF(ISERROR(MATCH(A216,'SegEnds_Xtal_Prot#'!B:B, 0)), "NoXtal", "Xtal")</f>
        <v>NoXtal</v>
      </c>
    </row>
    <row r="217" spans="1:36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67</v>
      </c>
      <c r="U217" s="1">
        <f t="array" ref="U217">INDEX('ICL3'!$H$2:$H$40,MATCH(MIN(ABS(AH217-'ICL3'!$F$2:$F$40)),ABS(AH217-'ICL3'!$F$2:$F$40),0))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 t="str">
        <f>IF(ISERROR(MATCH(A217,'SegEnds_Xtal_Prot#'!B:B, 0)), "NoXtal", "Xtal")</f>
        <v>NoXtal</v>
      </c>
    </row>
    <row r="218" spans="1:36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INDEX('ICL3'!$G$2:$G$40,MATCH(MIN(ABS(AH218-'ICL3'!$F$2:$F$40)),ABS(AH218-'ICL3'!$F$2:$F$40),0))</f>
        <v>72</v>
      </c>
      <c r="U218" s="1">
        <f t="array" ref="U218">INDEX('ICL3'!$H$2:$H$40,MATCH(MIN(ABS(AH218-'ICL3'!$F$2:$F$40)),ABS(AH218-'ICL3'!$F$2:$F$40),0))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 t="str">
        <f>IF(ISERROR(MATCH(A218,'SegEnds_Xtal_Prot#'!B:B, 0)), "NoXtal", "Xtal")</f>
        <v>Xtal</v>
      </c>
    </row>
    <row r="219" spans="1:36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NoXtal</v>
      </c>
    </row>
    <row r="220" spans="1:36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72</v>
      </c>
      <c r="U220" s="1">
        <f t="array" ref="U220">INDEX('ICL3'!$H$2:$H$40,MATCH(MIN(ABS(AH220-'ICL3'!$F$2:$F$40)),ABS(AH220-'ICL3'!$F$2:$F$40),0))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67</v>
      </c>
      <c r="U221" s="1">
        <f t="array" ref="U221">INDEX('ICL3'!$H$2:$H$40,MATCH(MIN(ABS(AH221-'ICL3'!$F$2:$F$40)),ABS(AH221-'ICL3'!$F$2:$F$40),0))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 t="str">
        <f>IF(ISERROR(MATCH(A221,'SegEnds_Xtal_Prot#'!B:B, 0)), "NoXtal", "Xtal")</f>
        <v>Xtal</v>
      </c>
    </row>
    <row r="222" spans="1:36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9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 t="str">
        <f>IF(ISERROR(MATCH(A222,'SegEnds_Xtal_Prot#'!B:B, 0)), "NoXtal", "Xtal")</f>
        <v>Xtal</v>
      </c>
    </row>
    <row r="223" spans="1:36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str">
        <f>IF(ISERROR(MATCH(A223,'SegEnds_Xtal_Prot#'!B:B, 0)), "NoXtal", "Xtal")</f>
        <v>NoXtal</v>
      </c>
    </row>
    <row r="224" spans="1:36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INDEX('ICL3'!$G$2:$G$40,MATCH(MIN(ABS(AH224-'ICL3'!$F$2:$F$40)),ABS(AH224-'ICL3'!$F$2:$F$40),0))</f>
        <v>68</v>
      </c>
      <c r="U224" s="1">
        <f t="array" ref="U224">INDEX('ICL3'!$H$2:$H$40,MATCH(MIN(ABS(AH224-'ICL3'!$F$2:$F$40)),ABS(AH224-'ICL3'!$F$2:$F$40),0))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360</v>
      </c>
      <c r="B225" s="1" t="str">
        <f>VLOOKUP(A225,Xtal_Templ!A:B,2,FALSE)</f>
        <v>agtr2_human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47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INDEX('ICL3'!$G$2:$G$40,MATCH(MIN(ABS(AH225-'ICL3'!$F$2:$F$40)),ABS(AH225-'ICL3'!$F$2:$F$40),0))</f>
        <v>68</v>
      </c>
      <c r="U225" s="1">
        <f t="array" ref="U225">INDEX('ICL3'!$H$2:$H$40,MATCH(MIN(ABS(AH225-'ICL3'!$F$2:$F$40)),ABS(AH225-'ICL3'!$F$2:$F$40),0))</f>
        <v>30</v>
      </c>
      <c r="V225" s="1">
        <v>61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 t="str">
        <f>IF(ISERROR(MATCH(A225,'SegEnds_Xtal_Prot#'!B:B, 0)), "NoXtal", "Xtal")</f>
        <v>NoXtal</v>
      </c>
    </row>
    <row r="226" spans="1:36" x14ac:dyDescent="0.2">
      <c r="A226" s="1" t="s">
        <v>364</v>
      </c>
      <c r="B226" s="1" t="str">
        <f>VLOOKUP(A226,Xtal_Templ!A:B,2,FALSE)</f>
        <v>agtr1_human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ccr5_human</v>
      </c>
      <c r="C228" s="5">
        <f>VLOOKUP($B228&amp;"__wt",'SegEnds_Xtal_BW#'!$A:$Z,3,FALSE)</f>
        <v>24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INDEX('ICL3'!$G$2:$G$40,MATCH(MIN(ABS(AH230-'ICL3'!$F$2:$F$40)),ABS(AH230-'ICL3'!$F$2:$F$40),0))</f>
        <v>74</v>
      </c>
      <c r="U230" s="1">
        <f t="array" ref="U230">INDEX('ICL3'!$H$2:$H$40,MATCH(MIN(ABS(AH230-'ICL3'!$F$2:$F$40)),ABS(AH230-'ICL3'!$F$2:$F$40),0))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374</v>
      </c>
      <c r="B231" s="1" t="str">
        <f>VLOOKUP(A231,Xtal_Templ!A:B,2,FALSE)</f>
        <v>oprd_human</v>
      </c>
      <c r="C231" s="5">
        <f>VLOOKUP($B231&amp;"__wt",'SegEnds_Xtal_BW#'!$A:$Z,3,FALSE)</f>
        <v>22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31</v>
      </c>
      <c r="T231" s="1">
        <f t="array" ref="T231">INDEX('ICL3'!$G$2:$G$40,MATCH(MIN(ABS(AH231-'ICL3'!$F$2:$F$40)),ABS(AH231-'ICL3'!$F$2:$F$40),0))</f>
        <v>67</v>
      </c>
      <c r="U231" s="1">
        <f t="array" ref="U231">INDEX('ICL3'!$H$2:$H$40,MATCH(MIN(ABS(AH231-'ICL3'!$F$2:$F$40)),ABS(AH231-'ICL3'!$F$2:$F$40),0))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 t="str">
        <f>IF(ISERROR(MATCH(A231,'SegEnds_Xtal_Prot#'!B:B, 0)), "NoXtal", "Xtal")</f>
        <v>NoXtal</v>
      </c>
    </row>
    <row r="232" spans="1:36" x14ac:dyDescent="0.2">
      <c r="A232" s="1" t="s">
        <v>387</v>
      </c>
      <c r="B232" s="1" t="str">
        <f>VLOOKUP(A232,Xtal_Templ!A:B,2,FALSE)</f>
        <v>adrb2_human</v>
      </c>
      <c r="C232" s="5">
        <f>VLOOKUP($B232&amp;"__wt",'SegEnds_Xtal_BW#'!$A:$Z,3,FALSE)</f>
        <v>25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INDEX('ICL3'!$G$2:$G$40,MATCH(MIN(ABS(AH232-'ICL3'!$F$2:$F$40)),ABS(AH232-'ICL3'!$F$2:$F$40),0))</f>
        <v>74</v>
      </c>
      <c r="U232" s="1">
        <f t="array" ref="U232">INDEX('ICL3'!$H$2:$H$40,MATCH(MIN(ABS(AH232-'ICL3'!$F$2:$F$40)),ABS(AH232-'ICL3'!$F$2:$F$40),0))</f>
        <v>21</v>
      </c>
      <c r="V232" s="1">
        <v>61</v>
      </c>
      <c r="W232" s="1">
        <v>31</v>
      </c>
      <c r="X232" s="1">
        <f>VLOOKUP($B232&amp;"__wt",'SegEnds_Xtal_BW#'!$A:$Z,24,FALSE)</f>
        <v>55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 t="str">
        <f>IF(ISERROR(MATCH(A232,'SegEnds_Xtal_Prot#'!B:B, 0)), "NoXtal", "Xtal")</f>
        <v>NoXtal</v>
      </c>
    </row>
    <row r="233" spans="1:36" x14ac:dyDescent="0.2">
      <c r="A233" s="1" t="s">
        <v>388</v>
      </c>
      <c r="B233" s="1" t="str">
        <f>VLOOKUP(A233,Xtal_Templ!A:B,2,FALSE)</f>
        <v>adrb2_human</v>
      </c>
      <c r="C233" s="5">
        <f>VLOOKUP($B233&amp;"__wt",'SegEnds_Xtal_BW#'!$A:$Z,3,FALSE)</f>
        <v>25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INDEX('ICL3'!$G$2:$G$40,MATCH(MIN(ABS(AH233-'ICL3'!$F$2:$F$40)),ABS(AH233-'ICL3'!$F$2:$F$40),0))</f>
        <v>73</v>
      </c>
      <c r="U233" s="1">
        <f t="array" ref="U233">INDEX('ICL3'!$H$2:$H$40,MATCH(MIN(ABS(AH233-'ICL3'!$F$2:$F$40)),ABS(AH233-'ICL3'!$F$2:$F$40),0))</f>
        <v>22</v>
      </c>
      <c r="V233" s="1">
        <v>61</v>
      </c>
      <c r="W233" s="1">
        <v>31</v>
      </c>
      <c r="X233" s="110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 t="str">
        <f>IF(ISERROR(MATCH(A233,'SegEnds_Xtal_Prot#'!B:B, 0)), "NoXtal", "Xtal")</f>
        <v>NoXtal</v>
      </c>
    </row>
    <row r="234" spans="1:36" x14ac:dyDescent="0.2">
      <c r="A234" s="1" t="s">
        <v>389</v>
      </c>
      <c r="B234" s="1" t="str">
        <f>VLOOKUP(A234,Xtal_Templ!A:B,2,FALSE)</f>
        <v>adrb2_human</v>
      </c>
      <c r="C234" s="5">
        <f>VLOOKUP($B234&amp;"__wt",'SegEnds_Xtal_BW#'!$A:$Z,3,FALSE)</f>
        <v>25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INDEX('ICL3'!$G$2:$G$40,MATCH(MIN(ABS(AH234-'ICL3'!$F$2:$F$40)),ABS(AH234-'ICL3'!$F$2:$F$40),0))</f>
        <v>74</v>
      </c>
      <c r="U234" s="1">
        <f t="array" ref="U234">INDEX('ICL3'!$H$2:$H$40,MATCH(MIN(ABS(AH234-'ICL3'!$F$2:$F$40)),ABS(AH234-'ICL3'!$F$2:$F$40),0))</f>
        <v>21</v>
      </c>
      <c r="V234" s="1">
        <v>61</v>
      </c>
      <c r="W234" s="1">
        <v>31</v>
      </c>
      <c r="X234" s="110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 t="str">
        <f>IF(ISERROR(MATCH(A234,'SegEnds_Xtal_Prot#'!B:B, 0)), "NoXtal", "Xtal")</f>
        <v>NoXtal</v>
      </c>
    </row>
    <row r="235" spans="1:36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INDEX('ICL3'!$G$2:$G$40,MATCH(MIN(ABS(AH235-'ICL3'!$F$2:$F$40)),ABS(AH235-'ICL3'!$F$2:$F$40),0))</f>
        <v>73</v>
      </c>
      <c r="U235" s="1">
        <f t="array" ref="U235">INDEX('ICL3'!$H$2:$H$40,MATCH(MIN(ABS(AH235-'ICL3'!$F$2:$F$40)),ABS(AH235-'ICL3'!$F$2:$F$40),0))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 t="str">
        <f>IF(ISERROR(MATCH(A235,'SegEnds_Xtal_Prot#'!B:B, 0)), "NoXtal", "Xtal")</f>
        <v>NoXtal</v>
      </c>
    </row>
    <row r="236" spans="1:36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INDEX('ICL3'!$G$2:$G$40,MATCH(MIN(ABS(AH236-'ICL3'!$F$2:$F$40)),ABS(AH236-'ICL3'!$F$2:$F$40),0))</f>
        <v>74</v>
      </c>
      <c r="U236" s="1">
        <f t="array" ref="U236">INDEX('ICL3'!$H$2:$H$40,MATCH(MIN(ABS(AH236-'ICL3'!$F$2:$F$40)),ABS(AH236-'ICL3'!$F$2:$F$40),0))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 t="str">
        <f>IF(ISERROR(MATCH(A236,'SegEnds_Xtal_Prot#'!B:B, 0)), "NoXtal", "Xtal")</f>
        <v>NoXtal</v>
      </c>
    </row>
    <row r="237" spans="1:36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INDEX('ICL3'!$G$2:$G$40,MATCH(MIN(ABS(AH237-'ICL3'!$F$2:$F$40)),ABS(AH237-'ICL3'!$F$2:$F$40),0))</f>
        <v>74</v>
      </c>
      <c r="U237" s="1">
        <f t="array" ref="U237">INDEX('ICL3'!$H$2:$H$40,MATCH(MIN(ABS(AH237-'ICL3'!$F$2:$F$40)),ABS(AH237-'ICL3'!$F$2:$F$40),0))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 t="str">
        <f>IF(ISERROR(MATCH(A237,'SegEnds_Xtal_Prot#'!B:B, 0)), "NoXtal", "Xtal")</f>
        <v>NoXtal</v>
      </c>
    </row>
    <row r="238" spans="1:36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INDEX('ICL3'!$G$2:$G$40,MATCH(MIN(ABS(AH238-'ICL3'!$F$2:$F$40)),ABS(AH238-'ICL3'!$F$2:$F$40),0))</f>
        <v>74</v>
      </c>
      <c r="U238" s="1">
        <f t="array" ref="U238">INDEX('ICL3'!$H$2:$H$40,MATCH(MIN(ABS(AH238-'ICL3'!$F$2:$F$40)),ABS(AH238-'ICL3'!$F$2:$F$40),0))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 t="str">
        <f>IF(ISERROR(MATCH(A238,'SegEnds_Xtal_Prot#'!B:B, 0)), "NoXtal", "Xtal")</f>
        <v>NoXtal</v>
      </c>
    </row>
    <row r="239" spans="1:36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INDEX('ICL3'!$G$2:$G$40,MATCH(MIN(ABS(AH239-'ICL3'!$F$2:$F$40)),ABS(AH239-'ICL3'!$F$2:$F$40),0))</f>
        <v>76</v>
      </c>
      <c r="U239" s="1">
        <f t="array" ref="U239">INDEX('ICL3'!$H$2:$H$40,MATCH(MIN(ABS(AH239-'ICL3'!$F$2:$F$40)),ABS(AH239-'ICL3'!$F$2:$F$40),0))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 t="str">
        <f>IF(ISERROR(MATCH(A239,'SegEnds_Xtal_Prot#'!B:B, 0)), "NoXtal", "Xtal")</f>
        <v>NoXtal</v>
      </c>
    </row>
    <row r="240" spans="1:36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10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10">
        <v>56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INDEX('ICL3'!$G$2:$G$40,MATCH(MIN(ABS(AH240-'ICL3'!$F$2:$F$40)),ABS(AH240-'ICL3'!$F$2:$F$40),0))</f>
        <v>76</v>
      </c>
      <c r="U240" s="1">
        <f t="array" ref="U240">INDEX('ICL3'!$H$2:$H$40,MATCH(MIN(ABS(AH240-'ICL3'!$F$2:$F$40)),ABS(AH240-'ICL3'!$F$2:$F$40),0))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 t="str">
        <f>IF(ISERROR(MATCH(A240,'SegEnds_Xtal_Prot#'!B:B, 0)), "NoXtal", "Xtal")</f>
        <v>NoXtal</v>
      </c>
    </row>
    <row r="241" spans="1:36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10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10">
        <v>56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INDEX('ICL3'!$G$2:$G$40,MATCH(MIN(ABS(AH241-'ICL3'!$F$2:$F$40)),ABS(AH241-'ICL3'!$F$2:$F$40),0))</f>
        <v>76</v>
      </c>
      <c r="U241" s="1">
        <f t="array" ref="U241">INDEX('ICL3'!$H$2:$H$40,MATCH(MIN(ABS(AH241-'ICL3'!$F$2:$F$40)),ABS(AH241-'ICL3'!$F$2:$F$40),0))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 t="str">
        <f>IF(ISERROR(MATCH(A241,'SegEnds_Xtal_Prot#'!B:B, 0)), "NoXtal", "Xtal")</f>
        <v>NoXtal</v>
      </c>
    </row>
    <row r="242" spans="1:36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10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INDEX('ICL3'!$G$2:$G$40,MATCH(MIN(ABS(AH242-'ICL3'!$F$2:$F$40)),ABS(AH242-'ICL3'!$F$2:$F$40),0))</f>
        <v>76</v>
      </c>
      <c r="U242" s="1">
        <f t="array" ref="U242">INDEX('ICL3'!$H$2:$H$40,MATCH(MIN(ABS(AH242-'ICL3'!$F$2:$F$40)),ABS(AH242-'ICL3'!$F$2:$F$40),0))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 t="str">
        <f>IF(ISERROR(MATCH(A242,'SegEnds_Xtal_Prot#'!B:B, 0)), "NoXtal", "Xtal")</f>
        <v>NoXtal</v>
      </c>
    </row>
    <row r="243" spans="1:36" x14ac:dyDescent="0.2">
      <c r="A243" s="1" t="s">
        <v>132</v>
      </c>
      <c r="B243" s="1" t="str">
        <f>VLOOKUP(A243,Xtal_Templ!A:B,2,FALSE)</f>
        <v>5ht2b_human</v>
      </c>
      <c r="C243" s="5">
        <f>VLOOKUP($B243&amp;"__wt",'SegEnds_Xtal_BW#'!$A:$Z,3,FALSE)</f>
        <v>32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76</v>
      </c>
      <c r="U243" s="1">
        <f t="array" ref="U243">INDEX('ICL3'!$H$2:$H$40,MATCH(MIN(ABS(AH243-'ICL3'!$F$2:$F$40)),ABS(AH243-'ICL3'!$F$2:$F$40),0))</f>
        <v>24</v>
      </c>
      <c r="V243" s="1">
        <v>61</v>
      </c>
      <c r="W243" s="110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 t="str">
        <f>IF(ISERROR(MATCH(A243,'SegEnds_Xtal_Prot#'!B:B, 0)), "NoXtal", "Xtal")</f>
        <v>NoXtal</v>
      </c>
    </row>
    <row r="244" spans="1:36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76</v>
      </c>
      <c r="U244" s="1">
        <f t="array" ref="U244">INDEX('ICL3'!$H$2:$H$40,MATCH(MIN(ABS(AH244-'ICL3'!$F$2:$F$40)),ABS(AH244-'ICL3'!$F$2:$F$40),0))</f>
        <v>24</v>
      </c>
      <c r="V244" s="1">
        <v>61</v>
      </c>
      <c r="W244" s="110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 t="str">
        <f>IF(ISERROR(MATCH(A244,'SegEnds_Xtal_Prot#'!B:B, 0)), "NoXtal", "Xtal")</f>
        <v>Xtal</v>
      </c>
    </row>
    <row r="245" spans="1:36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24</v>
      </c>
      <c r="V245" s="1">
        <v>61</v>
      </c>
      <c r="W245" s="110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 t="str">
        <f>IF(ISERROR(MATCH(A245,'SegEnds_Xtal_Prot#'!B:B, 0)), "NoXtal", "Xtal")</f>
        <v>Xtal</v>
      </c>
    </row>
    <row r="246" spans="1:36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9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 t="str">
        <f>IF(ISERROR(MATCH(A246,'SegEnds_Xtal_Prot#'!B:B, 0)), "NoXtal", "Xtal")</f>
        <v>NoXtal</v>
      </c>
    </row>
    <row r="247" spans="1:36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INDEX('ICL3'!$G$2:$G$40,MATCH(MIN(ABS(AH247-'ICL3'!$F$2:$F$40)),ABS(AH247-'ICL3'!$F$2:$F$40),0))</f>
        <v>76</v>
      </c>
      <c r="U247" s="1">
        <f t="array" ref="U247">INDEX('ICL3'!$H$2:$H$40,MATCH(MIN(ABS(AH247-'ICL3'!$F$2:$F$40)),ABS(AH247-'ICL3'!$F$2:$F$40),0))</f>
        <v>24</v>
      </c>
      <c r="V247" s="1">
        <v>61</v>
      </c>
      <c r="W247" s="110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9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Xtal</v>
      </c>
    </row>
    <row r="249" spans="1:36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9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75</v>
      </c>
      <c r="U249" s="1">
        <f t="array" ref="U249">INDEX('ICL3'!$H$2:$H$40,MATCH(MIN(ABS(AH249-'ICL3'!$F$2:$F$40)),ABS(AH249-'ICL3'!$F$2:$F$40),0))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 t="str">
        <f>IF(ISERROR(MATCH(A249,'SegEnds_Xtal_Prot#'!B:B, 0)), "NoXtal", "Xtal")</f>
        <v>Xtal</v>
      </c>
    </row>
    <row r="250" spans="1:36" x14ac:dyDescent="0.2">
      <c r="A250" s="1" t="s">
        <v>216</v>
      </c>
      <c r="B250" s="1" t="str">
        <f>VLOOKUP(A250,Xtal_Templ!A:B,2,FALSE)</f>
        <v>ntr1_rat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10">
        <v>56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INDEX('ICL3'!$G$2:$G$40,MATCH(MIN(ABS(AH250-'ICL3'!$F$2:$F$40)),ABS(AH250-'ICL3'!$F$2:$F$40),0))</f>
        <v>68</v>
      </c>
      <c r="U250" s="1">
        <f t="array" ref="U250">INDEX('ICL3'!$H$2:$H$40,MATCH(MIN(ABS(AH250-'ICL3'!$F$2:$F$40)),ABS(AH250-'ICL3'!$F$2:$F$40),0))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 t="str">
        <f>IF(ISERROR(MATCH(A250,'SegEnds_Xtal_Prot#'!B:B, 0)), "NoXtal", "Xtal")</f>
        <v>NoXtal</v>
      </c>
    </row>
    <row r="251" spans="1:36" x14ac:dyDescent="0.2">
      <c r="A251" s="1" t="s">
        <v>218</v>
      </c>
      <c r="B251" s="1" t="str">
        <f>VLOOKUP(A251,Xtal_Templ!A:B,2,FALSE)</f>
        <v>5ht2b_human</v>
      </c>
      <c r="C251" s="5">
        <f>VLOOKUP($B251&amp;"__wt",'SegEnds_Xtal_BW#'!$A:$Z,3,FALSE)</f>
        <v>32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10">
        <v>56</v>
      </c>
      <c r="O251" s="89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 t="str">
        <f>IF(ISERROR(MATCH(A251,'SegEnds_Xtal_Prot#'!B:B, 0)), "NoXtal", "Xtal")</f>
        <v>NoXtal</v>
      </c>
    </row>
    <row r="252" spans="1:36" x14ac:dyDescent="0.2">
      <c r="A252" s="1" t="s">
        <v>230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74</v>
      </c>
      <c r="U252" s="1">
        <f t="array" ref="U252">INDEX('ICL3'!$H$2:$H$40,MATCH(MIN(ABS(AH252-'ICL3'!$F$2:$F$40)),ABS(AH252-'ICL3'!$F$2:$F$40),0))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266</v>
      </c>
      <c r="B253" s="1" t="str">
        <f>VLOOKUP(A253,Xtal_Templ!A:B,2,FALSE)</f>
        <v>ntr1_rat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INDEX('ICL3'!$G$2:$G$40,MATCH(MIN(ABS(AH253-'ICL3'!$F$2:$F$40)),ABS(AH253-'ICL3'!$F$2:$F$40),0))</f>
        <v>76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58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 t="str">
        <f>IF(ISERROR(MATCH(A253,'SegEnds_Xtal_Prot#'!B:B, 0)), "NoXtal", "Xtal")</f>
        <v>NoXtal</v>
      </c>
    </row>
    <row r="254" spans="1:36" x14ac:dyDescent="0.2">
      <c r="A254" s="1" t="s">
        <v>271</v>
      </c>
      <c r="B254" s="1" t="str">
        <f>VLOOKUP(A254,Xtal_Templ!A:B,2,FALSE)</f>
        <v>ox1r_human</v>
      </c>
      <c r="C254" s="5">
        <f>VLOOKUP($B254&amp;"__wt",'SegEnds_Xtal_BW#'!$A:$Z,3,FALSE)</f>
        <v>32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 t="str">
        <f>IF(ISERROR(MATCH(A254,'SegEnds_Xtal_Prot#'!B:B, 0)), "NoXtal", "Xtal")</f>
        <v>NoXtal</v>
      </c>
    </row>
    <row r="255" spans="1:36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 t="str">
        <f>IF(ISERROR(MATCH(A255,'SegEnds_Xtal_Prot#'!B:B, 0)), "NoXtal", "Xtal")</f>
        <v>NoXtal</v>
      </c>
    </row>
    <row r="256" spans="1:36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9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INDEX('ICL3'!$G$2:$G$40,MATCH(MIN(ABS(AH256-'ICL3'!$F$2:$F$40)),ABS(AH256-'ICL3'!$F$2:$F$40),0))</f>
        <v>76</v>
      </c>
      <c r="U256" s="4">
        <f t="array" ref="U256">INDEX('ICL3'!$H$2:$H$40,MATCH(MIN(ABS(AH256-'ICL3'!$F$2:$F$40)),ABS(AH256-'ICL3'!$F$2:$F$40),0))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INDEX('ICL3'!$G$2:$G$40,MATCH(MIN(ABS(AH257-'ICL3'!$F$2:$F$40)),ABS(AH257-'ICL3'!$F$2:$F$40),0))</f>
        <v>73</v>
      </c>
      <c r="U257" s="1">
        <f t="array" ref="U257">INDEX('ICL3'!$H$2:$H$40,MATCH(MIN(ABS(AH257-'ICL3'!$F$2:$F$40)),ABS(AH257-'ICL3'!$F$2:$F$40),0))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 t="str">
        <f>IF(ISERROR(MATCH(A257,'SegEnds_Xtal_Prot#'!B:B, 0)), "NoXtal", "Xtal")</f>
        <v>NoXtal</v>
      </c>
    </row>
    <row r="258" spans="1:36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INDEX('ICL3'!$G$2:$G$40,MATCH(MIN(ABS(AH258-'ICL3'!$F$2:$F$40)),ABS(AH258-'ICL3'!$F$2:$F$40),0))</f>
        <v>74</v>
      </c>
      <c r="U258" s="1">
        <f t="array" ref="U258">INDEX('ICL3'!$H$2:$H$40,MATCH(MIN(ABS(AH258-'ICL3'!$F$2:$F$40)),ABS(AH258-'ICL3'!$F$2:$F$40),0))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 t="str">
        <f>IF(ISERROR(MATCH(A258,'SegEnds_Xtal_Prot#'!B:B, 0)), "NoXtal", "Xtal")</f>
        <v>Xtal</v>
      </c>
    </row>
    <row r="259" spans="1:36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9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INDEX('ICL3'!$G$2:$G$40,MATCH(MIN(ABS(AH259-'ICL3'!$F$2:$F$40)),ABS(AH259-'ICL3'!$F$2:$F$40),0))</f>
        <v>73</v>
      </c>
      <c r="U259" s="4">
        <f t="array" ref="U259">INDEX('ICL3'!$H$2:$H$40,MATCH(MIN(ABS(AH259-'ICL3'!$F$2:$F$40)),ABS(AH259-'ICL3'!$F$2:$F$40),0))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222</v>
      </c>
      <c r="B260" s="1" t="str">
        <f>VLOOKUP(A260,Xtal_Templ!A:B,2,FALSE)</f>
        <v>cxcr4_human</v>
      </c>
      <c r="C260" s="5">
        <f>VLOOKUP($B260&amp;"__wt",'SegEnds_Xtal_BW#'!$A:$Z,3,FALSE)</f>
        <v>24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INDEX('ICL3'!$G$2:$G$40,MATCH(MIN(ABS(AH260-'ICL3'!$F$2:$F$40)),ABS(AH260-'ICL3'!$F$2:$F$40),0))</f>
        <v>74</v>
      </c>
      <c r="U260" s="1">
        <f t="array" ref="U260">INDEX('ICL3'!$H$2:$H$40,MATCH(MIN(ABS(AH260-'ICL3'!$F$2:$F$40)),ABS(AH260-'ICL3'!$F$2:$F$40),0))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 t="str">
        <f>IF(ISERROR(MATCH(A260,'SegEnds_Xtal_Prot#'!B:B, 0)), "NoXtal", "Xtal")</f>
        <v>NoXtal</v>
      </c>
    </row>
    <row r="261" spans="1:36" x14ac:dyDescent="0.2">
      <c r="A261" s="1" t="s">
        <v>226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73</v>
      </c>
      <c r="U261" s="1">
        <f t="array" ref="U261">INDEX('ICL3'!$H$2:$H$40,MATCH(MIN(ABS(AH261-'ICL3'!$F$2:$F$40)),ABS(AH261-'ICL3'!$F$2:$F$40),0))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 t="str">
        <f>IF(ISERROR(MATCH(A261,'SegEnds_Xtal_Prot#'!B:B, 0)), "NoXtal", "Xtal")</f>
        <v>NoXtal</v>
      </c>
    </row>
    <row r="262" spans="1:36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76</v>
      </c>
      <c r="U262" s="1">
        <f t="array" ref="U262">INDEX('ICL3'!$H$2:$H$40,MATCH(MIN(ABS(AH262-'ICL3'!$F$2:$F$40)),ABS(AH262-'ICL3'!$F$2:$F$40),0))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INDEX('ICL3'!$G$2:$G$40,MATCH(MIN(ABS(AH263-'ICL3'!$F$2:$F$40)),ABS(AH263-'ICL3'!$F$2:$F$40),0))</f>
        <v>76</v>
      </c>
      <c r="U263" s="1">
        <f t="array" ref="U263">INDEX('ICL3'!$H$2:$H$40,MATCH(MIN(ABS(AH263-'ICL3'!$F$2:$F$40)),ABS(AH263-'ICL3'!$F$2:$F$40),0))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 t="str">
        <f>IF(ISERROR(MATCH(A263,'SegEnds_Xtal_Prot#'!B:B, 0)), "NoXtal", "Xtal")</f>
        <v>NoXtal</v>
      </c>
    </row>
    <row r="264" spans="1:36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INDEX('ICL3'!$G$2:$G$40,MATCH(MIN(ABS(AH264-'ICL3'!$F$2:$F$40)),ABS(AH264-'ICL3'!$F$2:$F$40),0))</f>
        <v>76</v>
      </c>
      <c r="U264" s="1">
        <f t="array" ref="U264">INDEX('ICL3'!$H$2:$H$40,MATCH(MIN(ABS(AH264-'ICL3'!$F$2:$F$40)),ABS(AH264-'ICL3'!$F$2:$F$40),0))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 t="str">
        <f>IF(ISERROR(MATCH(A264,'SegEnds_Xtal_Prot#'!B:B, 0)), "NoXtal", "Xtal")</f>
        <v>NoXtal</v>
      </c>
    </row>
    <row r="265" spans="1:36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76</v>
      </c>
      <c r="U265" s="1">
        <f t="array" ref="U265">INDEX('ICL3'!$H$2:$H$40,MATCH(MIN(ABS(AH265-'ICL3'!$F$2:$F$40)),ABS(AH265-'ICL3'!$F$2:$F$40),0))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 t="str">
        <f>IF(ISERROR(MATCH(A265,'SegEnds_Xtal_Prot#'!B:B, 0)), "NoXtal", "Xtal")</f>
        <v>Xtal</v>
      </c>
    </row>
    <row r="266" spans="1:36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INDEX('ICL3'!$G$2:$G$40,MATCH(MIN(ABS(AH266-'ICL3'!$F$2:$F$40)),ABS(AH266-'ICL3'!$F$2:$F$40),0))</f>
        <v>74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 t="str">
        <f>IF(ISERROR(MATCH(A266,'SegEnds_Xtal_Prot#'!B:B, 0)), "NoXtal", "Xtal")</f>
        <v>NoXtal</v>
      </c>
    </row>
    <row r="267" spans="1:36" x14ac:dyDescent="0.2">
      <c r="A267" s="1" t="s">
        <v>367</v>
      </c>
      <c r="B267" s="1" t="str">
        <f>VLOOKUP(A267,Xtal_Templ!A:B,2,FALSE)</f>
        <v>ox2r_human</v>
      </c>
      <c r="C267" s="5">
        <f>VLOOKUP($B267&amp;"__wt",'SegEnds_Xtal_BW#'!$A:$Z,3,FALSE)</f>
        <v>31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33</v>
      </c>
      <c r="T267" s="1">
        <f t="array" ref="T267">INDEX('ICL3'!$G$2:$G$40,MATCH(MIN(ABS(AH267-'ICL3'!$F$2:$F$40)),ABS(AH267-'ICL3'!$F$2:$F$40),0))</f>
        <v>73</v>
      </c>
      <c r="U267" s="1">
        <f t="array" ref="U267">INDEX('ICL3'!$H$2:$H$40,MATCH(MIN(ABS(AH267-'ICL3'!$F$2:$F$40)),ABS(AH267-'ICL3'!$F$2:$F$40),0))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 t="str">
        <f>IF(ISERROR(MATCH(A267,'SegEnds_Xtal_Prot#'!B:B, 0)), "NoXtal", "Xtal")</f>
        <v>NoXtal</v>
      </c>
    </row>
    <row r="268" spans="1:36" x14ac:dyDescent="0.2">
      <c r="A268" s="1" t="s">
        <v>368</v>
      </c>
      <c r="B268" s="1" t="str">
        <f>VLOOKUP(A268,Xtal_Templ!A:B,2,FALSE)</f>
        <v>ox2r_human</v>
      </c>
      <c r="C268" s="5">
        <f>VLOOKUP($B268&amp;"__wt",'SegEnds_Xtal_BW#'!$A:$Z,3,FALSE)</f>
        <v>31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73</v>
      </c>
      <c r="U268" s="1">
        <f t="array" ref="U268">INDEX('ICL3'!$H$2:$H$40,MATCH(MIN(ABS(AH268-'ICL3'!$F$2:$F$40)),ABS(AH268-'ICL3'!$F$2:$F$40),0))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 t="str">
        <f>IF(ISERROR(MATCH(A268,'SegEnds_Xtal_Prot#'!B:B, 0)), "NoXtal", "Xtal")</f>
        <v>NoXtal</v>
      </c>
    </row>
    <row r="269" spans="1:36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 t="str">
        <f>IF(ISERROR(MATCH(A269,'SegEnds_Xtal_Prot#'!B:B, 0)), "NoXtal", "Xtal")</f>
        <v>NoXtal</v>
      </c>
    </row>
    <row r="270" spans="1:36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9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76</v>
      </c>
      <c r="U270" s="1">
        <f t="array" ref="U270">INDEX('ICL3'!$H$2:$H$40,MATCH(MIN(ABS(AH270-'ICL3'!$F$2:$F$40)),ABS(AH270-'ICL3'!$F$2:$F$40),0))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 t="str">
        <f>IF(ISERROR(MATCH(A270,'SegEnds_Xtal_Prot#'!B:B, 0)), "NoXtal", "Xtal")</f>
        <v>NoXtal</v>
      </c>
    </row>
    <row r="271" spans="1:36" x14ac:dyDescent="0.2">
      <c r="A271" s="1" t="s">
        <v>225</v>
      </c>
      <c r="B271" s="1" t="str">
        <f>VLOOKUP(A271,Xtal_Templ!A:B,2,FALSE)</f>
        <v>drd4_human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INDEX('ICL3'!$G$2:$G$40,MATCH(MIN(ABS(AH271-'ICL3'!$F$2:$F$40)),ABS(AH271-'ICL3'!$F$2:$F$40),0))</f>
        <v>76</v>
      </c>
      <c r="U271" s="1">
        <f t="array" ref="U271">INDEX('ICL3'!$H$2:$H$40,MATCH(MIN(ABS(AH271-'ICL3'!$F$2:$F$40)),ABS(AH271-'ICL3'!$F$2:$F$40),0))</f>
        <v>24</v>
      </c>
      <c r="V271" s="1">
        <v>61</v>
      </c>
      <c r="W271" s="1">
        <v>32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 t="str">
        <f>IF(ISERROR(MATCH(A271,'SegEnds_Xtal_Prot#'!B:B, 0)), "NoXtal", "Xtal")</f>
        <v>NoXtal</v>
      </c>
    </row>
    <row r="272" spans="1:36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9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 t="str">
        <f>IF(ISERROR(MATCH(A272,'SegEnds_Xtal_Prot#'!B:B, 0)), "NoXtal", "Xtal")</f>
        <v>NoXtal</v>
      </c>
    </row>
    <row r="273" spans="1:36" x14ac:dyDescent="0.2">
      <c r="A273" s="1" t="s">
        <v>268</v>
      </c>
      <c r="B273" s="1" t="str">
        <f>VLOOKUP(A273,Xtal_Templ!A:B,2,FALSE)</f>
        <v>oprd_human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INDEX('ICL3'!$G$2:$G$40,MATCH(MIN(ABS(AH273-'ICL3'!$F$2:$F$40)),ABS(AH273-'ICL3'!$F$2:$F$40),0))</f>
        <v>68</v>
      </c>
      <c r="U273" s="1">
        <f t="array" ref="U273">INDEX('ICL3'!$H$2:$H$40,MATCH(MIN(ABS(AH273-'ICL3'!$F$2:$F$40)),ABS(AH273-'ICL3'!$F$2:$F$40),0))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363</v>
      </c>
      <c r="B275" s="1" t="str">
        <f>VLOOKUP(A275,Xtal_Templ!A:B,2,FALSE)</f>
        <v>aa2ar_human</v>
      </c>
      <c r="C275" s="5">
        <f>VLOOKUP($B275&amp;"__wt",'SegEnds_Xtal_BW#'!$A:$Z,3,FALSE)</f>
        <v>27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9">
        <f>VLOOKUP($B275&amp;"__wt",'SegEnds_Xtal_BW#'!$A:$Z,15,FALSE)</f>
        <v>38</v>
      </c>
      <c r="P275" s="1">
        <f>VLOOKUP($B275&amp;"__wt",'SegEnds_Xtal_BW#'!$A:$Z,16,FALSE)</f>
        <v>63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 t="str">
        <f>IF(ISERROR(MATCH(A275,'SegEnds_Xtal_Prot#'!B:B, 0)), "NoXtal", "Xtal")</f>
        <v>NoXtal</v>
      </c>
    </row>
    <row r="276" spans="1:36" s="12" customFormat="1" x14ac:dyDescent="0.2">
      <c r="A276" s="1" t="s">
        <v>365</v>
      </c>
      <c r="B276" s="1" t="str">
        <f>VLOOKUP(A276,Xtal_Templ!A:B,2,FALSE)</f>
        <v>lpar1_human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63</v>
      </c>
      <c r="I276" s="1">
        <f>VLOOKUP($B276&amp;"__wt",'SegEnds_Xtal_BW#'!$A:$Z,9,FALSE)</f>
        <v>47</v>
      </c>
      <c r="J276" s="1">
        <f>VLOOKUP($B276&amp;"__wt",'SegEnds_Xtal_BW#'!$A:$Z,10,FALSE)</f>
        <v>53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63</v>
      </c>
      <c r="Q276" s="110">
        <v>50</v>
      </c>
      <c r="R276" s="110">
        <v>52</v>
      </c>
      <c r="S276" s="1">
        <v>35</v>
      </c>
      <c r="T276" s="1">
        <f t="array" ref="T276">INDEX('ICL3'!$G$2:$G$40,MATCH(MIN(ABS(AH276-'ICL3'!$F$2:$F$40)),ABS(AH276-'ICL3'!$F$2:$F$40),0))</f>
        <v>72</v>
      </c>
      <c r="U276" s="1">
        <f t="array" ref="U276">INDEX('ICL3'!$H$2:$H$40,MATCH(MIN(ABS(AH276-'ICL3'!$F$2:$F$40)),ABS(AH276-'ICL3'!$F$2:$F$40),0))</f>
        <v>29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s="12" customFormat="1" x14ac:dyDescent="0.2">
      <c r="A277" s="1" t="s">
        <v>473</v>
      </c>
      <c r="B277" s="1" t="str">
        <f>VLOOKUP(A277,Xtal_Templ!A:B,2,FALSE)</f>
        <v>cnr1_human</v>
      </c>
      <c r="C277" s="5">
        <f>VLOOKUP($B277&amp;"__wt",'SegEnds_Xtal_BW#'!$A:$Z,3,FALSE)</f>
        <v>28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 t="str">
        <f>VLOOKUP($B277&amp;"__wt",'SegEnds_Xtal_BW#'!$A:$Z,9,FALSE)</f>
        <v>-</v>
      </c>
      <c r="J277" s="1" t="str">
        <f>VLOOKUP($B277&amp;"__wt",'SegEnds_Xtal_BW#'!$A:$Z,10,FALSE)</f>
        <v>-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INDEX('ICL3'!$G$2:$G$40,MATCH(MIN(ABS(AH277-'ICL3'!$F$2:$F$40)),ABS(AH277-'ICL3'!$F$2:$F$40),0))</f>
        <v>68</v>
      </c>
      <c r="U277" s="1">
        <f t="array" ref="U277">INDEX('ICL3'!$H$2:$H$40,MATCH(MIN(ABS(AH277-'ICL3'!$F$2:$F$40)),ABS(AH277-'ICL3'!$F$2:$F$40),0))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INDEX('ICL3'!$G$2:$G$40,MATCH(MIN(ABS(AH278-'ICL3'!$F$2:$F$40)),ABS(AH278-'ICL3'!$F$2:$F$40),0))</f>
        <v>72</v>
      </c>
      <c r="U278" s="1">
        <f t="array" ref="U278">INDEX('ICL3'!$H$2:$H$40,MATCH(MIN(ABS(AH278-'ICL3'!$F$2:$F$40)),ABS(AH278-'ICL3'!$F$2:$F$40),0))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228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INDEX('ICL3'!$G$2:$G$40,MATCH(MIN(ABS(AH279-'ICL3'!$F$2:$F$40)),ABS(AH279-'ICL3'!$F$2:$F$40),0))</f>
        <v>74</v>
      </c>
      <c r="U279" s="1">
        <f t="array" ref="U279">INDEX('ICL3'!$H$2:$H$40,MATCH(MIN(ABS(AH279-'ICL3'!$F$2:$F$40)),ABS(AH279-'ICL3'!$F$2:$F$40),0))</f>
        <v>24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NoXtal</v>
      </c>
    </row>
    <row r="280" spans="1:36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10">
        <v>33</v>
      </c>
      <c r="T280" s="1">
        <f t="array" ref="T280">INDEX('ICL3'!$G$2:$G$40,MATCH(MIN(ABS(AH280-'ICL3'!$F$2:$F$40)),ABS(AH280-'ICL3'!$F$2:$F$40),0))</f>
        <v>67</v>
      </c>
      <c r="U280" s="110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366</v>
      </c>
      <c r="B281" s="1" t="str">
        <f>VLOOKUP(A281,Xtal_Templ!A:B,2,FALSE)</f>
        <v>agtr2_human</v>
      </c>
      <c r="C281" s="5">
        <f>VLOOKUP($B281&amp;"__wt",'SegEnds_Xtal_BW#'!$A:$Z,3,FALSE)</f>
        <v>33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INDEX('ICL3'!$G$2:$G$40,MATCH(MIN(ABS(AH281-'ICL3'!$F$2:$F$40)),ABS(AH281-'ICL3'!$F$2:$F$40),0))</f>
        <v>72</v>
      </c>
      <c r="U281" s="1">
        <f t="array" ref="U281">INDEX('ICL3'!$H$2:$H$40,MATCH(MIN(ABS(AH281-'ICL3'!$F$2:$F$40)),ABS(AH281-'ICL3'!$F$2:$F$40),0))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 t="str">
        <f>IF(ISERROR(MATCH(A281,'SegEnds_Xtal_Prot#'!B:B, 0)), "NoXtal", "Xtal")</f>
        <v>NoXtal</v>
      </c>
    </row>
    <row r="282" spans="1:36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10">
        <v>33</v>
      </c>
      <c r="T282" s="1">
        <f t="array" ref="T282">INDEX('ICL3'!$G$2:$G$40,MATCH(MIN(ABS(AH282-'ICL3'!$F$2:$F$40)),ABS(AH282-'ICL3'!$F$2:$F$40),0))</f>
        <v>66</v>
      </c>
      <c r="U282" s="1">
        <f t="array" ref="U282">INDEX('ICL3'!$H$2:$H$40,MATCH(MIN(ABS(AH282-'ICL3'!$F$2:$F$40)),ABS(AH282-'ICL3'!$F$2:$F$40),0))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 t="str">
        <f>IF(ISERROR(MATCH(A282,'SegEnds_Xtal_Prot#'!B:B, 0)), "NoXtal", "Xtal")</f>
        <v>NoXtal</v>
      </c>
    </row>
    <row r="283" spans="1:36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10">
        <v>33</v>
      </c>
      <c r="T283" s="1">
        <f t="array" ref="T283">INDEX('ICL3'!$G$2:$G$40,MATCH(MIN(ABS(AH283-'ICL3'!$F$2:$F$40)),ABS(AH283-'ICL3'!$F$2:$F$40),0))</f>
        <v>68</v>
      </c>
      <c r="U283" s="110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 t="str">
        <f>IF(ISERROR(MATCH(A283,'SegEnds_Xtal_Prot#'!B:B, 0)), "NoXtal", "Xtal")</f>
        <v>NoXtal</v>
      </c>
    </row>
    <row r="284" spans="1:36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10">
        <v>33</v>
      </c>
      <c r="T284" s="1">
        <f t="array" ref="T284">INDEX('ICL3'!$G$2:$G$40,MATCH(MIN(ABS(AH284-'ICL3'!$F$2:$F$40)),ABS(AH284-'ICL3'!$F$2:$F$40),0))</f>
        <v>67</v>
      </c>
      <c r="U284" s="110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10">
        <v>33</v>
      </c>
      <c r="T285" s="1">
        <f t="array" ref="T285">INDEX('ICL3'!$G$2:$G$40,MATCH(MIN(ABS(AH285-'ICL3'!$F$2:$F$40)),ABS(AH285-'ICL3'!$F$2:$F$40),0))</f>
        <v>67</v>
      </c>
      <c r="U285" s="110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359</v>
      </c>
      <c r="B286" s="1" t="str">
        <f>VLOOKUP(A286,Xtal_Templ!A:B,2,FALSE)</f>
        <v>aa2ar_human</v>
      </c>
      <c r="C286" s="5">
        <f>VLOOKUP($B286&amp;"__wt",'SegEnds_Xtal_BW#'!$A:$Z,3,FALSE)</f>
        <v>27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50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INDEX('ICL3'!$G$2:$G$40,MATCH(MIN(ABS(AH286-'ICL3'!$F$2:$F$40)),ABS(AH286-'ICL3'!$F$2:$F$40),0))</f>
        <v>76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6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69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 t="str">
        <f>IF(ISERROR(MATCH(A286,'SegEnds_Xtal_Prot#'!B:B, 0)), "NoXtal", "Xtal")</f>
        <v>NoXtal</v>
      </c>
    </row>
    <row r="287" spans="1:36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67</v>
      </c>
      <c r="U287" s="1">
        <f t="array" ref="U287">INDEX('ICL3'!$H$2:$H$40,MATCH(MIN(ABS(AH287-'ICL3'!$F$2:$F$40)),ABS(AH287-'ICL3'!$F$2:$F$40),0))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 t="str">
        <f>IF(ISERROR(MATCH(A287,'SegEnds_Xtal_Prot#'!B:B, 0)), "NoXtal", "Xtal")</f>
        <v>NoXtal</v>
      </c>
    </row>
    <row r="288" spans="1:36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 t="str">
        <f>IF(ISERROR(MATCH(A288,'SegEnds_Xtal_Prot#'!B:B, 0)), "NoXtal", "Xtal")</f>
        <v>NoXtal</v>
      </c>
    </row>
    <row r="289" spans="1:36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 t="str">
        <f>IF(ISERROR(MATCH(A289,'SegEnds_Xtal_Prot#'!B:B, 0)), "NoXtal", "Xtal")</f>
        <v>NoXtal</v>
      </c>
    </row>
    <row r="290" spans="1:36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INDEX('ICL3'!$G$2:$G$40,MATCH(MIN(ABS(AH290-'ICL3'!$F$2:$F$40)),ABS(AH290-'ICL3'!$F$2:$F$40),0))</f>
        <v>67</v>
      </c>
      <c r="U290" s="1">
        <f t="array" ref="U290">INDEX('ICL3'!$H$2:$H$40,MATCH(MIN(ABS(AH290-'ICL3'!$F$2:$F$40)),ABS(AH290-'ICL3'!$F$2:$F$40),0))</f>
        <v>28</v>
      </c>
      <c r="V290" s="1">
        <v>61</v>
      </c>
      <c r="W290" s="1">
        <v>31</v>
      </c>
      <c r="X290" s="110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10">
        <v>56</v>
      </c>
      <c r="O292" s="89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INDEX('ICL3'!$G$2:$G$40,MATCH(MIN(ABS(AH292-'ICL3'!$F$2:$F$40)),ABS(AH292-'ICL3'!$F$2:$F$40),0))</f>
        <v>72</v>
      </c>
      <c r="U292" s="1">
        <f t="array" ref="U292">INDEX('ICL3'!$H$2:$H$40,MATCH(MIN(ABS(AH292-'ICL3'!$F$2:$F$40)),ABS(AH292-'ICL3'!$F$2:$F$40),0))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 t="str">
        <f>IF(ISERROR(MATCH(A292,'SegEnds_Xtal_Prot#'!B:B, 0)), "NoXtal", "Xtal")</f>
        <v>NoXtal</v>
      </c>
    </row>
    <row r="293" spans="1:36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10">
        <v>56</v>
      </c>
      <c r="O293" s="89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INDEX('ICL3'!$G$2:$G$40,MATCH(MIN(ABS(AH293-'ICL3'!$F$2:$F$40)),ABS(AH293-'ICL3'!$F$2:$F$40),0))</f>
        <v>72</v>
      </c>
      <c r="U293" s="1">
        <f t="array" ref="U293">INDEX('ICL3'!$H$2:$H$40,MATCH(MIN(ABS(AH293-'ICL3'!$F$2:$F$40)),ABS(AH293-'ICL3'!$F$2:$F$40),0))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 t="str">
        <f>IF(ISERROR(MATCH(A293,'SegEnds_Xtal_Prot#'!B:B, 0)), "NoXtal", "Xtal")</f>
        <v>NoXtal</v>
      </c>
    </row>
    <row r="294" spans="1:36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 t="str">
        <f>IF(ISERROR(MATCH(A294,'SegEnds_Xtal_Prot#'!B:B, 0)), "NoXtal", "Xtal")</f>
        <v>NoXtal</v>
      </c>
    </row>
    <row r="295" spans="1:36" x14ac:dyDescent="0.2">
      <c r="A295" s="1" t="s">
        <v>215</v>
      </c>
      <c r="B295" s="1" t="str">
        <f>VLOOKUP(A295,Xtal_Templ!A:B,2,FALSE)</f>
        <v>5ht1b_human</v>
      </c>
      <c r="C295" s="5">
        <f>VLOOKUP($B295&amp;"__wt",'SegEnds_Xtal_BW#'!$A:$Z,3,FALSE)</f>
        <v>28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35</v>
      </c>
      <c r="T295" s="1">
        <f t="array" ref="T295">INDEX('ICL3'!$G$2:$G$40,MATCH(MIN(ABS(AH295-'ICL3'!$F$2:$F$40)),ABS(AH295-'ICL3'!$F$2:$F$40),0))</f>
        <v>72</v>
      </c>
      <c r="U295" s="1">
        <f t="array" ref="U295">INDEX('ICL3'!$H$2:$H$40,MATCH(MIN(ABS(AH295-'ICL3'!$F$2:$F$40)),ABS(AH295-'ICL3'!$F$2:$F$40),0))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 t="str">
        <f>IF(ISERROR(MATCH(A295,'SegEnds_Xtal_Prot#'!B:B, 0)), "NoXtal", "Xtal")</f>
        <v>NoXtal</v>
      </c>
    </row>
    <row r="296" spans="1:36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INDEX('ICL3'!$G$2:$G$40,MATCH(MIN(ABS(AH296-'ICL3'!$F$2:$F$40)),ABS(AH296-'ICL3'!$F$2:$F$40),0))</f>
        <v>74</v>
      </c>
      <c r="U296" s="1">
        <f t="array" ref="U296">INDEX('ICL3'!$H$2:$H$40,MATCH(MIN(ABS(AH296-'ICL3'!$F$2:$F$40)),ABS(AH296-'ICL3'!$F$2:$F$40),0))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 t="str">
        <f>IF(ISERROR(MATCH(A296,'SegEnds_Xtal_Prot#'!B:B, 0)), "NoXtal", "Xtal")</f>
        <v>NoXtal</v>
      </c>
    </row>
    <row r="297" spans="1:36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9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INDEX('ICL3'!$G$2:$G$40,MATCH(MIN(ABS(AH297-'ICL3'!$F$2:$F$40)),ABS(AH297-'ICL3'!$F$2:$F$40),0))</f>
        <v>76</v>
      </c>
      <c r="U297" s="1">
        <f t="array" ref="U297">INDEX('ICL3'!$H$2:$H$40,MATCH(MIN(ABS(AH297-'ICL3'!$F$2:$F$40)),ABS(AH297-'ICL3'!$F$2:$F$40),0))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 t="str">
        <f>IF(ISERROR(MATCH(A297,'SegEnds_Xtal_Prot#'!B:B, 0)), "NoXtal", "Xtal")</f>
        <v>NoXtal</v>
      </c>
    </row>
    <row r="298" spans="1:36" s="43" customFormat="1" x14ac:dyDescent="0.2">
      <c r="A298" s="43" t="s">
        <v>403</v>
      </c>
      <c r="B298" s="43" t="str">
        <f>VLOOKUP(A298,Xtal_Templ!A:B,2,FALSE)</f>
        <v>crfr1_human</v>
      </c>
      <c r="C298" s="44">
        <f>VLOOKUP($B298&amp;"__wt",'SegEnds_Xtal_BW#'!$A:$Z,3,FALSE)</f>
        <v>19</v>
      </c>
      <c r="D298" s="43">
        <f>VLOOKUP($B298&amp;"__wt",'SegEnds_Xtal_BW#'!$A:$Z,4,FALSE)</f>
        <v>60</v>
      </c>
      <c r="E298" s="43">
        <f>VLOOKUP($B298&amp;"__wt",'SegEnds_Xtal_BW#'!$A:$Z,5,FALSE)</f>
        <v>48</v>
      </c>
      <c r="F298" s="43">
        <f>VLOOKUP($B298&amp;"__wt",'SegEnds_Xtal_BW#'!$A:$Z,6,FALSE)</f>
        <v>51</v>
      </c>
      <c r="G298" s="43">
        <v>37</v>
      </c>
      <c r="H298" s="103">
        <v>63</v>
      </c>
      <c r="I298" s="43" t="str">
        <f>VLOOKUP($B298&amp;"__wt",'SegEnds_Xtal_BW#'!$A:$Z,9,FALSE)</f>
        <v>-</v>
      </c>
      <c r="J298" s="43" t="str">
        <f>VLOOKUP($B298&amp;"__wt",'SegEnds_Xtal_BW#'!$A:$Z,10,FALSE)</f>
        <v>-</v>
      </c>
      <c r="K298" s="118">
        <v>22</v>
      </c>
      <c r="L298" s="43">
        <f>VLOOKUP($B298&amp;"__wt",'SegEnds_Xtal_BW#'!$A:$Z,12,FALSE)</f>
        <v>56</v>
      </c>
      <c r="M298" s="43" t="str">
        <f>VLOOKUP($B298&amp;"__wt",'SegEnds_Xtal_BW#'!$A:$Z,13,FALSE)</f>
        <v>-</v>
      </c>
      <c r="N298" s="103" t="str">
        <f>VLOOKUP($B298&amp;"__wt",'SegEnds_Xtal_BW#'!$A:$Z,14,FALSE)</f>
        <v>-</v>
      </c>
      <c r="O298" s="91">
        <f>VLOOKUP($B298&amp;"__wt",'SegEnds_Xtal_BW#'!$A:$Z,15,FALSE)</f>
        <v>40</v>
      </c>
      <c r="P298" s="43">
        <f>VLOOKUP($B298&amp;"__wt",'SegEnds_Xtal_BW#'!$A:$Z,16,FALSE)</f>
        <v>68</v>
      </c>
      <c r="Q298" s="43">
        <f>VLOOKUP($B298&amp;"__wt",'SegEnds_Xtal_BW#'!$A:$Z,17,FALSE)</f>
        <v>50</v>
      </c>
      <c r="R298" s="43">
        <f>VLOOKUP($B298&amp;"__wt",'SegEnds_Xtal_BW#'!$A:$Z,18,FALSE)</f>
        <v>52</v>
      </c>
      <c r="S298" s="118">
        <v>39</v>
      </c>
      <c r="T298" s="43">
        <f>VLOOKUP($B298&amp;"__wt",'SegEnds_Xtal_BW#'!$A:$Z,20,FALSE)</f>
        <v>69</v>
      </c>
      <c r="U298" s="43">
        <f>VLOOKUP($B298&amp;"__wt",'SegEnds_Xtal_BW#'!$A:$Z,21,FALSE)</f>
        <v>25</v>
      </c>
      <c r="V298" s="4">
        <f>VLOOKUP($B298&amp;"__wt",'SegEnds_Xtal_BW#'!$A:$Z,22,FALSE)</f>
        <v>53</v>
      </c>
      <c r="W298" s="43">
        <v>29</v>
      </c>
      <c r="X298" s="43">
        <f>VLOOKUP($B298&amp;"__wt",'SegEnds_Xtal_BW#'!$A:$Z,24,FALSE)</f>
        <v>56</v>
      </c>
      <c r="Y298" s="43">
        <f>VLOOKUP($B298&amp;"__wt",'SegEnds_Xtal_BW#'!$A:$Z,25,FALSE)</f>
        <v>47</v>
      </c>
      <c r="Z298" s="43">
        <f>VLOOKUP($B298&amp;"__wt",'SegEnds_Xtal_BW#'!$A:$Z,26,FALSE)</f>
        <v>72</v>
      </c>
      <c r="AA298" s="45" t="str">
        <f>VLOOKUP(A298,Classification!A:B,2,FALSE)</f>
        <v>B1</v>
      </c>
      <c r="AB298" s="43">
        <f>VLOOKUP(A298,'SegEnds_NonXtal_Prot#'!A:AL,10,FALSE)-VLOOKUP(A298,'SegEnds_NonXtal_Prot#'!A:AL,7,FALSE)</f>
        <v>15</v>
      </c>
      <c r="AC298" s="43" t="e">
        <f>VLOOKUP(A298,'SegEnds_NonXtal_Prot#'!A:AL,13,FALSE)-VLOOKUP(A298,'SegEnds_NonXtal_Prot#'!A:AL,10,FALSE)</f>
        <v>#VALUE!</v>
      </c>
      <c r="AD298" s="43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3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3">
        <f>VLOOKUP(A298,'SegEnds_NonXtal_Prot#'!A:AL,31,FALSE)-VLOOKUP(A298,'SegEnds_NonXtal_Prot#'!A:AL,28,FALSE)</f>
        <v>50</v>
      </c>
      <c r="AI298" s="43">
        <f>VLOOKUP(A298,'SegEnds_NonXtal_Prot#'!A:AL,34,FALSE)-VLOOKUP(A298,'SegEnds_NonXtal_Prot#'!A:AL,31,FALSE)</f>
        <v>31</v>
      </c>
      <c r="AJ298" s="4" t="str">
        <f>IF(ISERROR(MATCH(A298,'SegEnds_Xtal_Prot#'!B:B, 0)), "NoXtal", "Xtal")</f>
        <v>NoXtal</v>
      </c>
    </row>
    <row r="299" spans="1:36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7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0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Xtal</v>
      </c>
    </row>
    <row r="300" spans="1:36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7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7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7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 t="str">
        <f>IF(ISERROR(MATCH(A300,'SegEnds_Xtal_Prot#'!B:B, 0)), "NoXtal", "Xtal")</f>
        <v>Xtal</v>
      </c>
    </row>
    <row r="301" spans="1:36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7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10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9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10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10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NoXtal</v>
      </c>
    </row>
    <row r="302" spans="1:36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0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 t="str">
        <f>IF(ISERROR(MATCH(A302,'SegEnds_Xtal_Prot#'!B:B, 0)), "NoXtal", "Xtal")</f>
        <v>NoXtal</v>
      </c>
    </row>
    <row r="303" spans="1:36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7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0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0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 t="str">
        <f>IF(ISERROR(MATCH(A303,'SegEnds_Xtal_Prot#'!B:B, 0)), "NoXtal", "Xtal")</f>
        <v>NoXtal</v>
      </c>
    </row>
    <row r="304" spans="1:36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7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7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 t="str">
        <f>IF(ISERROR(MATCH(A304,'SegEnds_Xtal_Prot#'!B:B, 0)), "NoXtal", "Xtal")</f>
        <v>NoXtal</v>
      </c>
    </row>
    <row r="305" spans="1:36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7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0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7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7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4" t="str">
        <f>IF(ISERROR(MATCH(A306,'SegEnds_Xtal_Prot#'!B:B, 0)), "NoXtal", "Xtal")</f>
        <v>NoXtal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0">
        <v>39</v>
      </c>
      <c r="T307" s="4">
        <f>VLOOKUP($B307&amp;"__wt",'SegEnds_Xtal_BW#'!$A:$Z,20,FALSE)</f>
        <v>71</v>
      </c>
      <c r="U307" s="117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7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7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4" t="str">
        <f>IF(ISERROR(MATCH(A308,'SegEnds_Xtal_Prot#'!B:B, 0)), "NoXtal", "Xtal")</f>
        <v>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0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0">
        <v>39</v>
      </c>
      <c r="T310" s="4">
        <f>VLOOKUP($B310&amp;"__wt",'SegEnds_Xtal_BW#'!$A:$Z,20,FALSE)</f>
        <v>71</v>
      </c>
      <c r="U310" s="117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7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7">
        <v>67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">
        <v>18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90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7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1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4" t="str">
        <f>IF(ISERROR(MATCH(A312,'SegEnds_Xtal_Prot#'!B:B, 0)), "NoXtal", "Xtal")</f>
        <v>NoXtal</v>
      </c>
    </row>
    <row r="313" spans="1:36" s="46" customFormat="1" x14ac:dyDescent="0.2">
      <c r="A313" s="46" t="s">
        <v>409</v>
      </c>
      <c r="B313" s="46" t="str">
        <f>VLOOKUP(A313,Xtal_Templ!A:B,2,FALSE)</f>
        <v>glp1r_human</v>
      </c>
      <c r="C313" s="47">
        <f>VLOOKUP($B313&amp;"__wt",'SegEnds_Xtal_BW#'!$A:$Z,3,FALSE)</f>
        <v>29</v>
      </c>
      <c r="D313" s="46">
        <f>VLOOKUP($B313&amp;"__wt",'SegEnds_Xtal_BW#'!$A:$Z,4,FALSE)</f>
        <v>60</v>
      </c>
      <c r="E313" s="46">
        <f>VLOOKUP($B313&amp;"__wt",'SegEnds_Xtal_BW#'!$A:$Z,5,FALSE)</f>
        <v>48</v>
      </c>
      <c r="F313" s="46">
        <f>VLOOKUP($B313&amp;"__wt",'SegEnds_Xtal_BW#'!$A:$Z,6,FALSE)</f>
        <v>51</v>
      </c>
      <c r="G313" s="46">
        <v>37</v>
      </c>
      <c r="H313" s="119">
        <v>67</v>
      </c>
      <c r="I313" s="46" t="str">
        <f>VLOOKUP($B313&amp;"__wt",'SegEnds_Xtal_BW#'!$A:$Z,9,FALSE)</f>
        <v>-</v>
      </c>
      <c r="J313" s="46" t="str">
        <f>VLOOKUP($B313&amp;"__wt",'SegEnds_Xtal_BW#'!$A:$Z,10,FALSE)</f>
        <v>-</v>
      </c>
      <c r="K313" s="104">
        <v>18</v>
      </c>
      <c r="L313" s="46">
        <f>VLOOKUP($B313&amp;"__wt",'SegEnds_Xtal_BW#'!$A:$Z,12,FALSE)</f>
        <v>56</v>
      </c>
      <c r="M313" s="46" t="str">
        <f>VLOOKUP($B313&amp;"__wt",'SegEnds_Xtal_BW#'!$A:$Z,13,FALSE)</f>
        <v>-</v>
      </c>
      <c r="N313" s="104" t="str">
        <f>VLOOKUP($B313&amp;"__wt",'SegEnds_Xtal_BW#'!$A:$Z,14,FALSE)</f>
        <v>-</v>
      </c>
      <c r="O313" s="92">
        <f>VLOOKUP($B313&amp;"__wt",'SegEnds_Xtal_BW#'!$A:$Z,15,FALSE)</f>
        <v>38</v>
      </c>
      <c r="P313" s="46">
        <f>VLOOKUP($B313&amp;"__wt",'SegEnds_Xtal_BW#'!$A:$Z,16,FALSE)</f>
        <v>68</v>
      </c>
      <c r="Q313" s="46">
        <f>VLOOKUP($B313&amp;"__wt",'SegEnds_Xtal_BW#'!$A:$Z,17,FALSE)</f>
        <v>50</v>
      </c>
      <c r="R313" s="46">
        <f>VLOOKUP($B313&amp;"__wt",'SegEnds_Xtal_BW#'!$A:$Z,18,FALSE)</f>
        <v>52</v>
      </c>
      <c r="S313" s="119">
        <v>39</v>
      </c>
      <c r="T313" s="46">
        <v>69</v>
      </c>
      <c r="U313" s="46">
        <v>25</v>
      </c>
      <c r="V313" s="46">
        <f>VLOOKUP($B313&amp;"__wt",'SegEnds_Xtal_BW#'!$A:$Z,22,FALSE)</f>
        <v>53</v>
      </c>
      <c r="W313" s="46">
        <v>28</v>
      </c>
      <c r="X313" s="46">
        <f>VLOOKUP($B313&amp;"__wt",'SegEnds_Xtal_BW#'!$A:$Z,24,FALSE)</f>
        <v>56</v>
      </c>
      <c r="Y313" s="46">
        <f>VLOOKUP($B313&amp;"__wt",'SegEnds_Xtal_BW#'!$A:$Z,25,FALSE)</f>
        <v>47</v>
      </c>
      <c r="Z313" s="46">
        <f>VLOOKUP($B313&amp;"__wt",'SegEnds_Xtal_BW#'!$A:$Z,26,FALSE)</f>
        <v>72</v>
      </c>
      <c r="AA313" s="48" t="str">
        <f>VLOOKUP(A313,Classification!A:B,2,FALSE)</f>
        <v>B1</v>
      </c>
      <c r="AB313" s="46">
        <f>VLOOKUP(A313,'SegEnds_NonXtal_Prot#'!A:AL,10,FALSE)-VLOOKUP(A313,'SegEnds_NonXtal_Prot#'!A:AL,7,FALSE)</f>
        <v>15</v>
      </c>
      <c r="AC313" s="46" t="e">
        <f>VLOOKUP(A313,'SegEnds_NonXtal_Prot#'!A:AL,13,FALSE)-VLOOKUP(A313,'SegEnds_NonXtal_Prot#'!A:AL,10,FALSE)</f>
        <v>#VALUE!</v>
      </c>
      <c r="AD313" s="46">
        <f>VLOOKUP(A313,'SegEnds_NonXtal_Prot#'!A:AL,16,FALSE)-VLOOKUP(A313,'SegEnds_NonXtal_Prot#'!A:AL,10,FALSE)</f>
        <v>76</v>
      </c>
      <c r="AE313" s="46" t="e">
        <f>VLOOKUP(A313,'SegEnds_NonXtal_Prot#'!A:AL,22,FALSE)-VLOOKUP(A313,'SegEnds_NonXtal_Prot#'!A:AL,19,FALSE)</f>
        <v>#VALUE!</v>
      </c>
      <c r="AF313" s="46">
        <f>VLOOKUP(A313,'SegEnds_NonXtal_Prot#'!A:AL,28,FALSE)-VLOOKUP(A313,'SegEnds_NonXtal_Prot#'!A:AL,25,FALSE)</f>
        <v>19</v>
      </c>
      <c r="AG313" s="46">
        <f>VLOOKUP(A313,'SegEnds_NonXtal_Prot#'!A:AL,28,FALSE)-VLOOKUP(A313,'SegEnds_NonXtal_Prot#'!A:AL,22,FALSE)</f>
        <v>41</v>
      </c>
      <c r="AH313" s="46">
        <f>VLOOKUP(A313,'SegEnds_NonXtal_Prot#'!A:AL,31,FALSE)-VLOOKUP(A313,'SegEnds_NonXtal_Prot#'!A:AL,28,FALSE)</f>
        <v>53</v>
      </c>
      <c r="AI313" s="46">
        <f>VLOOKUP(A313,'SegEnds_NonXtal_Prot#'!A:AL,34,FALSE)-VLOOKUP(A313,'SegEnds_NonXtal_Prot#'!A:AL,31,FALSE)</f>
        <v>33</v>
      </c>
      <c r="AJ313" s="46" t="str">
        <f>IF(ISERROR(MATCH(A313,'SegEnds_Xtal_Prot#'!B:B, 0)), "NoXtal", "Xtal")</f>
        <v>NoXtal</v>
      </c>
    </row>
    <row r="314" spans="1:36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 t="str">
        <f>IF(ISERROR(MATCH(A314,'SegEnds_Xtal_Prot#'!B:B, 0)), "NoXtal", "Xtal")</f>
        <v>NoXtal</v>
      </c>
    </row>
    <row r="315" spans="1:36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1183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 t="str">
        <f>IF(ISERROR(MATCH(A317,'SegEnds_Xtal_Prot#'!B:B, 0)), "NoXtal", "Xtal")</f>
        <v>NoXtal</v>
      </c>
    </row>
    <row r="318" spans="1:36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90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 t="str">
        <f>IF(ISERROR(MATCH(A321,'SegEnds_Xtal_Prot#'!B:B, 0)), "NoXtal", "Xtal")</f>
        <v>NoXtal</v>
      </c>
    </row>
    <row r="322" spans="1:36" x14ac:dyDescent="0.2">
      <c r="A322" s="1" t="s">
        <v>1199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 t="str">
        <f>IF(ISERROR(MATCH(A331,'SegEnds_Xtal_Prot#'!B:B, 0)), "NoXtal", "Xtal")</f>
        <v>NoXtal</v>
      </c>
    </row>
    <row r="332" spans="1:36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 t="str">
        <f>IF(ISERROR(MATCH(A332,'SegEnds_Xtal_Prot#'!B:B, 0)), "NoXtal", "Xtal")</f>
        <v>NoXtal</v>
      </c>
    </row>
    <row r="333" spans="1:36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90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7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 t="str">
        <f>IF(ISERROR(MATCH(A333,'SegEnds_Xtal_Prot#'!B:B, 0)), "NoXtal", "Xtal")</f>
        <v>NoXtal</v>
      </c>
    </row>
    <row r="334" spans="1:36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90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 t="str">
        <f>IF(ISERROR(MATCH(A334,'SegEnds_Xtal_Prot#'!B:B, 0)), "NoXtal", "Xtal")</f>
        <v>NoXtal</v>
      </c>
    </row>
    <row r="335" spans="1:36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 t="str">
        <f>IF(ISERROR(MATCH(A335,'SegEnds_Xtal_Prot#'!B:B, 0)), "NoXtal", "Xtal")</f>
        <v>NoXtal</v>
      </c>
    </row>
    <row r="336" spans="1:36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90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90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 t="str">
        <f>IF(ISERROR(MATCH(A341,'SegEnds_Xtal_Prot#'!B:B, 0)), "NoXtal", "Xtal")</f>
        <v>NoXtal</v>
      </c>
    </row>
    <row r="342" spans="1:36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 t="str">
        <f>IF(ISERROR(MATCH(A342,'SegEnds_Xtal_Prot#'!B:B, 0)), "NoXtal", "Xtal")</f>
        <v>NoXtal</v>
      </c>
    </row>
    <row r="343" spans="1:36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10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str">
        <f>IF(ISERROR(MATCH(A343,'SegEnds_Xtal_Prot#'!B:B, 0)), "NoXtal", "Xtal")</f>
        <v>NoXtal</v>
      </c>
    </row>
    <row r="344" spans="1:36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 t="str">
        <f>IF(ISERROR(MATCH(A344,'SegEnds_Xtal_Prot#'!B:B, 0)), "NoXtal", "Xtal")</f>
        <v>NoXtal</v>
      </c>
    </row>
    <row r="345" spans="1:36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s="43" customFormat="1" x14ac:dyDescent="0.2">
      <c r="A347" s="43" t="s">
        <v>105</v>
      </c>
      <c r="B347" s="43" t="str">
        <f>VLOOKUP(A347,Xtal_Templ!A:B,2,FALSE)</f>
        <v>grm5_human</v>
      </c>
      <c r="C347" s="44">
        <f>VLOOKUP($B347&amp;"__wt",'SegEnds_Xtal_BW#'!$A:$Z,3,FALSE)</f>
        <v>34</v>
      </c>
      <c r="D347" s="43">
        <f>VLOOKUP($B347&amp;"__wt",'SegEnds_Xtal_BW#'!$A:$Z,4,FALSE)</f>
        <v>60</v>
      </c>
      <c r="E347" s="43">
        <f>VLOOKUP($B347&amp;"__wt",'SegEnds_Xtal_BW#'!$A:$Z,5,FALSE)</f>
        <v>47</v>
      </c>
      <c r="F347" s="43">
        <f>VLOOKUP($B347&amp;"__wt",'SegEnds_Xtal_BW#'!$A:$Z,6,FALSE)</f>
        <v>53</v>
      </c>
      <c r="G347" s="43">
        <v>39</v>
      </c>
      <c r="H347" s="103">
        <f>VLOOKUP($B347&amp;"__wt",'SegEnds_Xtal_BW#'!$A:$Z,8,FALSE)</f>
        <v>61</v>
      </c>
      <c r="I347" s="43" t="str">
        <f>VLOOKUP($B347&amp;"__wt",'SegEnds_Xtal_BW#'!$A:$Z,9,FALSE)</f>
        <v>-</v>
      </c>
      <c r="J347" s="43" t="str">
        <f>VLOOKUP($B347&amp;"__wt",'SegEnds_Xtal_BW#'!$A:$Z,10,FALSE)</f>
        <v>-</v>
      </c>
      <c r="K347" s="103">
        <f>VLOOKUP($B347&amp;"__wt",'SegEnds_Xtal_BW#'!$A:$Z,11,FALSE)</f>
        <v>22</v>
      </c>
      <c r="L347" s="43">
        <f>VLOOKUP($B347&amp;"__wt",'SegEnds_Xtal_BW#'!$A:$Z,12,FALSE)</f>
        <v>54</v>
      </c>
      <c r="M347" s="43" t="str">
        <f>VLOOKUP($B347&amp;"__wt",'SegEnds_Xtal_BW#'!$A:$Z,13,FALSE)</f>
        <v>-</v>
      </c>
      <c r="N347" s="103" t="str">
        <f>VLOOKUP($B347&amp;"__wt",'SegEnds_Xtal_BW#'!$A:$Z,14,FALSE)</f>
        <v>-</v>
      </c>
      <c r="O347" s="91">
        <f>VLOOKUP($B347&amp;"__wt",'SegEnds_Xtal_BW#'!$A:$Z,15,FALSE)</f>
        <v>38</v>
      </c>
      <c r="P347" s="43">
        <f>VLOOKUP($B347&amp;"__wt",'SegEnds_Xtal_BW#'!$A:$Z,16,FALSE)</f>
        <v>64</v>
      </c>
      <c r="Q347" s="43">
        <f>VLOOKUP($B347&amp;"__wt",'SegEnds_Xtal_BW#'!$A:$Z,17,FALSE)</f>
        <v>50</v>
      </c>
      <c r="R347" s="43">
        <f>VLOOKUP($B347&amp;"__wt",'SegEnds_Xtal_BW#'!$A:$Z,18,FALSE)</f>
        <v>52</v>
      </c>
      <c r="S347" s="43">
        <f>VLOOKUP($B347&amp;"__wt",'SegEnds_Xtal_BW#'!$A:$Z,19,FALSE)</f>
        <v>37</v>
      </c>
      <c r="T347" s="43">
        <f>VLOOKUP($B347&amp;"__wt",'SegEnds_Xtal_BW#'!$A:$Z,20,FALSE)</f>
        <v>61</v>
      </c>
      <c r="U347" s="43">
        <f>VLOOKUP($B347&amp;"__wt",'SegEnds_Xtal_BW#'!$A:$Z,21,FALSE)</f>
        <v>33</v>
      </c>
      <c r="V347" s="43">
        <f>VLOOKUP($B347&amp;"__wt",'SegEnds_Xtal_BW#'!$A:$Z,22,FALSE)</f>
        <v>57</v>
      </c>
      <c r="W347" s="43">
        <f>VLOOKUP($B347&amp;"__wt",'SegEnds_Xtal_BW#'!$A:$Z,23,FALSE)</f>
        <v>34</v>
      </c>
      <c r="X347" s="43">
        <f>VLOOKUP($B347&amp;"__wt",'SegEnds_Xtal_BW#'!$A:$Z,24,FALSE)</f>
        <v>64</v>
      </c>
      <c r="Y347" s="43">
        <f>VLOOKUP($B347&amp;"__wt",'SegEnds_Xtal_BW#'!$A:$Z,25,FALSE)</f>
        <v>46</v>
      </c>
      <c r="Z347" s="43">
        <f>VLOOKUP($B347&amp;"__wt",'SegEnds_Xtal_BW#'!$A:$Z,26,FALSE)</f>
        <v>57</v>
      </c>
      <c r="AA347" s="45" t="str">
        <f>VLOOKUP(A347,Classification!A:B,2,FALSE)</f>
        <v>C</v>
      </c>
      <c r="AB347" s="43">
        <f>VLOOKUP(A347,'SegEnds_NonXtal_Prot#'!A:AL,10,FALSE)-VLOOKUP(A347,'SegEnds_NonXtal_Prot#'!A:AL,7,FALSE)</f>
        <v>15</v>
      </c>
      <c r="AC347" s="43" t="e">
        <f>VLOOKUP(A347,'SegEnds_NonXtal_Prot#'!A:AL,13,FALSE)-VLOOKUP(A347,'SegEnds_NonXtal_Prot#'!A:AL,10,FALSE)</f>
        <v>#VALUE!</v>
      </c>
      <c r="AD347" s="43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3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3">
        <f>VLOOKUP(A347,'SegEnds_NonXtal_Prot#'!A:AL,31,FALSE)-VLOOKUP(A347,'SegEnds_NonXtal_Prot#'!A:AL,28,FALSE)</f>
        <v>37</v>
      </c>
      <c r="AI347" s="43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 t="str">
        <f>IF(ISERROR(MATCH(A348,'SegEnds_Xtal_Prot#'!B:B, 0)), "NoXtal", "Xtal")</f>
        <v>NoXtal</v>
      </c>
    </row>
    <row r="349" spans="1:36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90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37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34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 t="str">
        <f>IF(ISERROR(MATCH(A350,'SegEnds_Xtal_Prot#'!B:B, 0)), "NoXtal", "Xtal")</f>
        <v>NoXtal</v>
      </c>
    </row>
    <row r="351" spans="1:36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 t="str">
        <f>IF(ISERROR(MATCH(A351,'SegEnds_Xtal_Prot#'!B:B, 0)), "NoXtal", "Xtal")</f>
        <v>NoXtal</v>
      </c>
    </row>
    <row r="352" spans="1:36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90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37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34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 t="str">
        <f>IF(ISERROR(MATCH(A352,'SegEnds_Xtal_Prot#'!B:B, 0)), "NoXtal", "Xtal")</f>
        <v>NoXtal</v>
      </c>
    </row>
    <row r="353" spans="1:36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 t="str">
        <f>IF(ISERROR(MATCH(A353,'SegEnds_Xtal_Prot#'!B:B, 0)), "NoXtal", "Xtal")</f>
        <v>NoXtal</v>
      </c>
    </row>
    <row r="354" spans="1:36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 t="str">
        <f>IF(ISERROR(MATCH(A354,'SegEnds_Xtal_Prot#'!B:B, 0)), "NoXtal", "Xtal")</f>
        <v>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 t="str">
        <f>IF(ISERROR(MATCH(A358,'SegEnds_Xtal_Prot#'!B:B, 0)), "NoXtal", "Xtal")</f>
        <v>Xtal</v>
      </c>
    </row>
    <row r="359" spans="1:36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 t="str">
        <f>IF(ISERROR(MATCH(A362,'SegEnds_Xtal_Prot#'!B:B, 0)), "NoXtal", "Xtal")</f>
        <v>NoXtal</v>
      </c>
    </row>
    <row r="363" spans="1:36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 t="str">
        <f>IF(ISERROR(MATCH(A363,'SegEnds_Xtal_Prot#'!B:B, 0)), "NoXtal", "Xtal")</f>
        <v>NoXtal</v>
      </c>
    </row>
    <row r="364" spans="1:36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 t="str">
        <f>IF(ISERROR(MATCH(A366,'SegEnds_Xtal_Prot#'!B:B, 0)), "NoXtal", "Xtal")</f>
        <v>NoXtal</v>
      </c>
    </row>
    <row r="367" spans="1:36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 t="str">
        <f>IF(ISERROR(MATCH(A367,'SegEnds_Xtal_Prot#'!B:B, 0)), "NoXtal", "Xtal")</f>
        <v>NoXtal</v>
      </c>
    </row>
    <row r="368" spans="1:36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37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34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 t="str">
        <f>IF(ISERROR(MATCH(A370,'SegEnds_Xtal_Prot#'!B:B, 0)), "NoXtal", "Xtal")</f>
        <v>NoXtal</v>
      </c>
    </row>
    <row r="371" spans="1:36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 t="str">
        <f>IF(ISERROR(MATCH(A371,'SegEnds_Xtal_Prot#'!B:B, 0)), "NoXtal", "Xtal")</f>
        <v>NoXtal</v>
      </c>
    </row>
    <row r="372" spans="1:36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 t="str">
        <f>IF(ISERROR(MATCH(A372,'SegEnds_Xtal_Prot#'!B:B, 0)), "NoXtal", "Xtal")</f>
        <v>NoXtal</v>
      </c>
    </row>
    <row r="373" spans="1:36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 t="str">
        <f>IF(ISERROR(MATCH(A374,'SegEnds_Xtal_Prot#'!B:B, 0)), "NoXtal", "Xtal")</f>
        <v>NoXtal</v>
      </c>
    </row>
    <row r="375" spans="1:36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Xtal</v>
      </c>
    </row>
    <row r="377" spans="1:36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 t="str">
        <f>IF(ISERROR(MATCH(A377,'SegEnds_Xtal_Prot#'!B:B, 0)), "NoXtal", "Xtal")</f>
        <v>NoXtal</v>
      </c>
    </row>
    <row r="378" spans="1:36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 t="str">
        <f>IF(ISERROR(MATCH(A378,'SegEnds_Xtal_Prot#'!B:B, 0)), "NoXtal", "Xtal")</f>
        <v>NoXtal</v>
      </c>
    </row>
    <row r="379" spans="1:36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29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9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36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35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0">
        <v>61</v>
      </c>
      <c r="Q380" s="1" t="s">
        <v>23</v>
      </c>
      <c r="R380" s="1" t="s">
        <v>23</v>
      </c>
      <c r="S380" s="110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9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 t="str">
        <f>IF(ISERROR(MATCH(A383,'SegEnds_Xtal_Prot#'!B:B, 0)), "NoXtal", "Xtal")</f>
        <v>NoXtal</v>
      </c>
    </row>
    <row r="384" spans="1:36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9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90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9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460</v>
      </c>
      <c r="B388" s="1" t="str">
        <f>VLOOKUP(A388,Xtal_Templ!A:B,2,FALSE)</f>
        <v>acm2_human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69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461</v>
      </c>
      <c r="B389" s="1" t="str">
        <f>VLOOKUP(A389,Xtal_Templ!A:B,2,FALSE)</f>
        <v>5ht2b_human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462</v>
      </c>
      <c r="B390" s="1" t="str">
        <f>VLOOKUP(A390,Xtal_Templ!A:B,2,FALSE)</f>
        <v>5ht2b_human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463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469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930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 t="str">
        <f>IF(ISERROR(MATCH(A393,'SegEnds_Xtal_Prot#'!B:B, 0)), "NoXtal", "Xtal")</f>
        <v>NoXtal</v>
      </c>
    </row>
    <row r="394" spans="1:36" x14ac:dyDescent="0.2">
      <c r="A394" s="1" t="s">
        <v>470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471</v>
      </c>
      <c r="B395" s="1" t="str">
        <f>VLOOKUP(A395,Xtal_Templ!A:B,2,FALSE)</f>
        <v>drd3_human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63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456</v>
      </c>
      <c r="B397" s="1" t="str">
        <f>VLOOKUP(A397,Xtal_Templ!A:B,2,FALSE)</f>
        <v>aa2ar_human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57</v>
      </c>
      <c r="O397" s="90">
        <v>38</v>
      </c>
      <c r="P397" s="1">
        <f>VLOOKUP($B397&amp;"__wt",'SegEnds_Xtal_BW#'!$A:$Z,16,FALSE)</f>
        <v>63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 t="str">
        <f>IF(ISERROR(MATCH(A398,'SegEnds_Xtal_Prot#'!B:B, 0)), "NoXtal", "Xtal")</f>
        <v>NoXtal</v>
      </c>
    </row>
    <row r="399" spans="1:36" x14ac:dyDescent="0.2">
      <c r="A399" s="1" t="s">
        <v>458</v>
      </c>
      <c r="B399" s="1" t="str">
        <f>VLOOKUP(A399,Xtal_Templ!A:B,2,FALSE)</f>
        <v>apj_human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52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 t="str">
        <f>IF(ISERROR(MATCH(A399,'SegEnds_Xtal_Prot#'!B:B, 0)), "NoXtal", "Xtal")</f>
        <v>NoXtal</v>
      </c>
    </row>
    <row r="400" spans="1:36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467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 t="str">
        <f>IF(ISERROR(MATCH(A404,'SegEnds_Xtal_Prot#'!B:B, 0)), "NoXtal", "Xtal")</f>
        <v>NoXtal</v>
      </c>
    </row>
    <row r="405" spans="1:36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ednrb_human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52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  <row r="409" spans="1:36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9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 t="str">
        <f>IF(ISERROR(MATCH(A409,'SegEnds_Xtal_Prot#'!B:B, 0)), "NoXtal", "Xtal")</f>
        <v>NoXtal</v>
      </c>
    </row>
  </sheetData>
  <sortState ref="A2:AJ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M250" sqref="M25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adrb2_human</v>
      </c>
      <c r="C5" s="3">
        <f>VLOOKUP($A5,'SegEnds_NonXtal_BW#'!$A:$Z,3,FALSE)+D5-50</f>
        <v>42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332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2</v>
      </c>
      <c r="BA5" s="3">
        <f>IF(ISERROR(LEN(VLOOKUP(A5,Seqs!A:E,2,FALSE))-AL5),"-",LEN(VLOOKUP(A5,Seqs!A:E,2,FALSE))-AL5)</f>
        <v>25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53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33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2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285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3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2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2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2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2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2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2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2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2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2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2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2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2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2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7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2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7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2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7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2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2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2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2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2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2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3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13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76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2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2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2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2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2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2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15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105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2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2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2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2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2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2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2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2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2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2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2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2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2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2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2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2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2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12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2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2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2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17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2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2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14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2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2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13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2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2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2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2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2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2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2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2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2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2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328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154</v>
      </c>
      <c r="AX77" s="3">
        <f t="shared" si="87"/>
        <v>4</v>
      </c>
      <c r="AY77" s="3">
        <f t="shared" si="88"/>
        <v>7</v>
      </c>
      <c r="AZ77" s="3">
        <f t="shared" si="89"/>
        <v>1</v>
      </c>
      <c r="BA77" s="3">
        <f>IF(ISERROR(LEN(VLOOKUP(A77,Seqs!A:E,2,FALSE))-AL77),"-",LEN(VLOOKUP(A77,Seqs!A:E,2,FALSE))-AL77)</f>
        <v>31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2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NoXtal</v>
      </c>
      <c r="AP78" s="3" t="str">
        <f t="shared" si="79"/>
        <v>-</v>
      </c>
      <c r="AQ78" s="3" t="str">
        <f t="shared" si="80"/>
        <v>-</v>
      </c>
      <c r="AR78" s="3">
        <f t="shared" si="81"/>
        <v>3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8</v>
      </c>
      <c r="AX78" s="3">
        <f t="shared" si="87"/>
        <v>5</v>
      </c>
      <c r="AY78" s="3">
        <f t="shared" si="88"/>
        <v>7</v>
      </c>
      <c r="AZ78" s="3">
        <f t="shared" si="89"/>
        <v>1</v>
      </c>
      <c r="BA78" s="3">
        <f>IF(ISERROR(LEN(VLOOKUP(A78,Seqs!A:E,2,FALSE))-AL78),"-",LEN(VLOOKUP(A78,Seqs!A:E,2,FALSE))-AL78)</f>
        <v>32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2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3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8</v>
      </c>
      <c r="AX79" s="3">
        <f t="shared" si="87"/>
        <v>6</v>
      </c>
      <c r="AY79" s="3">
        <f t="shared" si="88"/>
        <v>7</v>
      </c>
      <c r="AZ79" s="3">
        <f t="shared" si="89"/>
        <v>1</v>
      </c>
      <c r="BA79" s="3">
        <f>IF(ISERROR(LEN(VLOOKUP(A79,Seqs!A:E,2,FALSE))-AL79),"-",LEN(VLOOKUP(A79,Seqs!A:E,2,FALSE))-AL79)</f>
        <v>28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2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2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2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2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2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2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2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10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24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2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2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2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2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2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7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47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2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2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2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2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2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2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2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2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2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2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2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2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2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3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19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31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2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3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17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35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2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2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5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31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2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2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2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2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2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3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12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38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2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12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30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2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13</v>
      </c>
      <c r="AW117" s="3">
        <f t="shared" si="86"/>
        <v>10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2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19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2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7">
        <v>52</v>
      </c>
      <c r="K120" s="3">
        <f>VLOOKUP($A120,'SegEnds_NonXtal_BW#'!$A:$Z,8,FALSE)+VLOOKUP($A120,A:AL,10,FALSE)-50</f>
        <v>69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2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6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297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2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7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2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12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250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2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2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2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2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2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2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2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2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2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2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2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2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2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2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43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2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13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30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2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2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14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28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2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2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2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15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24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2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2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2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2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2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2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2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2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2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2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2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2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11</v>
      </c>
      <c r="AW151" s="3">
        <f t="shared" si="128"/>
        <v>8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54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2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10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2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9</v>
      </c>
      <c r="AW153" s="3">
        <f t="shared" si="128"/>
        <v>43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2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3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12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16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2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2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2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2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2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2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2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2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2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2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2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9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2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176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6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37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2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2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2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55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2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2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2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2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2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2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2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2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27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2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2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34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2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2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2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33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2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32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2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2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2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2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2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2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2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2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2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2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2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3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2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2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2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2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2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2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2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2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2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2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2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2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2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2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2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2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2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2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2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2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2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13</v>
      </c>
      <c r="AW221" s="3">
        <f t="shared" si="165"/>
        <v>11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10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2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3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14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73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2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2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2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3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17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18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2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12</v>
      </c>
      <c r="AW226" s="3">
        <f t="shared" si="165"/>
        <v>9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141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2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7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13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39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2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5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76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2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7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2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33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2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2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4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48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2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2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2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2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2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3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61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2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2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cnr1_human</v>
      </c>
      <c r="C240" s="3">
        <f>VLOOKUP($A240,'SegEnds_NonXtal_BW#'!$A:$Z,3,FALSE)+D240-50</f>
        <v>20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2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204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324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13</v>
      </c>
      <c r="AW240" s="3">
        <f t="shared" si="165"/>
        <v>19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19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adrb2_human</v>
      </c>
      <c r="C241" s="3">
        <f>VLOOKUP($A241,'SegEnds_NonXtal_BW#'!$A:$Z,3,FALSE)+D241-50</f>
        <v>16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86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2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162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2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20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2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2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19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adrb2_human</v>
      </c>
      <c r="C243" s="3">
        <f>VLOOKUP($A243,'SegEnds_NonXtal_BW#'!$A:$Z,3,FALSE)+D243-50</f>
        <v>24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94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2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170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2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19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2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2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2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2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2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2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2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2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2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2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2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2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2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2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2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2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2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2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2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cxcr4_human</v>
      </c>
      <c r="C263" s="3">
        <f>VLOOKUP($A263,'SegEnds_NonXtal_BW#'!$A:$Z,3,FALSE)+D263-50</f>
        <v>50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200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320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3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16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5ht1b_human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247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15</v>
      </c>
      <c r="AW268" s="3">
        <f t="shared" si="199"/>
        <v>10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2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2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7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66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32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13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33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5ht2b_human</v>
      </c>
      <c r="C277" s="3">
        <f>VLOOKUP($A277,'SegEnds_NonXtal_BW#'!$A:$Z,3,FALSE)+D277-50</f>
        <v>81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144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217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386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2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12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33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ntr1_rat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183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196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6</v>
      </c>
      <c r="AW278" s="3">
        <f t="shared" si="199"/>
        <v>5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149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6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4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1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6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2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8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5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ox2r_human</v>
      </c>
      <c r="C294" s="3">
        <f>VLOOKUP($A294,'SegEnds_NonXtal_BW#'!$A:$Z,3,FALSE)+D294-50</f>
        <v>61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227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3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8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3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8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glp1r_human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757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crfr1_human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961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770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3</v>
      </c>
      <c r="AX347" s="3">
        <f t="shared" si="228"/>
        <v>9</v>
      </c>
      <c r="AY347" s="3">
        <f t="shared" si="229"/>
        <v>6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767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833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4</v>
      </c>
      <c r="AX348" s="3">
        <f t="shared" si="228"/>
        <v>10</v>
      </c>
      <c r="AY348" s="3">
        <f t="shared" si="229"/>
        <v>8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654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720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4</v>
      </c>
      <c r="AX349" s="3">
        <f t="shared" si="228"/>
        <v>10</v>
      </c>
      <c r="AY349" s="3">
        <f t="shared" si="229"/>
        <v>8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222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288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 t="str">
        <f t="shared" si="226"/>
        <v>-</v>
      </c>
      <c r="AW350" s="3" t="str">
        <f t="shared" si="227"/>
        <v>-</v>
      </c>
      <c r="AX350" s="3">
        <f t="shared" si="228"/>
        <v>11</v>
      </c>
      <c r="AY350" s="3">
        <f t="shared" si="229"/>
        <v>7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3">
        <f>IF(ISERROR(VLOOKUP($A351,'SegEnds_NonXtal_BW#'!$A:$Z,19,FALSE)+VLOOKUP($A351,A:AL,28,FALSE)-50),"-",(VLOOKUP($A351,'SegEnds_NonXtal_BW#'!$A:$Z,19,FALSE)+VLOOKUP($A351,A:AL,28,FALSE)-50))</f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643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10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3">
        <f>IF(ISERROR(VLOOKUP($A352,'SegEnds_NonXtal_BW#'!$A:$Z,19,FALSE)+VLOOKUP($A352,A:AL,28,FALSE)-50),"-",(VLOOKUP($A352,'SegEnds_NonXtal_BW#'!$A:$Z,19,FALSE)+VLOOKUP($A352,A:AL,28,FALSE)-50))</f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607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10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197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268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2</v>
      </c>
      <c r="AX353" s="3">
        <f t="shared" si="228"/>
        <v>11</v>
      </c>
      <c r="AY353" s="3">
        <f t="shared" si="229"/>
        <v>12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206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276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2</v>
      </c>
      <c r="AX354" s="3">
        <f t="shared" si="228"/>
        <v>11</v>
      </c>
      <c r="AY354" s="3">
        <f t="shared" si="229"/>
        <v>11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 t="str">
        <f>IF(ISERROR(VLOOKUP($A355,'SegEnds_NonXtal_BW#'!$A:$Z,17,FALSE)+VLOOKUP($A355,A:AL,25,FALSE)-50),"-",(VLOOKUP($A355,'SegEnds_NonXtal_BW#'!$A:$Z,17,FALSE)+VLOOKUP($A355,A:AL,25,FALSE)-50))</f>
        <v>-</v>
      </c>
      <c r="Y355" s="3" t="s">
        <v>23</v>
      </c>
      <c r="Z355" s="3" t="str">
        <f>IF(ISERROR(VLOOKUP($A355,'SegEnds_NonXtal_BW#'!$A:$Z,18,FALSE)+VLOOKUP($A355,A:AL,25,FALSE)-50),"-",(VLOOKUP($A355,'SegEnds_NonXtal_BW#'!$A:$Z,18,FALSE)+VLOOKUP($A355,A:AL,25,FALSE)-50))</f>
        <v>-</v>
      </c>
      <c r="AA355" s="3">
        <f>IF(ISERROR(VLOOKUP($A355,'SegEnds_NonXtal_BW#'!$A:$Z,19,FALSE)+VLOOKUP($A355,A:AL,28,FALSE)-50),"-",(VLOOKUP($A355,'SegEnds_NonXtal_BW#'!$A:$Z,19,FALSE)+VLOOKUP($A355,A:AL,28,FALSE)-50))</f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238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 t="str">
        <f t="shared" si="226"/>
        <v>-</v>
      </c>
      <c r="AW355" s="3" t="str">
        <f t="shared" si="227"/>
        <v>-</v>
      </c>
      <c r="AX355" s="3">
        <f t="shared" si="228"/>
        <v>11</v>
      </c>
      <c r="AY355" s="3">
        <f t="shared" si="229"/>
        <v>12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749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810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3</v>
      </c>
      <c r="AX356" s="3">
        <f t="shared" si="228"/>
        <v>7</v>
      </c>
      <c r="AY356" s="3">
        <f t="shared" si="229"/>
        <v>6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750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811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2</v>
      </c>
      <c r="AX357" s="3">
        <f t="shared" si="228"/>
        <v>9</v>
      </c>
      <c r="AY357" s="3">
        <f t="shared" si="229"/>
        <v>4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grm5_human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725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790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2</v>
      </c>
      <c r="AX358" s="3">
        <f t="shared" si="228"/>
        <v>9</v>
      </c>
      <c r="AY358" s="3">
        <f t="shared" si="229"/>
        <v>8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734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799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2</v>
      </c>
      <c r="AX359" s="3">
        <f t="shared" si="228"/>
        <v>9</v>
      </c>
      <c r="AY359" s="3">
        <f t="shared" si="229"/>
        <v>8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750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818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2</v>
      </c>
      <c r="AX360" s="3">
        <f t="shared" si="228"/>
        <v>9</v>
      </c>
      <c r="AY360" s="3">
        <f t="shared" si="229"/>
        <v>11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737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2</v>
      </c>
      <c r="AX361" s="3">
        <f t="shared" si="228"/>
        <v>9</v>
      </c>
      <c r="AY361" s="3">
        <f t="shared" si="229"/>
        <v>4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816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2</v>
      </c>
      <c r="AX362" s="3">
        <f t="shared" si="228"/>
        <v>9</v>
      </c>
      <c r="AY362" s="3">
        <f t="shared" si="229"/>
        <v>11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753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821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2</v>
      </c>
      <c r="AX363" s="3">
        <f t="shared" si="228"/>
        <v>9</v>
      </c>
      <c r="AY363" s="3">
        <f t="shared" si="229"/>
        <v>11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746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814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2</v>
      </c>
      <c r="AX364" s="3">
        <f t="shared" si="228"/>
        <v>9</v>
      </c>
      <c r="AY364" s="3">
        <f t="shared" si="229"/>
        <v>11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174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241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8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3</v>
      </c>
      <c r="AX366" s="3">
        <f t="shared" si="228"/>
        <v>9</v>
      </c>
      <c r="AY366" s="3">
        <f t="shared" si="229"/>
        <v>6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725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788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3</v>
      </c>
      <c r="AX367" s="3">
        <f t="shared" si="228"/>
        <v>9</v>
      </c>
      <c r="AY367" s="3">
        <f t="shared" si="229"/>
        <v>6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727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790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3</v>
      </c>
      <c r="AX368" s="3">
        <f t="shared" si="228"/>
        <v>9</v>
      </c>
      <c r="AY368" s="3">
        <f t="shared" si="229"/>
        <v>6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313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484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600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5</v>
      </c>
      <c r="AX369" s="3">
        <f t="shared" si="228"/>
        <v>7</v>
      </c>
      <c r="AY369" s="3">
        <f t="shared" si="229"/>
        <v>19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221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391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501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5</v>
      </c>
      <c r="AX370" s="3">
        <f t="shared" si="228"/>
        <v>7</v>
      </c>
      <c r="AY370" s="3">
        <f t="shared" si="229"/>
        <v>13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238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409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518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5</v>
      </c>
      <c r="AX371" s="3">
        <f t="shared" si="228"/>
        <v>7</v>
      </c>
      <c r="AY371" s="3">
        <f t="shared" si="229"/>
        <v>12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196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368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477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5</v>
      </c>
      <c r="AX372" s="3">
        <f t="shared" si="228"/>
        <v>7</v>
      </c>
      <c r="AY372" s="3">
        <f t="shared" si="229"/>
        <v>12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213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384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474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5</v>
      </c>
      <c r="AX373" s="3">
        <f t="shared" si="228"/>
        <v>7</v>
      </c>
      <c r="AY373" s="3">
        <f t="shared" si="229"/>
        <v>5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229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397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500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5</v>
      </c>
      <c r="AX374" s="3">
        <f t="shared" si="228"/>
        <v>7</v>
      </c>
      <c r="AY374" s="3">
        <f t="shared" si="229"/>
        <v>6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192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364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5</v>
      </c>
      <c r="AX375" s="3">
        <f t="shared" si="228"/>
        <v>7</v>
      </c>
      <c r="AY375" s="3">
        <f t="shared" si="229"/>
        <v>12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247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418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527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5</v>
      </c>
      <c r="AX376" s="3">
        <f t="shared" si="228"/>
        <v>7</v>
      </c>
      <c r="AY376" s="3">
        <f t="shared" si="229"/>
        <v>12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271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478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583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5</v>
      </c>
      <c r="AX377" s="3">
        <f t="shared" si="228"/>
        <v>9</v>
      </c>
      <c r="AY377" s="3">
        <f t="shared" si="229"/>
        <v>6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225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395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507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5</v>
      </c>
      <c r="AX378" s="3">
        <f t="shared" si="228"/>
        <v>7</v>
      </c>
      <c r="AY378" s="3">
        <f t="shared" si="229"/>
        <v>15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397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515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5</v>
      </c>
      <c r="AX379" s="3">
        <f t="shared" si="228"/>
        <v>9</v>
      </c>
      <c r="AY379" s="3">
        <f t="shared" si="229"/>
        <v>19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5ht2b_human</v>
      </c>
      <c r="C383" s="3">
        <f>VLOOKUP($A383,'SegEnds_NonXtal_BW#'!$A:$Z,3,FALSE)+D383-50</f>
        <v>11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2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7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aa2ar_human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2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148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2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apj_human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2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150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2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acm2_human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2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154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5ht2b_human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2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5ht2b_human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2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agtr1_human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2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149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2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2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2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hrh1_human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2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2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2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2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2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drd3_human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2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2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2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2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2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2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ednrb_human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2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2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2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2"/>
      <c r="U410" s="9"/>
      <c r="AM410" s="28"/>
      <c r="AN410" s="16"/>
      <c r="BB410" s="16"/>
      <c r="BC410" s="9"/>
    </row>
    <row r="411" spans="1:58" s="3" customFormat="1" x14ac:dyDescent="0.2">
      <c r="T411" s="102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15" priority="39">
      <formula>NOT(OR(Q2&lt;Z2,Q2="-",Z2="-"))</formula>
    </cfRule>
  </conditionalFormatting>
  <conditionalFormatting sqref="AC2:AD409">
    <cfRule type="expression" dxfId="14" priority="41">
      <formula>NOT(OR(S2&lt;AC2,S2="-",AC2="-"))</formula>
    </cfRule>
  </conditionalFormatting>
  <conditionalFormatting sqref="AF2:AG409">
    <cfRule type="expression" dxfId="13" priority="43">
      <formula>NOT(OR(U2&lt;AF2,U2="-",AF2="-"))</formula>
    </cfRule>
  </conditionalFormatting>
  <conditionalFormatting sqref="AI2:AJ409">
    <cfRule type="expression" dxfId="12" priority="45">
      <formula>NOT(OR(W2&lt;AI2,W2="-",AI2="-"))</formula>
    </cfRule>
  </conditionalFormatting>
  <conditionalFormatting sqref="AL2:AL409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2" activePane="bottomLeft" state="frozenSplit"/>
      <selection pane="bottomLeft" activeCell="L2" sqref="L2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1" customWidth="1"/>
    <col min="24" max="25" width="5" style="51" bestFit="1" customWidth="1"/>
    <col min="26" max="26" width="4.1640625" style="51" customWidth="1"/>
    <col min="27" max="27" width="5" style="51" bestFit="1" customWidth="1"/>
    <col min="28" max="28" width="4.6640625" style="27" customWidth="1"/>
    <col min="29" max="31" width="4.6640625" style="51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30" t="s">
        <v>1482</v>
      </c>
      <c r="F1" s="56" t="s">
        <v>13</v>
      </c>
      <c r="G1" s="20" t="s">
        <v>5</v>
      </c>
      <c r="H1" s="4" t="s">
        <v>1370</v>
      </c>
      <c r="I1" s="20" t="s">
        <v>21</v>
      </c>
      <c r="J1" s="54" t="s">
        <v>25</v>
      </c>
      <c r="K1" s="54" t="s">
        <v>26</v>
      </c>
      <c r="L1" s="20" t="s">
        <v>20</v>
      </c>
      <c r="M1" s="20" t="s">
        <v>18</v>
      </c>
      <c r="N1" s="20" t="s">
        <v>14</v>
      </c>
      <c r="O1" s="54" t="s">
        <v>1325</v>
      </c>
      <c r="P1" s="54" t="s">
        <v>1329</v>
      </c>
      <c r="Q1" s="54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5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50" t="str">
        <f>MID(VLOOKUP($A2,Seqs!$A:$B,2,FALSE),VLOOKUP($A2,'SegEnds_NonXtal_Prot#'!$A:$AL,10,FALSE)+6,1)</f>
        <v>L</v>
      </c>
      <c r="X2" s="50" t="str">
        <f>MID(VLOOKUP($A2,Seqs!$A:$B,2,FALSE),VLOOKUP($A2,'SegEnds_NonXtal_Prot#'!$A:$AL,10,FALSE)+7,1)</f>
        <v>V</v>
      </c>
      <c r="Y2" s="50" t="str">
        <f>MID(VLOOKUP($A2,Seqs!$A:$B,2,FALSE),VLOOKUP($A2,'SegEnds_NonXtal_Prot#'!$A:$AL,10,FALSE)+8,1)</f>
        <v>L</v>
      </c>
      <c r="Z2" s="50" t="str">
        <f>MID(VLOOKUP($A2,Seqs!$A:$B,2,FALSE),VLOOKUP($A2,'SegEnds_NonXtal_Prot#'!A:AL,10,FALSE)+9,1)</f>
        <v>P</v>
      </c>
      <c r="AA2" s="50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50" t="str">
        <f>MID(VLOOKUP($A2,Seqs!$A:$B,2,FALSE),VLOOKUP($A2,'SegEnds_NonXtal_Prot#'!$A:$AL,22,FALSE)+7,1)</f>
        <v>S</v>
      </c>
      <c r="AD2" s="50" t="str">
        <f>MID(VLOOKUP($A2,Seqs!$A:$B,2,FALSE),VLOOKUP($A2,'SegEnds_NonXtal_Prot#'!$A:$AL,22,FALSE)+8,1)</f>
        <v>I</v>
      </c>
      <c r="AE2" s="50" t="str">
        <f>MID(VLOOKUP($A2,Seqs!$A:$B,2,FALSE),VLOOKUP($A2,'SegEnds_NonXtal_Prot#'!$A:$AL,22,FALSE)+9,1)</f>
        <v>P</v>
      </c>
      <c r="AF2" s="50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50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50" t="str">
        <f>MID(VLOOKUP($A3,Seqs!$A:$B,2,FALSE),VLOOKUP($A3,'SegEnds_NonXtal_Prot#'!A:AL,10,FALSE)+6,1)</f>
        <v>L</v>
      </c>
      <c r="X3" s="50" t="str">
        <f>MID(VLOOKUP($A3,Seqs!$A:$B,2,FALSE),VLOOKUP($A3,'SegEnds_NonXtal_Prot#'!A:AL,10,FALSE)+7,1)</f>
        <v>V</v>
      </c>
      <c r="Y3" s="50" t="str">
        <f>MID(VLOOKUP($A3,Seqs!$A:$B,2,FALSE),VLOOKUP($A3,'SegEnds_NonXtal_Prot#'!A:AL,10,FALSE)+8,1)</f>
        <v>M</v>
      </c>
      <c r="Z3" s="50" t="str">
        <f>MID(VLOOKUP($A3,Seqs!$A:$B,2,FALSE),VLOOKUP($A3,'SegEnds_NonXtal_Prot#'!A:AL,10,FALSE)+9,1)</f>
        <v>P</v>
      </c>
      <c r="AA3" s="50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50" t="str">
        <f>MID(VLOOKUP($A3,Seqs!$A:$B,2,FALSE),VLOOKUP($A3,'SegEnds_NonXtal_Prot#'!$A:$AL,22,FALSE)+7,1)</f>
        <v>S</v>
      </c>
      <c r="AD3" s="50" t="str">
        <f>MID(VLOOKUP($A3,Seqs!$A:$B,2,FALSE),VLOOKUP($A3,'SegEnds_NonXtal_Prot#'!$A:$AL,22,FALSE)+8,1)</f>
        <v>L</v>
      </c>
      <c r="AE3" s="50" t="str">
        <f>MID(VLOOKUP($A3,Seqs!$A:$B,2,FALSE),VLOOKUP($A3,'SegEnds_NonXtal_Prot#'!$A:$AL,22,FALSE)+9,1)</f>
        <v>P</v>
      </c>
      <c r="AF3" s="50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50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50" t="str">
        <f>MID(VLOOKUP($A4,Seqs!$A:$B,2,FALSE),VLOOKUP($A4,'SegEnds_NonXtal_Prot#'!A:AL,10,FALSE)+6,1)</f>
        <v>L</v>
      </c>
      <c r="X4" s="50" t="str">
        <f>MID(VLOOKUP($A4,Seqs!$A:$B,2,FALSE),VLOOKUP($A4,'SegEnds_NonXtal_Prot#'!A:AL,10,FALSE)+7,1)</f>
        <v>V</v>
      </c>
      <c r="Y4" s="50" t="str">
        <f>MID(VLOOKUP($A4,Seqs!$A:$B,2,FALSE),VLOOKUP($A4,'SegEnds_NonXtal_Prot#'!A:AL,10,FALSE)+8,1)</f>
        <v>M</v>
      </c>
      <c r="Z4" s="50" t="str">
        <f>MID(VLOOKUP($A4,Seqs!$A:$B,2,FALSE),VLOOKUP($A4,'SegEnds_NonXtal_Prot#'!A:AL,10,FALSE)+9,1)</f>
        <v>P</v>
      </c>
      <c r="AA4" s="50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50" t="str">
        <f>MID(VLOOKUP($A4,Seqs!$A:$B,2,FALSE),VLOOKUP($A4,'SegEnds_NonXtal_Prot#'!$A:$AL,22,FALSE)+7,1)</f>
        <v>S</v>
      </c>
      <c r="AD4" s="50" t="str">
        <f>MID(VLOOKUP($A4,Seqs!$A:$B,2,FALSE),VLOOKUP($A4,'SegEnds_NonXtal_Prot#'!$A:$AL,22,FALSE)+8,1)</f>
        <v>I</v>
      </c>
      <c r="AE4" s="50" t="str">
        <f>MID(VLOOKUP($A4,Seqs!$A:$B,2,FALSE),VLOOKUP($A4,'SegEnds_NonXtal_Prot#'!$A:$AL,22,FALSE)+9,1)</f>
        <v>P</v>
      </c>
      <c r="AF4" s="50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50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50" t="str">
        <f>MID(VLOOKUP($A5,Seqs!$A:$B,2,FALSE),VLOOKUP($A5,'SegEnds_NonXtal_Prot#'!A:AL,10,FALSE)+6,1)</f>
        <v>L</v>
      </c>
      <c r="X5" s="50" t="str">
        <f>MID(VLOOKUP($A5,Seqs!$A:$B,2,FALSE),VLOOKUP($A5,'SegEnds_NonXtal_Prot#'!A:AL,10,FALSE)+7,1)</f>
        <v>V</v>
      </c>
      <c r="Y5" s="50" t="str">
        <f>MID(VLOOKUP($A5,Seqs!$A:$B,2,FALSE),VLOOKUP($A5,'SegEnds_NonXtal_Prot#'!A:AL,10,FALSE)+8,1)</f>
        <v>M</v>
      </c>
      <c r="Z5" s="50" t="str">
        <f>MID(VLOOKUP($A5,Seqs!$A:$B,2,FALSE),VLOOKUP($A5,'SegEnds_NonXtal_Prot#'!A:AL,10,FALSE)+9,1)</f>
        <v>P</v>
      </c>
      <c r="AA5" s="50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50" t="str">
        <f>MID(VLOOKUP($A5,Seqs!$A:$B,2,FALSE),VLOOKUP($A5,'SegEnds_NonXtal_Prot#'!$A:$AL,22,FALSE)+7,1)</f>
        <v>S</v>
      </c>
      <c r="AD5" s="50" t="str">
        <f>MID(VLOOKUP($A5,Seqs!$A:$B,2,FALSE),VLOOKUP($A5,'SegEnds_NonXtal_Prot#'!$A:$AL,22,FALSE)+8,1)</f>
        <v>M</v>
      </c>
      <c r="AE5" s="50" t="str">
        <f>MID(VLOOKUP($A5,Seqs!$A:$B,2,FALSE),VLOOKUP($A5,'SegEnds_NonXtal_Prot#'!$A:$AL,22,FALSE)+9,1)</f>
        <v>P</v>
      </c>
      <c r="AF5" s="50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50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50" t="str">
        <f>MID(VLOOKUP($A6,Seqs!$A:$B,2,FALSE),VLOOKUP($A6,'SegEnds_NonXtal_Prot#'!A:AL,10,FALSE)+6,1)</f>
        <v>L</v>
      </c>
      <c r="X6" s="50" t="str">
        <f>MID(VLOOKUP($A6,Seqs!$A:$B,2,FALSE),VLOOKUP($A6,'SegEnds_NonXtal_Prot#'!A:AL,10,FALSE)+7,1)</f>
        <v>V</v>
      </c>
      <c r="Y6" s="50" t="str">
        <f>MID(VLOOKUP($A6,Seqs!$A:$B,2,FALSE),VLOOKUP($A6,'SegEnds_NonXtal_Prot#'!A:AL,10,FALSE)+8,1)</f>
        <v>M</v>
      </c>
      <c r="Z6" s="50" t="str">
        <f>MID(VLOOKUP($A6,Seqs!$A:$B,2,FALSE),VLOOKUP($A6,'SegEnds_NonXtal_Prot#'!A:AL,10,FALSE)+9,1)</f>
        <v>P</v>
      </c>
      <c r="AA6" s="50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50" t="str">
        <f>MID(VLOOKUP($A6,Seqs!$A:$B,2,FALSE),VLOOKUP($A6,'SegEnds_NonXtal_Prot#'!$A:$AL,22,FALSE)+7,1)</f>
        <v>S</v>
      </c>
      <c r="AD6" s="50" t="str">
        <f>MID(VLOOKUP($A6,Seqs!$A:$B,2,FALSE),VLOOKUP($A6,'SegEnds_NonXtal_Prot#'!$A:$AL,22,FALSE)+8,1)</f>
        <v>M</v>
      </c>
      <c r="AE6" s="50" t="str">
        <f>MID(VLOOKUP($A6,Seqs!$A:$B,2,FALSE),VLOOKUP($A6,'SegEnds_NonXtal_Prot#'!$A:$AL,22,FALSE)+9,1)</f>
        <v>P</v>
      </c>
      <c r="AF6" s="50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50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50" t="str">
        <f>MID(VLOOKUP($A7,Seqs!$A:$B,2,FALSE),VLOOKUP($A7,'SegEnds_NonXtal_Prot#'!A:AL,10,FALSE)+6,1)</f>
        <v>L</v>
      </c>
      <c r="X7" s="50" t="str">
        <f>MID(VLOOKUP($A7,Seqs!$A:$B,2,FALSE),VLOOKUP($A7,'SegEnds_NonXtal_Prot#'!A:AL,10,FALSE)+7,1)</f>
        <v>V</v>
      </c>
      <c r="Y7" s="50" t="str">
        <f>MID(VLOOKUP($A7,Seqs!$A:$B,2,FALSE),VLOOKUP($A7,'SegEnds_NonXtal_Prot#'!A:AL,10,FALSE)+8,1)</f>
        <v>M</v>
      </c>
      <c r="Z7" s="50" t="str">
        <f>MID(VLOOKUP($A7,Seqs!$A:$B,2,FALSE),VLOOKUP($A7,'SegEnds_NonXtal_Prot#'!A:AL,10,FALSE)+9,1)</f>
        <v>P</v>
      </c>
      <c r="AA7" s="50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50" t="str">
        <f>MID(VLOOKUP($A7,Seqs!$A:$B,2,FALSE),VLOOKUP($A7,'SegEnds_NonXtal_Prot#'!$A:$AL,22,FALSE)+7,1)</f>
        <v>S</v>
      </c>
      <c r="AD7" s="50" t="str">
        <f>MID(VLOOKUP($A7,Seqs!$A:$B,2,FALSE),VLOOKUP($A7,'SegEnds_NonXtal_Prot#'!$A:$AL,22,FALSE)+8,1)</f>
        <v>L</v>
      </c>
      <c r="AE7" s="50" t="str">
        <f>MID(VLOOKUP($A7,Seqs!$A:$B,2,FALSE),VLOOKUP($A7,'SegEnds_NonXtal_Prot#'!$A:$AL,22,FALSE)+9,1)</f>
        <v>A</v>
      </c>
      <c r="AF7" s="50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50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50" t="str">
        <f>MID(VLOOKUP($A8,Seqs!$A:$B,2,FALSE),VLOOKUP($A8,'SegEnds_NonXtal_Prot#'!A:AL,10,FALSE)+6,1)</f>
        <v>A</v>
      </c>
      <c r="X8" s="50" t="str">
        <f>MID(VLOOKUP($A8,Seqs!$A:$B,2,FALSE),VLOOKUP($A8,'SegEnds_NonXtal_Prot#'!A:AL,10,FALSE)+7,1)</f>
        <v>V</v>
      </c>
      <c r="Y8" s="50" t="str">
        <f>MID(VLOOKUP($A8,Seqs!$A:$B,2,FALSE),VLOOKUP($A8,'SegEnds_NonXtal_Prot#'!A:AL,10,FALSE)+8,1)</f>
        <v>M</v>
      </c>
      <c r="Z8" s="50" t="str">
        <f>MID(VLOOKUP($A8,Seqs!$A:$B,2,FALSE),VLOOKUP($A8,'SegEnds_NonXtal_Prot#'!A:AL,10,FALSE)+9,1)</f>
        <v>P</v>
      </c>
      <c r="AA8" s="50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50" t="str">
        <f>MID(VLOOKUP($A8,Seqs!$A:$B,2,FALSE),VLOOKUP($A8,'SegEnds_NonXtal_Prot#'!$A:$AL,22,FALSE)+7,1)</f>
        <v>T</v>
      </c>
      <c r="AD8" s="50" t="str">
        <f>MID(VLOOKUP($A8,Seqs!$A:$B,2,FALSE),VLOOKUP($A8,'SegEnds_NonXtal_Prot#'!$A:$AL,22,FALSE)+8,1)</f>
        <v>L</v>
      </c>
      <c r="AE8" s="50" t="str">
        <f>MID(VLOOKUP($A8,Seqs!$A:$B,2,FALSE),VLOOKUP($A8,'SegEnds_NonXtal_Prot#'!$A:$AL,22,FALSE)+9,1)</f>
        <v>P</v>
      </c>
      <c r="AF8" s="50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50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50" t="str">
        <f>MID(VLOOKUP($A9,Seqs!$A:$B,2,FALSE),VLOOKUP($A9,'SegEnds_NonXtal_Prot#'!A:AL,10,FALSE)+6,1)</f>
        <v>T</v>
      </c>
      <c r="X9" s="50" t="str">
        <f>MID(VLOOKUP($A9,Seqs!$A:$B,2,FALSE),VLOOKUP($A9,'SegEnds_NonXtal_Prot#'!A:AL,10,FALSE)+7,1)</f>
        <v>V</v>
      </c>
      <c r="Y9" s="50" t="str">
        <f>MID(VLOOKUP($A9,Seqs!$A:$B,2,FALSE),VLOOKUP($A9,'SegEnds_NonXtal_Prot#'!A:AL,10,FALSE)+8,1)</f>
        <v>L</v>
      </c>
      <c r="Z9" s="50" t="str">
        <f>MID(VLOOKUP($A9,Seqs!$A:$B,2,FALSE),VLOOKUP($A9,'SegEnds_NonXtal_Prot#'!A:AL,10,FALSE)+9,1)</f>
        <v>P</v>
      </c>
      <c r="AA9" s="50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50" t="str">
        <f>MID(VLOOKUP($A9,Seqs!$A:$B,2,FALSE),VLOOKUP($A9,'SegEnds_NonXtal_Prot#'!$A:$AL,22,FALSE)+7,1)</f>
        <v>S</v>
      </c>
      <c r="AD9" s="50" t="str">
        <f>MID(VLOOKUP($A9,Seqs!$A:$B,2,FALSE),VLOOKUP($A9,'SegEnds_NonXtal_Prot#'!$A:$AL,22,FALSE)+8,1)</f>
        <v>I</v>
      </c>
      <c r="AE9" s="50" t="str">
        <f>MID(VLOOKUP($A9,Seqs!$A:$B,2,FALSE),VLOOKUP($A9,'SegEnds_NonXtal_Prot#'!$A:$AL,22,FALSE)+9,1)</f>
        <v>G</v>
      </c>
      <c r="AF9" s="50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50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50" t="str">
        <f>MID(VLOOKUP($A10,Seqs!$A:$B,2,FALSE),VLOOKUP($A10,'SegEnds_NonXtal_Prot#'!A:AL,10,FALSE)+6,1)</f>
        <v>L</v>
      </c>
      <c r="X10" s="50" t="str">
        <f>MID(VLOOKUP($A10,Seqs!$A:$B,2,FALSE),VLOOKUP($A10,'SegEnds_NonXtal_Prot#'!A:AL,10,FALSE)+7,1)</f>
        <v>V</v>
      </c>
      <c r="Y10" s="50" t="str">
        <f>MID(VLOOKUP($A10,Seqs!$A:$B,2,FALSE),VLOOKUP($A10,'SegEnds_NonXtal_Prot#'!A:AL,10,FALSE)+8,1)</f>
        <v>I</v>
      </c>
      <c r="Z10" s="50" t="str">
        <f>MID(VLOOKUP($A10,Seqs!$A:$B,2,FALSE),VLOOKUP($A10,'SegEnds_NonXtal_Prot#'!A:AL,10,FALSE)+9,1)</f>
        <v>P</v>
      </c>
      <c r="AA10" s="50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50" t="str">
        <f>MID(VLOOKUP($A10,Seqs!$A:$B,2,FALSE),VLOOKUP($A10,'SegEnds_NonXtal_Prot#'!$A:$AL,22,FALSE)+7,1)</f>
        <v>S</v>
      </c>
      <c r="AD10" s="50" t="str">
        <f>MID(VLOOKUP($A10,Seqs!$A:$B,2,FALSE),VLOOKUP($A10,'SegEnds_NonXtal_Prot#'!$A:$AL,22,FALSE)+8,1)</f>
        <v>F</v>
      </c>
      <c r="AE10" s="50" t="str">
        <f>MID(VLOOKUP($A10,Seqs!$A:$B,2,FALSE),VLOOKUP($A10,'SegEnds_NonXtal_Prot#'!$A:$AL,22,FALSE)+9,1)</f>
        <v>P</v>
      </c>
      <c r="AF10" s="50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50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50" t="str">
        <f>MID(VLOOKUP($A11,Seqs!$A:$B,2,FALSE),VLOOKUP($A11,'SegEnds_NonXtal_Prot#'!A:AL,10,FALSE)+6,1)</f>
        <v>L</v>
      </c>
      <c r="X11" s="50" t="str">
        <f>MID(VLOOKUP($A11,Seqs!$A:$B,2,FALSE),VLOOKUP($A11,'SegEnds_NonXtal_Prot#'!A:AL,10,FALSE)+7,1)</f>
        <v>V</v>
      </c>
      <c r="Y11" s="50" t="str">
        <f>MID(VLOOKUP($A11,Seqs!$A:$B,2,FALSE),VLOOKUP($A11,'SegEnds_NonXtal_Prot#'!A:AL,10,FALSE)+8,1)</f>
        <v>M</v>
      </c>
      <c r="Z11" s="50" t="str">
        <f>MID(VLOOKUP($A11,Seqs!$A:$B,2,FALSE),VLOOKUP($A11,'SegEnds_NonXtal_Prot#'!A:AL,10,FALSE)+9,1)</f>
        <v>P</v>
      </c>
      <c r="AA11" s="50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50" t="str">
        <f>MID(VLOOKUP($A11,Seqs!$A:$B,2,FALSE),VLOOKUP($A11,'SegEnds_NonXtal_Prot#'!$A:$AL,22,FALSE)+7,1)</f>
        <v>S</v>
      </c>
      <c r="AD11" s="50" t="str">
        <f>MID(VLOOKUP($A11,Seqs!$A:$B,2,FALSE),VLOOKUP($A11,'SegEnds_NonXtal_Prot#'!$A:$AL,22,FALSE)+8,1)</f>
        <v>F</v>
      </c>
      <c r="AE11" s="50" t="str">
        <f>MID(VLOOKUP($A11,Seqs!$A:$B,2,FALSE),VLOOKUP($A11,'SegEnds_NonXtal_Prot#'!$A:$AL,22,FALSE)+9,1)</f>
        <v>P</v>
      </c>
      <c r="AF11" s="50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50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50" t="str">
        <f>MID(VLOOKUP($A12,Seqs!$A:$B,2,FALSE),VLOOKUP($A12,'SegEnds_NonXtal_Prot#'!A:AL,10,FALSE)+6,1)</f>
        <v>L</v>
      </c>
      <c r="X12" s="50" t="str">
        <f>MID(VLOOKUP($A12,Seqs!$A:$B,2,FALSE),VLOOKUP($A12,'SegEnds_NonXtal_Prot#'!A:AL,10,FALSE)+7,1)</f>
        <v>H</v>
      </c>
      <c r="Y12" s="50" t="str">
        <f>MID(VLOOKUP($A12,Seqs!$A:$B,2,FALSE),VLOOKUP($A12,'SegEnds_NonXtal_Prot#'!A:AL,10,FALSE)+8,1)</f>
        <v>M</v>
      </c>
      <c r="Z12" s="50" t="str">
        <f>MID(VLOOKUP($A12,Seqs!$A:$B,2,FALSE),VLOOKUP($A12,'SegEnds_NonXtal_Prot#'!A:AL,10,FALSE)+9,1)</f>
        <v>L</v>
      </c>
      <c r="AA12" s="50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50" t="str">
        <f>MID(VLOOKUP($A12,Seqs!$A:$B,2,FALSE),VLOOKUP($A12,'SegEnds_NonXtal_Prot#'!$A:$AL,22,FALSE)+7,1)</f>
        <v>P</v>
      </c>
      <c r="AD12" s="50" t="str">
        <f>MID(VLOOKUP($A12,Seqs!$A:$B,2,FALSE),VLOOKUP($A12,'SegEnds_NonXtal_Prot#'!$A:$AL,22,FALSE)+8,1)</f>
        <v>T</v>
      </c>
      <c r="AE12" s="50" t="str">
        <f>MID(VLOOKUP($A12,Seqs!$A:$B,2,FALSE),VLOOKUP($A12,'SegEnds_NonXtal_Prot#'!$A:$AL,22,FALSE)+9,1)</f>
        <v>F</v>
      </c>
      <c r="AF12" s="50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50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50" t="str">
        <f>MID(VLOOKUP($A13,Seqs!$A:$B,2,FALSE),VLOOKUP($A13,'SegEnds_NonXtal_Prot#'!A:AL,10,FALSE)+6,1)</f>
        <v>L</v>
      </c>
      <c r="X13" s="50" t="str">
        <f>MID(VLOOKUP($A13,Seqs!$A:$B,2,FALSE),VLOOKUP($A13,'SegEnds_NonXtal_Prot#'!A:AL,10,FALSE)+7,1)</f>
        <v>V</v>
      </c>
      <c r="Y13" s="50" t="str">
        <f>MID(VLOOKUP($A13,Seqs!$A:$B,2,FALSE),VLOOKUP($A13,'SegEnds_NonXtal_Prot#'!A:AL,10,FALSE)+8,1)</f>
        <v>L</v>
      </c>
      <c r="Z13" s="50" t="str">
        <f>MID(VLOOKUP($A13,Seqs!$A:$B,2,FALSE),VLOOKUP($A13,'SegEnds_NonXtal_Prot#'!A:AL,10,FALSE)+9,1)</f>
        <v>P</v>
      </c>
      <c r="AA13" s="50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50" t="str">
        <f>MID(VLOOKUP($A13,Seqs!$A:$B,2,FALSE),VLOOKUP($A13,'SegEnds_NonXtal_Prot#'!$A:$AL,22,FALSE)+7,1)</f>
        <v>C</v>
      </c>
      <c r="AD13" s="50" t="str">
        <f>MID(VLOOKUP($A13,Seqs!$A:$B,2,FALSE),VLOOKUP($A13,'SegEnds_NonXtal_Prot#'!$A:$AL,22,FALSE)+8,1)</f>
        <v>L</v>
      </c>
      <c r="AE13" s="50" t="str">
        <f>MID(VLOOKUP($A13,Seqs!$A:$B,2,FALSE),VLOOKUP($A13,'SegEnds_NonXtal_Prot#'!$A:$AL,22,FALSE)+9,1)</f>
        <v>P</v>
      </c>
      <c r="AF13" s="50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50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50" t="str">
        <f>MID(VLOOKUP($A14,Seqs!$A:$B,2,FALSE),VLOOKUP($A14,'SegEnds_NonXtal_Prot#'!A:AL,10,FALSE)+6,1)</f>
        <v>L</v>
      </c>
      <c r="X14" s="50" t="str">
        <f>MID(VLOOKUP($A14,Seqs!$A:$B,2,FALSE),VLOOKUP($A14,'SegEnds_NonXtal_Prot#'!A:AL,10,FALSE)+7,1)</f>
        <v>N</v>
      </c>
      <c r="Y14" s="50" t="str">
        <f>MID(VLOOKUP($A14,Seqs!$A:$B,2,FALSE),VLOOKUP($A14,'SegEnds_NonXtal_Prot#'!A:AL,10,FALSE)+8,1)</f>
        <v>M</v>
      </c>
      <c r="Z14" s="50" t="str">
        <f>MID(VLOOKUP($A14,Seqs!$A:$B,2,FALSE),VLOOKUP($A14,'SegEnds_NonXtal_Prot#'!A:AL,10,FALSE)+9,1)</f>
        <v>P</v>
      </c>
      <c r="AA14" s="50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50" t="str">
        <f>MID(VLOOKUP($A14,Seqs!$A:$B,2,FALSE),VLOOKUP($A14,'SegEnds_NonXtal_Prot#'!$A:$AL,22,FALSE)+7,1)</f>
        <v>A</v>
      </c>
      <c r="AD14" s="50" t="str">
        <f>MID(VLOOKUP($A14,Seqs!$A:$B,2,FALSE),VLOOKUP($A14,'SegEnds_NonXtal_Prot#'!$A:$AL,22,FALSE)+8,1)</f>
        <v>F</v>
      </c>
      <c r="AE14" s="50" t="str">
        <f>MID(VLOOKUP($A14,Seqs!$A:$B,2,FALSE),VLOOKUP($A14,'SegEnds_NonXtal_Prot#'!$A:$AL,22,FALSE)+9,1)</f>
        <v>P</v>
      </c>
      <c r="AF14" s="50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50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50" t="str">
        <f>MID(VLOOKUP($A15,Seqs!$A:$B,2,FALSE),VLOOKUP($A15,'SegEnds_NonXtal_Prot#'!A:AL,10,FALSE)+6,1)</f>
        <v>T</v>
      </c>
      <c r="X15" s="50" t="str">
        <f>MID(VLOOKUP($A15,Seqs!$A:$B,2,FALSE),VLOOKUP($A15,'SegEnds_NonXtal_Prot#'!A:AL,10,FALSE)+7,1)</f>
        <v>I</v>
      </c>
      <c r="Y15" s="50" t="str">
        <f>MID(VLOOKUP($A15,Seqs!$A:$B,2,FALSE),VLOOKUP($A15,'SegEnds_NonXtal_Prot#'!A:AL,10,FALSE)+8,1)</f>
        <v>M</v>
      </c>
      <c r="Z15" s="50" t="str">
        <f>MID(VLOOKUP($A15,Seqs!$A:$B,2,FALSE),VLOOKUP($A15,'SegEnds_NonXtal_Prot#'!A:AL,10,FALSE)+9,1)</f>
        <v>P</v>
      </c>
      <c r="AA15" s="50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50" t="str">
        <f>MID(VLOOKUP($A15,Seqs!$A:$B,2,FALSE),VLOOKUP($A15,'SegEnds_NonXtal_Prot#'!$A:$AL,22,FALSE)+7,1)</f>
        <v>A</v>
      </c>
      <c r="AD15" s="50" t="str">
        <f>MID(VLOOKUP($A15,Seqs!$A:$B,2,FALSE),VLOOKUP($A15,'SegEnds_NonXtal_Prot#'!$A:$AL,22,FALSE)+8,1)</f>
        <v>F</v>
      </c>
      <c r="AE15" s="50" t="str">
        <f>MID(VLOOKUP($A15,Seqs!$A:$B,2,FALSE),VLOOKUP($A15,'SegEnds_NonXtal_Prot#'!$A:$AL,22,FALSE)+9,1)</f>
        <v>G</v>
      </c>
      <c r="AF15" s="50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50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50" t="str">
        <f>MID(VLOOKUP($A16,Seqs!$A:$B,2,FALSE),VLOOKUP($A16,'SegEnds_NonXtal_Prot#'!A:AL,10,FALSE)+6,1)</f>
        <v>V</v>
      </c>
      <c r="X16" s="50" t="str">
        <f>MID(VLOOKUP($A16,Seqs!$A:$B,2,FALSE),VLOOKUP($A16,'SegEnds_NonXtal_Prot#'!A:AL,10,FALSE)+7,1)</f>
        <v>I</v>
      </c>
      <c r="Y16" s="50" t="str">
        <f>MID(VLOOKUP($A16,Seqs!$A:$B,2,FALSE),VLOOKUP($A16,'SegEnds_NonXtal_Prot#'!A:AL,10,FALSE)+8,1)</f>
        <v>M</v>
      </c>
      <c r="Z16" s="50" t="str">
        <f>MID(VLOOKUP($A16,Seqs!$A:$B,2,FALSE),VLOOKUP($A16,'SegEnds_NonXtal_Prot#'!A:AL,10,FALSE)+9,1)</f>
        <v>P</v>
      </c>
      <c r="AA16" s="50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50" t="str">
        <f>MID(VLOOKUP($A16,Seqs!$A:$B,2,FALSE),VLOOKUP($A16,'SegEnds_NonXtal_Prot#'!$A:$AL,22,FALSE)+7,1)</f>
        <v>S</v>
      </c>
      <c r="AD16" s="50" t="str">
        <f>MID(VLOOKUP($A16,Seqs!$A:$B,2,FALSE),VLOOKUP($A16,'SegEnds_NonXtal_Prot#'!$A:$AL,22,FALSE)+8,1)</f>
        <v>F</v>
      </c>
      <c r="AE16" s="50" t="str">
        <f>MID(VLOOKUP($A16,Seqs!$A:$B,2,FALSE),VLOOKUP($A16,'SegEnds_NonXtal_Prot#'!$A:$AL,22,FALSE)+9,1)</f>
        <v>G</v>
      </c>
      <c r="AF16" s="50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50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50" t="str">
        <f>MID(VLOOKUP($A17,Seqs!$A:$B,2,FALSE),VLOOKUP($A17,'SegEnds_NonXtal_Prot#'!A:AL,10,FALSE)+6,1)</f>
        <v>L</v>
      </c>
      <c r="X17" s="50" t="str">
        <f>MID(VLOOKUP($A17,Seqs!$A:$B,2,FALSE),VLOOKUP($A17,'SegEnds_NonXtal_Prot#'!A:AL,10,FALSE)+7,1)</f>
        <v>V</v>
      </c>
      <c r="Y17" s="50" t="str">
        <f>MID(VLOOKUP($A17,Seqs!$A:$B,2,FALSE),VLOOKUP($A17,'SegEnds_NonXtal_Prot#'!A:AL,10,FALSE)+8,1)</f>
        <v>L</v>
      </c>
      <c r="Z17" s="50" t="str">
        <f>MID(VLOOKUP($A17,Seqs!$A:$B,2,FALSE),VLOOKUP($A17,'SegEnds_NonXtal_Prot#'!A:AL,10,FALSE)+9,1)</f>
        <v>P</v>
      </c>
      <c r="AA17" s="50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50" t="str">
        <f>MID(VLOOKUP($A17,Seqs!$A:$B,2,FALSE),VLOOKUP($A17,'SegEnds_NonXtal_Prot#'!$A:$AL,22,FALSE)+7,1)</f>
        <v>T</v>
      </c>
      <c r="AD17" s="50" t="str">
        <f>MID(VLOOKUP($A17,Seqs!$A:$B,2,FALSE),VLOOKUP($A17,'SegEnds_NonXtal_Prot#'!$A:$AL,22,FALSE)+8,1)</f>
        <v>S</v>
      </c>
      <c r="AE17" s="50" t="str">
        <f>MID(VLOOKUP($A17,Seqs!$A:$B,2,FALSE),VLOOKUP($A17,'SegEnds_NonXtal_Prot#'!$A:$AL,22,FALSE)+9,1)</f>
        <v>L</v>
      </c>
      <c r="AF17" s="50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50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50" t="str">
        <f>MID(VLOOKUP($A18,Seqs!$A:$B,2,FALSE),VLOOKUP($A18,'SegEnds_NonXtal_Prot#'!A:AL,10,FALSE)+6,1)</f>
        <v>T</v>
      </c>
      <c r="X18" s="50" t="str">
        <f>MID(VLOOKUP($A18,Seqs!$A:$B,2,FALSE),VLOOKUP($A18,'SegEnds_NonXtal_Prot#'!A:AL,10,FALSE)+7,1)</f>
        <v>V</v>
      </c>
      <c r="Y18" s="50" t="str">
        <f>MID(VLOOKUP($A18,Seqs!$A:$B,2,FALSE),VLOOKUP($A18,'SegEnds_NonXtal_Prot#'!A:AL,10,FALSE)+8,1)</f>
        <v>M</v>
      </c>
      <c r="Z18" s="50" t="str">
        <f>MID(VLOOKUP($A18,Seqs!$A:$B,2,FALSE),VLOOKUP($A18,'SegEnds_NonXtal_Prot#'!A:AL,10,FALSE)+9,1)</f>
        <v>P</v>
      </c>
      <c r="AA18" s="50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50" t="str">
        <f>MID(VLOOKUP($A18,Seqs!$A:$B,2,FALSE),VLOOKUP($A18,'SegEnds_NonXtal_Prot#'!$A:$AL,22,FALSE)+7,1)</f>
        <v>S</v>
      </c>
      <c r="AD18" s="50" t="str">
        <f>MID(VLOOKUP($A18,Seqs!$A:$B,2,FALSE),VLOOKUP($A18,'SegEnds_NonXtal_Prot#'!$A:$AL,22,FALSE)+8,1)</f>
        <v>G</v>
      </c>
      <c r="AE18" s="50" t="str">
        <f>MID(VLOOKUP($A18,Seqs!$A:$B,2,FALSE),VLOOKUP($A18,'SegEnds_NonXtal_Prot#'!$A:$AL,22,FALSE)+9,1)</f>
        <v>A</v>
      </c>
      <c r="AF18" s="50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50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50" t="str">
        <f>MID(VLOOKUP($A19,Seqs!$A:$B,2,FALSE),VLOOKUP($A19,'SegEnds_NonXtal_Prot#'!A:AL,10,FALSE)+6,1)</f>
        <v>T</v>
      </c>
      <c r="X19" s="50" t="str">
        <f>MID(VLOOKUP($A19,Seqs!$A:$B,2,FALSE),VLOOKUP($A19,'SegEnds_NonXtal_Prot#'!A:AL,10,FALSE)+7,1)</f>
        <v>V</v>
      </c>
      <c r="Y19" s="50" t="str">
        <f>MID(VLOOKUP($A19,Seqs!$A:$B,2,FALSE),VLOOKUP($A19,'SegEnds_NonXtal_Prot#'!A:AL,10,FALSE)+8,1)</f>
        <v>M</v>
      </c>
      <c r="Z19" s="50" t="str">
        <f>MID(VLOOKUP($A19,Seqs!$A:$B,2,FALSE),VLOOKUP($A19,'SegEnds_NonXtal_Prot#'!A:AL,10,FALSE)+9,1)</f>
        <v>L</v>
      </c>
      <c r="AA19" s="50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50" t="str">
        <f>MID(VLOOKUP($A19,Seqs!$A:$B,2,FALSE),VLOOKUP($A19,'SegEnds_NonXtal_Prot#'!$A:$AL,22,FALSE)+7,1)</f>
        <v>S</v>
      </c>
      <c r="AD19" s="50" t="str">
        <f>MID(VLOOKUP($A19,Seqs!$A:$B,2,FALSE),VLOOKUP($A19,'SegEnds_NonXtal_Prot#'!$A:$AL,22,FALSE)+8,1)</f>
        <v>G</v>
      </c>
      <c r="AE19" s="50" t="str">
        <f>MID(VLOOKUP($A19,Seqs!$A:$B,2,FALSE),VLOOKUP($A19,'SegEnds_NonXtal_Prot#'!$A:$AL,22,FALSE)+9,1)</f>
        <v>A</v>
      </c>
      <c r="AF19" s="50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50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50" t="str">
        <f>MID(VLOOKUP($A20,Seqs!$A:$B,2,FALSE),VLOOKUP($A20,'SegEnds_NonXtal_Prot#'!A:AL,10,FALSE)+6,1)</f>
        <v>T</v>
      </c>
      <c r="X20" s="50" t="str">
        <f>MID(VLOOKUP($A20,Seqs!$A:$B,2,FALSE),VLOOKUP($A20,'SegEnds_NonXtal_Prot#'!A:AL,10,FALSE)+7,1)</f>
        <v>V</v>
      </c>
      <c r="Y20" s="50" t="str">
        <f>MID(VLOOKUP($A20,Seqs!$A:$B,2,FALSE),VLOOKUP($A20,'SegEnds_NonXtal_Prot#'!A:AL,10,FALSE)+8,1)</f>
        <v>M</v>
      </c>
      <c r="Z20" s="50" t="str">
        <f>MID(VLOOKUP($A20,Seqs!$A:$B,2,FALSE),VLOOKUP($A20,'SegEnds_NonXtal_Prot#'!A:AL,10,FALSE)+9,1)</f>
        <v>P</v>
      </c>
      <c r="AA20" s="50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50" t="str">
        <f>MID(VLOOKUP($A20,Seqs!$A:$B,2,FALSE),VLOOKUP($A20,'SegEnds_NonXtal_Prot#'!$A:$AL,22,FALSE)+7,1)</f>
        <v>S</v>
      </c>
      <c r="AD20" s="50" t="str">
        <f>MID(VLOOKUP($A20,Seqs!$A:$B,2,FALSE),VLOOKUP($A20,'SegEnds_NonXtal_Prot#'!$A:$AL,22,FALSE)+8,1)</f>
        <v>F</v>
      </c>
      <c r="AE20" s="50" t="str">
        <f>MID(VLOOKUP($A20,Seqs!$A:$B,2,FALSE),VLOOKUP($A20,'SegEnds_NonXtal_Prot#'!$A:$AL,22,FALSE)+9,1)</f>
        <v>S</v>
      </c>
      <c r="AF20" s="50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50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50" t="str">
        <f>MID(VLOOKUP($A21,Seqs!$A:$B,2,FALSE),VLOOKUP($A21,'SegEnds_NonXtal_Prot#'!A:AL,10,FALSE)+6,1)</f>
        <v>L</v>
      </c>
      <c r="X21" s="50" t="str">
        <f>MID(VLOOKUP($A21,Seqs!$A:$B,2,FALSE),VLOOKUP($A21,'SegEnds_NonXtal_Prot#'!A:AL,10,FALSE)+7,1)</f>
        <v>V</v>
      </c>
      <c r="Y21" s="50" t="str">
        <f>MID(VLOOKUP($A21,Seqs!$A:$B,2,FALSE),VLOOKUP($A21,'SegEnds_NonXtal_Prot#'!A:AL,10,FALSE)+8,1)</f>
        <v>M</v>
      </c>
      <c r="Z21" s="50" t="str">
        <f>MID(VLOOKUP($A21,Seqs!$A:$B,2,FALSE),VLOOKUP($A21,'SegEnds_NonXtal_Prot#'!A:AL,10,FALSE)+9,1)</f>
        <v>P</v>
      </c>
      <c r="AA21" s="50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50" t="str">
        <f>MID(VLOOKUP($A21,Seqs!$A:$B,2,FALSE),VLOOKUP($A21,'SegEnds_NonXtal_Prot#'!$A:$AL,22,FALSE)+7,1)</f>
        <v>S</v>
      </c>
      <c r="AD21" s="50" t="str">
        <f>MID(VLOOKUP($A21,Seqs!$A:$B,2,FALSE),VLOOKUP($A21,'SegEnds_NonXtal_Prot#'!$A:$AL,22,FALSE)+8,1)</f>
        <v>M</v>
      </c>
      <c r="AE21" s="50" t="str">
        <f>MID(VLOOKUP($A21,Seqs!$A:$B,2,FALSE),VLOOKUP($A21,'SegEnds_NonXtal_Prot#'!$A:$AL,22,FALSE)+9,1)</f>
        <v>P</v>
      </c>
      <c r="AF21" s="50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50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50" t="str">
        <f>MID(VLOOKUP($A22,Seqs!$A:$B,2,FALSE),VLOOKUP($A22,'SegEnds_NonXtal_Prot#'!A:AL,10,FALSE)+6,1)</f>
        <v>F</v>
      </c>
      <c r="X22" s="50" t="str">
        <f>MID(VLOOKUP($A22,Seqs!$A:$B,2,FALSE),VLOOKUP($A22,'SegEnds_NonXtal_Prot#'!A:AL,10,FALSE)+7,1)</f>
        <v>V</v>
      </c>
      <c r="Y22" s="50" t="str">
        <f>MID(VLOOKUP($A22,Seqs!$A:$B,2,FALSE),VLOOKUP($A22,'SegEnds_NonXtal_Prot#'!A:AL,10,FALSE)+8,1)</f>
        <v>M</v>
      </c>
      <c r="Z22" s="50" t="str">
        <f>MID(VLOOKUP($A22,Seqs!$A:$B,2,FALSE),VLOOKUP($A22,'SegEnds_NonXtal_Prot#'!A:AL,10,FALSE)+9,1)</f>
        <v>P</v>
      </c>
      <c r="AA22" s="50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50" t="str">
        <f>MID(VLOOKUP($A22,Seqs!$A:$B,2,FALSE),VLOOKUP($A22,'SegEnds_NonXtal_Prot#'!$A:$AL,22,FALSE)+7,1)</f>
        <v>A</v>
      </c>
      <c r="AD22" s="50" t="str">
        <f>MID(VLOOKUP($A22,Seqs!$A:$B,2,FALSE),VLOOKUP($A22,'SegEnds_NonXtal_Prot#'!$A:$AL,22,FALSE)+8,1)</f>
        <v>I</v>
      </c>
      <c r="AE22" s="50" t="str">
        <f>MID(VLOOKUP($A22,Seqs!$A:$B,2,FALSE),VLOOKUP($A22,'SegEnds_NonXtal_Prot#'!$A:$AL,22,FALSE)+9,1)</f>
        <v>P</v>
      </c>
      <c r="AF22" s="50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50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50" t="str">
        <f>MID(VLOOKUP($A23,Seqs!$A:$B,2,FALSE),VLOOKUP($A23,'SegEnds_NonXtal_Prot#'!A:AL,10,FALSE)+6,1)</f>
        <v>L</v>
      </c>
      <c r="X23" s="50" t="str">
        <f>MID(VLOOKUP($A23,Seqs!$A:$B,2,FALSE),VLOOKUP($A23,'SegEnds_NonXtal_Prot#'!A:AL,10,FALSE)+7,1)</f>
        <v>V</v>
      </c>
      <c r="Y23" s="50" t="str">
        <f>MID(VLOOKUP($A23,Seqs!$A:$B,2,FALSE),VLOOKUP($A23,'SegEnds_NonXtal_Prot#'!A:AL,10,FALSE)+8,1)</f>
        <v>M</v>
      </c>
      <c r="Z23" s="50" t="str">
        <f>MID(VLOOKUP($A23,Seqs!$A:$B,2,FALSE),VLOOKUP($A23,'SegEnds_NonXtal_Prot#'!A:AL,10,FALSE)+9,1)</f>
        <v>P</v>
      </c>
      <c r="AA23" s="50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50" t="str">
        <f>MID(VLOOKUP($A23,Seqs!$A:$B,2,FALSE),VLOOKUP($A23,'SegEnds_NonXtal_Prot#'!$A:$AL,22,FALSE)+7,1)</f>
        <v>S</v>
      </c>
      <c r="AD23" s="50" t="str">
        <f>MID(VLOOKUP($A23,Seqs!$A:$B,2,FALSE),VLOOKUP($A23,'SegEnds_NonXtal_Prot#'!$A:$AL,22,FALSE)+8,1)</f>
        <v>V</v>
      </c>
      <c r="AE23" s="50" t="str">
        <f>MID(VLOOKUP($A23,Seqs!$A:$B,2,FALSE),VLOOKUP($A23,'SegEnds_NonXtal_Prot#'!$A:$AL,22,FALSE)+9,1)</f>
        <v>P</v>
      </c>
      <c r="AF23" s="50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50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50" t="str">
        <f>MID(VLOOKUP($A24,Seqs!$A:$B,2,FALSE),VLOOKUP($A24,'SegEnds_NonXtal_Prot#'!A:AL,10,FALSE)+6,1)</f>
        <v>V</v>
      </c>
      <c r="X24" s="50" t="str">
        <f>MID(VLOOKUP($A24,Seqs!$A:$B,2,FALSE),VLOOKUP($A24,'SegEnds_NonXtal_Prot#'!A:AL,10,FALSE)+7,1)</f>
        <v>C</v>
      </c>
      <c r="Y24" s="50" t="str">
        <f>MID(VLOOKUP($A24,Seqs!$A:$B,2,FALSE),VLOOKUP($A24,'SegEnds_NonXtal_Prot#'!A:AL,10,FALSE)+8,1)</f>
        <v>F</v>
      </c>
      <c r="Z24" s="50" t="str">
        <f>MID(VLOOKUP($A24,Seqs!$A:$B,2,FALSE),VLOOKUP($A24,'SegEnds_NonXtal_Prot#'!A:AL,10,FALSE)+9,1)</f>
        <v>P</v>
      </c>
      <c r="AA24" s="50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50" t="str">
        <f>MID(VLOOKUP($A24,Seqs!$A:$B,2,FALSE),VLOOKUP($A24,'SegEnds_NonXtal_Prot#'!$A:$AL,22,FALSE)+7,1)</f>
        <v>A</v>
      </c>
      <c r="AD24" s="50" t="str">
        <f>MID(VLOOKUP($A24,Seqs!$A:$B,2,FALSE),VLOOKUP($A24,'SegEnds_NonXtal_Prot#'!$A:$AL,22,FALSE)+8,1)</f>
        <v>F</v>
      </c>
      <c r="AE24" s="50" t="str">
        <f>MID(VLOOKUP($A24,Seqs!$A:$B,2,FALSE),VLOOKUP($A24,'SegEnds_NonXtal_Prot#'!$A:$AL,22,FALSE)+9,1)</f>
        <v>P</v>
      </c>
      <c r="AF24" s="50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50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50" t="str">
        <f>MID(VLOOKUP($A25,Seqs!$A:$B,2,FALSE),VLOOKUP($A25,'SegEnds_NonXtal_Prot#'!A:AL,10,FALSE)+6,1)</f>
        <v>A</v>
      </c>
      <c r="X25" s="50" t="str">
        <f>MID(VLOOKUP($A25,Seqs!$A:$B,2,FALSE),VLOOKUP($A25,'SegEnds_NonXtal_Prot#'!A:AL,10,FALSE)+7,1)</f>
        <v>C</v>
      </c>
      <c r="Y25" s="50" t="str">
        <f>MID(VLOOKUP($A25,Seqs!$A:$B,2,FALSE),VLOOKUP($A25,'SegEnds_NonXtal_Prot#'!A:AL,10,FALSE)+8,1)</f>
        <v>L</v>
      </c>
      <c r="Z25" s="50" t="str">
        <f>MID(VLOOKUP($A25,Seqs!$A:$B,2,FALSE),VLOOKUP($A25,'SegEnds_NonXtal_Prot#'!A:AL,10,FALSE)+9,1)</f>
        <v>P</v>
      </c>
      <c r="AA25" s="50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50" t="str">
        <f>MID(VLOOKUP($A25,Seqs!$A:$B,2,FALSE),VLOOKUP($A25,'SegEnds_NonXtal_Prot#'!$A:$AL,22,FALSE)+7,1)</f>
        <v>A</v>
      </c>
      <c r="AD25" s="50" t="str">
        <f>MID(VLOOKUP($A25,Seqs!$A:$B,2,FALSE),VLOOKUP($A25,'SegEnds_NonXtal_Prot#'!$A:$AL,22,FALSE)+8,1)</f>
        <v>F</v>
      </c>
      <c r="AE25" s="50" t="str">
        <f>MID(VLOOKUP($A25,Seqs!$A:$B,2,FALSE),VLOOKUP($A25,'SegEnds_NonXtal_Prot#'!$A:$AL,22,FALSE)+9,1)</f>
        <v>P</v>
      </c>
      <c r="AF25" s="50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50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50" t="str">
        <f>MID(VLOOKUP($A26,Seqs!$A:$B,2,FALSE),VLOOKUP($A26,'SegEnds_NonXtal_Prot#'!A:AL,10,FALSE)+6,1)</f>
        <v>I</v>
      </c>
      <c r="X26" s="50" t="str">
        <f>MID(VLOOKUP($A26,Seqs!$A:$B,2,FALSE),VLOOKUP($A26,'SegEnds_NonXtal_Prot#'!A:AL,10,FALSE)+7,1)</f>
        <v>C</v>
      </c>
      <c r="Y26" s="50" t="str">
        <f>MID(VLOOKUP($A26,Seqs!$A:$B,2,FALSE),VLOOKUP($A26,'SegEnds_NonXtal_Prot#'!A:AL,10,FALSE)+8,1)</f>
        <v>F</v>
      </c>
      <c r="Z26" s="50" t="str">
        <f>MID(VLOOKUP($A26,Seqs!$A:$B,2,FALSE),VLOOKUP($A26,'SegEnds_NonXtal_Prot#'!A:AL,10,FALSE)+9,1)</f>
        <v>P</v>
      </c>
      <c r="AA26" s="50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50" t="str">
        <f>MID(VLOOKUP($A26,Seqs!$A:$B,2,FALSE),VLOOKUP($A26,'SegEnds_NonXtal_Prot#'!$A:$AL,22,FALSE)+7,1)</f>
        <v>A</v>
      </c>
      <c r="AD26" s="50" t="str">
        <f>MID(VLOOKUP($A26,Seqs!$A:$B,2,FALSE),VLOOKUP($A26,'SegEnds_NonXtal_Prot#'!$A:$AL,22,FALSE)+8,1)</f>
        <v>F</v>
      </c>
      <c r="AE26" s="50" t="str">
        <f>MID(VLOOKUP($A26,Seqs!$A:$B,2,FALSE),VLOOKUP($A26,'SegEnds_NonXtal_Prot#'!$A:$AL,22,FALSE)+9,1)</f>
        <v>P</v>
      </c>
      <c r="AF26" s="50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50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50" t="str">
        <f>MID(VLOOKUP($A27,Seqs!$A:$B,2,FALSE),VLOOKUP($A27,'SegEnds_NonXtal_Prot#'!A:AL,10,FALSE)+6,1)</f>
        <v>L</v>
      </c>
      <c r="X27" s="50" t="str">
        <f>MID(VLOOKUP($A27,Seqs!$A:$B,2,FALSE),VLOOKUP($A27,'SegEnds_NonXtal_Prot#'!A:AL,10,FALSE)+7,1)</f>
        <v>V</v>
      </c>
      <c r="Y27" s="50" t="str">
        <f>MID(VLOOKUP($A27,Seqs!$A:$B,2,FALSE),VLOOKUP($A27,'SegEnds_NonXtal_Prot#'!A:AL,10,FALSE)+8,1)</f>
        <v>I</v>
      </c>
      <c r="Z27" s="50" t="str">
        <f>MID(VLOOKUP($A27,Seqs!$A:$B,2,FALSE),VLOOKUP($A27,'SegEnds_NonXtal_Prot#'!A:AL,10,FALSE)+9,1)</f>
        <v>P</v>
      </c>
      <c r="AA27" s="50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50" t="str">
        <f>MID(VLOOKUP($A27,Seqs!$A:$B,2,FALSE),VLOOKUP($A27,'SegEnds_NonXtal_Prot#'!$A:$AL,22,FALSE)+7,1)</f>
        <v>G</v>
      </c>
      <c r="AD27" s="50" t="str">
        <f>MID(VLOOKUP($A27,Seqs!$A:$B,2,FALSE),VLOOKUP($A27,'SegEnds_NonXtal_Prot#'!$A:$AL,22,FALSE)+8,1)</f>
        <v>L</v>
      </c>
      <c r="AE27" s="50" t="str">
        <f>MID(VLOOKUP($A27,Seqs!$A:$B,2,FALSE),VLOOKUP($A27,'SegEnds_NonXtal_Prot#'!$A:$AL,22,FALSE)+9,1)</f>
        <v>T</v>
      </c>
      <c r="AF27" s="50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50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50" t="str">
        <f>MID(VLOOKUP($A28,Seqs!$A:$B,2,FALSE),VLOOKUP($A28,'SegEnds_NonXtal_Prot#'!A:AL,10,FALSE)+6,1)</f>
        <v>L</v>
      </c>
      <c r="X28" s="50" t="str">
        <f>MID(VLOOKUP($A28,Seqs!$A:$B,2,FALSE),VLOOKUP($A28,'SegEnds_NonXtal_Prot#'!A:AL,10,FALSE)+7,1)</f>
        <v>A</v>
      </c>
      <c r="Y28" s="50" t="str">
        <f>MID(VLOOKUP($A28,Seqs!$A:$B,2,FALSE),VLOOKUP($A28,'SegEnds_NonXtal_Prot#'!A:AL,10,FALSE)+8,1)</f>
        <v>I</v>
      </c>
      <c r="Z28" s="50" t="str">
        <f>MID(VLOOKUP($A28,Seqs!$A:$B,2,FALSE),VLOOKUP($A28,'SegEnds_NonXtal_Prot#'!A:AL,10,FALSE)+9,1)</f>
        <v>P</v>
      </c>
      <c r="AA28" s="50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50" t="str">
        <f>MID(VLOOKUP($A28,Seqs!$A:$B,2,FALSE),VLOOKUP($A28,'SegEnds_NonXtal_Prot#'!$A:$AL,22,FALSE)+7,1)</f>
        <v>G</v>
      </c>
      <c r="AD28" s="50" t="str">
        <f>MID(VLOOKUP($A28,Seqs!$A:$B,2,FALSE),VLOOKUP($A28,'SegEnds_NonXtal_Prot#'!$A:$AL,22,FALSE)+8,1)</f>
        <v>L</v>
      </c>
      <c r="AE28" s="50" t="str">
        <f>MID(VLOOKUP($A28,Seqs!$A:$B,2,FALSE),VLOOKUP($A28,'SegEnds_NonXtal_Prot#'!$A:$AL,22,FALSE)+9,1)</f>
        <v>T</v>
      </c>
      <c r="AF28" s="50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50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50" t="str">
        <f>MID(VLOOKUP($A29,Seqs!$A:$B,2,FALSE),VLOOKUP($A29,'SegEnds_NonXtal_Prot#'!A:AL,10,FALSE)+6,1)</f>
        <v>F</v>
      </c>
      <c r="X29" s="50" t="str">
        <f>MID(VLOOKUP($A29,Seqs!$A:$B,2,FALSE),VLOOKUP($A29,'SegEnds_NonXtal_Prot#'!A:AL,10,FALSE)+7,1)</f>
        <v>A</v>
      </c>
      <c r="Y29" s="50" t="str">
        <f>MID(VLOOKUP($A29,Seqs!$A:$B,2,FALSE),VLOOKUP($A29,'SegEnds_NonXtal_Prot#'!A:AL,10,FALSE)+8,1)</f>
        <v>I</v>
      </c>
      <c r="Z29" s="50" t="str">
        <f>MID(VLOOKUP($A29,Seqs!$A:$B,2,FALSE),VLOOKUP($A29,'SegEnds_NonXtal_Prot#'!A:AL,10,FALSE)+9,1)</f>
        <v>P</v>
      </c>
      <c r="AA29" s="50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50" t="str">
        <f>MID(VLOOKUP($A29,Seqs!$A:$B,2,FALSE),VLOOKUP($A29,'SegEnds_NonXtal_Prot#'!$A:$AL,22,FALSE)+7,1)</f>
        <v>G</v>
      </c>
      <c r="AD29" s="50" t="str">
        <f>MID(VLOOKUP($A29,Seqs!$A:$B,2,FALSE),VLOOKUP($A29,'SegEnds_NonXtal_Prot#'!$A:$AL,22,FALSE)+8,1)</f>
        <v>L</v>
      </c>
      <c r="AE29" s="50" t="str">
        <f>MID(VLOOKUP($A29,Seqs!$A:$B,2,FALSE),VLOOKUP($A29,'SegEnds_NonXtal_Prot#'!$A:$AL,22,FALSE)+9,1)</f>
        <v>T</v>
      </c>
      <c r="AF29" s="50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50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50" t="str">
        <f>MID(VLOOKUP($A30,Seqs!$A:$B,2,FALSE),VLOOKUP($A30,'SegEnds_NonXtal_Prot#'!A:AL,10,FALSE)+6,1)</f>
        <v>L</v>
      </c>
      <c r="X30" s="50" t="str">
        <f>MID(VLOOKUP($A30,Seqs!$A:$B,2,FALSE),VLOOKUP($A30,'SegEnds_NonXtal_Prot#'!A:AL,10,FALSE)+7,1)</f>
        <v>V</v>
      </c>
      <c r="Y30" s="50" t="str">
        <f>MID(VLOOKUP($A30,Seqs!$A:$B,2,FALSE),VLOOKUP($A30,'SegEnds_NonXtal_Prot#'!A:AL,10,FALSE)+8,1)</f>
        <v>M</v>
      </c>
      <c r="Z30" s="50" t="str">
        <f>MID(VLOOKUP($A30,Seqs!$A:$B,2,FALSE),VLOOKUP($A30,'SegEnds_NonXtal_Prot#'!A:AL,10,FALSE)+9,1)</f>
        <v>P</v>
      </c>
      <c r="AA30" s="50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50" t="str">
        <f>MID(VLOOKUP($A30,Seqs!$A:$B,2,FALSE),VLOOKUP($A30,'SegEnds_NonXtal_Prot#'!$A:$AL,22,FALSE)+7,1)</f>
        <v>G</v>
      </c>
      <c r="AD30" s="50" t="str">
        <f>MID(VLOOKUP($A30,Seqs!$A:$B,2,FALSE),VLOOKUP($A30,'SegEnds_NonXtal_Prot#'!$A:$AL,22,FALSE)+8,1)</f>
        <v>L</v>
      </c>
      <c r="AE30" s="50" t="str">
        <f>MID(VLOOKUP($A30,Seqs!$A:$B,2,FALSE),VLOOKUP($A30,'SegEnds_NonXtal_Prot#'!$A:$AL,22,FALSE)+9,1)</f>
        <v>T</v>
      </c>
      <c r="AF30" s="50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50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50" t="str">
        <f>MID(VLOOKUP($A31,Seqs!$A:$B,2,FALSE),VLOOKUP($A31,'SegEnds_NonXtal_Prot#'!A:AL,10,FALSE)+6,1)</f>
        <v>Y</v>
      </c>
      <c r="X31" s="50" t="str">
        <f>MID(VLOOKUP($A31,Seqs!$A:$B,2,FALSE),VLOOKUP($A31,'SegEnds_NonXtal_Prot#'!A:AL,10,FALSE)+7,1)</f>
        <v>L</v>
      </c>
      <c r="Y31" s="50" t="str">
        <f>MID(VLOOKUP($A31,Seqs!$A:$B,2,FALSE),VLOOKUP($A31,'SegEnds_NonXtal_Prot#'!A:AL,10,FALSE)+8,1)</f>
        <v>L</v>
      </c>
      <c r="Z31" s="50" t="str">
        <f>MID(VLOOKUP($A31,Seqs!$A:$B,2,FALSE),VLOOKUP($A31,'SegEnds_NonXtal_Prot#'!A:AL,10,FALSE)+9,1)</f>
        <v>L</v>
      </c>
      <c r="AA31" s="50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50" t="str">
        <f>MID(VLOOKUP($A31,Seqs!$A:$B,2,FALSE),VLOOKUP($A31,'SegEnds_NonXtal_Prot#'!$A:$AL,22,FALSE)+7,1)</f>
        <v>A</v>
      </c>
      <c r="AD31" s="50" t="str">
        <f>MID(VLOOKUP($A31,Seqs!$A:$B,2,FALSE),VLOOKUP($A31,'SegEnds_NonXtal_Prot#'!$A:$AL,22,FALSE)+8,1)</f>
        <v>L</v>
      </c>
      <c r="AE31" s="50" t="str">
        <f>MID(VLOOKUP($A31,Seqs!$A:$B,2,FALSE),VLOOKUP($A31,'SegEnds_NonXtal_Prot#'!$A:$AL,22,FALSE)+9,1)</f>
        <v>F</v>
      </c>
      <c r="AF31" s="50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50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50" t="str">
        <f>MID(VLOOKUP($A32,Seqs!$A:$B,2,FALSE),VLOOKUP($A32,'SegEnds_NonXtal_Prot#'!A:AL,10,FALSE)+6,1)</f>
        <v>S</v>
      </c>
      <c r="X32" s="50" t="str">
        <f>MID(VLOOKUP($A32,Seqs!$A:$B,2,FALSE),VLOOKUP($A32,'SegEnds_NonXtal_Prot#'!A:AL,10,FALSE)+7,1)</f>
        <v>S</v>
      </c>
      <c r="Y32" s="50" t="str">
        <f>MID(VLOOKUP($A32,Seqs!$A:$B,2,FALSE),VLOOKUP($A32,'SegEnds_NonXtal_Prot#'!A:AL,10,FALSE)+8,1)</f>
        <v>A</v>
      </c>
      <c r="Z32" s="50" t="str">
        <f>MID(VLOOKUP($A32,Seqs!$A:$B,2,FALSE),VLOOKUP($A32,'SegEnds_NonXtal_Prot#'!A:AL,10,FALSE)+9,1)</f>
        <v>V</v>
      </c>
      <c r="AA32" s="50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50" t="str">
        <f>MID(VLOOKUP($A32,Seqs!$A:$B,2,FALSE),VLOOKUP($A32,'SegEnds_NonXtal_Prot#'!$A:$AL,22,FALSE)+7,1)</f>
        <v>A</v>
      </c>
      <c r="AD32" s="50" t="str">
        <f>MID(VLOOKUP($A32,Seqs!$A:$B,2,FALSE),VLOOKUP($A32,'SegEnds_NonXtal_Prot#'!$A:$AL,22,FALSE)+8,1)</f>
        <v>A</v>
      </c>
      <c r="AE32" s="50" t="str">
        <f>MID(VLOOKUP($A32,Seqs!$A:$B,2,FALSE),VLOOKUP($A32,'SegEnds_NonXtal_Prot#'!$A:$AL,22,FALSE)+9,1)</f>
        <v>V</v>
      </c>
      <c r="AF32" s="50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50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50" t="str">
        <f>MID(VLOOKUP($A33,Seqs!$A:$B,2,FALSE),VLOOKUP($A33,'SegEnds_NonXtal_Prot#'!A:AL,10,FALSE)+6,1)</f>
        <v>Y</v>
      </c>
      <c r="X33" s="50" t="str">
        <f>MID(VLOOKUP($A33,Seqs!$A:$B,2,FALSE),VLOOKUP($A33,'SegEnds_NonXtal_Prot#'!A:AL,10,FALSE)+7,1)</f>
        <v>L</v>
      </c>
      <c r="Y33" s="50" t="str">
        <f>MID(VLOOKUP($A33,Seqs!$A:$B,2,FALSE),VLOOKUP($A33,'SegEnds_NonXtal_Prot#'!A:AL,10,FALSE)+8,1)</f>
        <v>L</v>
      </c>
      <c r="Z33" s="50" t="str">
        <f>MID(VLOOKUP($A33,Seqs!$A:$B,2,FALSE),VLOOKUP($A33,'SegEnds_NonXtal_Prot#'!A:AL,10,FALSE)+9,1)</f>
        <v>L</v>
      </c>
      <c r="AA33" s="50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50" t="str">
        <f>MID(VLOOKUP($A33,Seqs!$A:$B,2,FALSE),VLOOKUP($A33,'SegEnds_NonXtal_Prot#'!$A:$AL,22,FALSE)+7,1)</f>
        <v>A</v>
      </c>
      <c r="AD33" s="50" t="str">
        <f>MID(VLOOKUP($A33,Seqs!$A:$B,2,FALSE),VLOOKUP($A33,'SegEnds_NonXtal_Prot#'!$A:$AL,22,FALSE)+8,1)</f>
        <v>M</v>
      </c>
      <c r="AE33" s="50" t="str">
        <f>MID(VLOOKUP($A33,Seqs!$A:$B,2,FALSE),VLOOKUP($A33,'SegEnds_NonXtal_Prot#'!$A:$AL,22,FALSE)+9,1)</f>
        <v>L</v>
      </c>
      <c r="AF33" s="50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50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50" t="str">
        <f>MID(VLOOKUP($A34,Seqs!$A:$B,2,FALSE),VLOOKUP($A34,'SegEnds_NonXtal_Prot#'!A:AL,10,FALSE)+6,1)</f>
        <v>S</v>
      </c>
      <c r="X34" s="50" t="str">
        <f>MID(VLOOKUP($A34,Seqs!$A:$B,2,FALSE),VLOOKUP($A34,'SegEnds_NonXtal_Prot#'!A:AL,10,FALSE)+7,1)</f>
        <v>S</v>
      </c>
      <c r="Y34" s="50" t="str">
        <f>MID(VLOOKUP($A34,Seqs!$A:$B,2,FALSE),VLOOKUP($A34,'SegEnds_NonXtal_Prot#'!A:AL,10,FALSE)+8,1)</f>
        <v>A</v>
      </c>
      <c r="Z34" s="50" t="str">
        <f>MID(VLOOKUP($A34,Seqs!$A:$B,2,FALSE),VLOOKUP($A34,'SegEnds_NonXtal_Prot#'!A:AL,10,FALSE)+9,1)</f>
        <v>W</v>
      </c>
      <c r="AA34" s="50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50" t="str">
        <f>MID(VLOOKUP($A34,Seqs!$A:$B,2,FALSE),VLOOKUP($A34,'SegEnds_NonXtal_Prot#'!$A:$AL,22,FALSE)+7,1)</f>
        <v>G</v>
      </c>
      <c r="AD34" s="50" t="str">
        <f>MID(VLOOKUP($A34,Seqs!$A:$B,2,FALSE),VLOOKUP($A34,'SegEnds_NonXtal_Prot#'!$A:$AL,22,FALSE)+8,1)</f>
        <v>I</v>
      </c>
      <c r="AE34" s="50" t="str">
        <f>MID(VLOOKUP($A34,Seqs!$A:$B,2,FALSE),VLOOKUP($A34,'SegEnds_NonXtal_Prot#'!$A:$AL,22,FALSE)+9,1)</f>
        <v>V</v>
      </c>
      <c r="AF34" s="50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50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50" t="str">
        <f>MID(VLOOKUP($A35,Seqs!$A:$B,2,FALSE),VLOOKUP($A35,'SegEnds_NonXtal_Prot#'!A:AL,10,FALSE)+6,1)</f>
        <v>I</v>
      </c>
      <c r="X35" s="50" t="str">
        <f>MID(VLOOKUP($A35,Seqs!$A:$B,2,FALSE),VLOOKUP($A35,'SegEnds_NonXtal_Prot#'!A:AL,10,FALSE)+7,1)</f>
        <v>P</v>
      </c>
      <c r="Y35" s="50" t="str">
        <f>MID(VLOOKUP($A35,Seqs!$A:$B,2,FALSE),VLOOKUP($A35,'SegEnds_NonXtal_Prot#'!A:AL,10,FALSE)+8,1)</f>
        <v>G</v>
      </c>
      <c r="Z35" s="50" t="str">
        <f>MID(VLOOKUP($A35,Seqs!$A:$B,2,FALSE),VLOOKUP($A35,'SegEnds_NonXtal_Prot#'!A:AL,10,FALSE)+9,1)</f>
        <v>A</v>
      </c>
      <c r="AA35" s="50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50" t="str">
        <f>MID(VLOOKUP($A35,Seqs!$A:$B,2,FALSE),VLOOKUP($A35,'SegEnds_NonXtal_Prot#'!$A:$AL,22,FALSE)+7,1)</f>
        <v>A</v>
      </c>
      <c r="AD35" s="50" t="str">
        <f>MID(VLOOKUP($A35,Seqs!$A:$B,2,FALSE),VLOOKUP($A35,'SegEnds_NonXtal_Prot#'!$A:$AL,22,FALSE)+8,1)</f>
        <v>L</v>
      </c>
      <c r="AE35" s="50" t="str">
        <f>MID(VLOOKUP($A35,Seqs!$A:$B,2,FALSE),VLOOKUP($A35,'SegEnds_NonXtal_Prot#'!$A:$AL,22,FALSE)+9,1)</f>
        <v>L</v>
      </c>
      <c r="AF35" s="50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50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50" t="str">
        <f>MID(VLOOKUP($A36,Seqs!$A:$B,2,FALSE),VLOOKUP($A36,'SegEnds_NonXtal_Prot#'!A:AL,10,FALSE)+6,1)</f>
        <v>Y</v>
      </c>
      <c r="X36" s="50" t="str">
        <f>MID(VLOOKUP($A36,Seqs!$A:$B,2,FALSE),VLOOKUP($A36,'SegEnds_NonXtal_Prot#'!A:AL,10,FALSE)+7,1)</f>
        <v>L</v>
      </c>
      <c r="Y36" s="50" t="str">
        <f>MID(VLOOKUP($A36,Seqs!$A:$B,2,FALSE),VLOOKUP($A36,'SegEnds_NonXtal_Prot#'!A:AL,10,FALSE)+8,1)</f>
        <v>L</v>
      </c>
      <c r="Z36" s="50" t="str">
        <f>MID(VLOOKUP($A36,Seqs!$A:$B,2,FALSE),VLOOKUP($A36,'SegEnds_NonXtal_Prot#'!A:AL,10,FALSE)+9,1)</f>
        <v>L</v>
      </c>
      <c r="AA36" s="50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50" t="str">
        <f>MID(VLOOKUP($A36,Seqs!$A:$B,2,FALSE),VLOOKUP($A36,'SegEnds_NonXtal_Prot#'!$A:$AL,22,FALSE)+7,1)</f>
        <v>A</v>
      </c>
      <c r="AD36" s="50" t="str">
        <f>MID(VLOOKUP($A36,Seqs!$A:$B,2,FALSE),VLOOKUP($A36,'SegEnds_NonXtal_Prot#'!$A:$AL,22,FALSE)+8,1)</f>
        <v>L</v>
      </c>
      <c r="AE36" s="50" t="str">
        <f>MID(VLOOKUP($A36,Seqs!$A:$B,2,FALSE),VLOOKUP($A36,'SegEnds_NonXtal_Prot#'!$A:$AL,22,FALSE)+9,1)</f>
        <v>L</v>
      </c>
      <c r="AF36" s="50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50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50" t="str">
        <f>MID(VLOOKUP($A37,Seqs!$A:$B,2,FALSE),VLOOKUP($A37,'SegEnds_NonXtal_Prot#'!A:AL,10,FALSE)+6,1)</f>
        <v>F</v>
      </c>
      <c r="X37" s="50" t="str">
        <f>MID(VLOOKUP($A37,Seqs!$A:$B,2,FALSE),VLOOKUP($A37,'SegEnds_NonXtal_Prot#'!A:AL,10,FALSE)+7,1)</f>
        <v>S</v>
      </c>
      <c r="Y37" s="50" t="str">
        <f>MID(VLOOKUP($A37,Seqs!$A:$B,2,FALSE),VLOOKUP($A37,'SegEnds_NonXtal_Prot#'!A:AL,10,FALSE)+8,1)</f>
        <v>M</v>
      </c>
      <c r="Z37" s="50" t="str">
        <f>MID(VLOOKUP($A37,Seqs!$A:$B,2,FALSE),VLOOKUP($A37,'SegEnds_NonXtal_Prot#'!A:AL,10,FALSE)+9,1)</f>
        <v>N</v>
      </c>
      <c r="AA37" s="50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50" t="str">
        <f>MID(VLOOKUP($A37,Seqs!$A:$B,2,FALSE),VLOOKUP($A37,'SegEnds_NonXtal_Prot#'!$A:$AL,22,FALSE)+7,1)</f>
        <v>W</v>
      </c>
      <c r="AD37" s="50" t="str">
        <f>MID(VLOOKUP($A37,Seqs!$A:$B,2,FALSE),VLOOKUP($A37,'SegEnds_NonXtal_Prot#'!$A:$AL,22,FALSE)+8,1)</f>
        <v>A</v>
      </c>
      <c r="AE37" s="50" t="str">
        <f>MID(VLOOKUP($A37,Seqs!$A:$B,2,FALSE),VLOOKUP($A37,'SegEnds_NonXtal_Prot#'!$A:$AL,22,FALSE)+9,1)</f>
        <v>P</v>
      </c>
      <c r="AF37" s="50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50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50" t="str">
        <f>MID(VLOOKUP($A38,Seqs!$A:$B,2,FALSE),VLOOKUP($A38,'SegEnds_NonXtal_Prot#'!A:AL,10,FALSE)+6,1)</f>
        <v>A</v>
      </c>
      <c r="X38" s="50" t="str">
        <f>MID(VLOOKUP($A38,Seqs!$A:$B,2,FALSE),VLOOKUP($A38,'SegEnds_NonXtal_Prot#'!A:AL,10,FALSE)+7,1)</f>
        <v>L</v>
      </c>
      <c r="Y38" s="50" t="str">
        <f>MID(VLOOKUP($A38,Seqs!$A:$B,2,FALSE),VLOOKUP($A38,'SegEnds_NonXtal_Prot#'!A:AL,10,FALSE)+8,1)</f>
        <v>P</v>
      </c>
      <c r="Z38" s="50" t="str">
        <f>MID(VLOOKUP($A38,Seqs!$A:$B,2,FALSE),VLOOKUP($A38,'SegEnds_NonXtal_Prot#'!A:AL,10,FALSE)+9,1)</f>
        <v>T</v>
      </c>
      <c r="AA38" s="50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50" t="str">
        <f>MID(VLOOKUP($A38,Seqs!$A:$B,2,FALSE),VLOOKUP($A38,'SegEnds_NonXtal_Prot#'!$A:$AL,22,FALSE)+7,1)</f>
        <v>A</v>
      </c>
      <c r="AD38" s="50" t="str">
        <f>MID(VLOOKUP($A38,Seqs!$A:$B,2,FALSE),VLOOKUP($A38,'SegEnds_NonXtal_Prot#'!$A:$AL,22,FALSE)+8,1)</f>
        <v>S</v>
      </c>
      <c r="AE38" s="50" t="str">
        <f>MID(VLOOKUP($A38,Seqs!$A:$B,2,FALSE),VLOOKUP($A38,'SegEnds_NonXtal_Prot#'!$A:$AL,22,FALSE)+9,1)</f>
        <v>L</v>
      </c>
      <c r="AF38" s="50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50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50" t="str">
        <f>MID(VLOOKUP($A39,Seqs!$A:$B,2,FALSE),VLOOKUP($A39,'SegEnds_NonXtal_Prot#'!A:AL,10,FALSE)+6,1)</f>
        <v>F</v>
      </c>
      <c r="X39" s="50" t="str">
        <f>MID(VLOOKUP($A39,Seqs!$A:$B,2,FALSE),VLOOKUP($A39,'SegEnds_NonXtal_Prot#'!A:AL,10,FALSE)+7,1)</f>
        <v>C</v>
      </c>
      <c r="Y39" s="50" t="str">
        <f>MID(VLOOKUP($A39,Seqs!$A:$B,2,FALSE),VLOOKUP($A39,'SegEnds_NonXtal_Prot#'!A:AL,10,FALSE)+8,1)</f>
        <v>I</v>
      </c>
      <c r="Z39" s="50" t="str">
        <f>MID(VLOOKUP($A39,Seqs!$A:$B,2,FALSE),VLOOKUP($A39,'SegEnds_NonXtal_Prot#'!A:AL,10,FALSE)+9,1)</f>
        <v>P</v>
      </c>
      <c r="AA39" s="50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50" t="str">
        <f>MID(VLOOKUP($A39,Seqs!$A:$B,2,FALSE),VLOOKUP($A39,'SegEnds_NonXtal_Prot#'!$A:$AL,22,FALSE)+7,1)</f>
        <v>Y</v>
      </c>
      <c r="AD39" s="50" t="str">
        <f>MID(VLOOKUP($A39,Seqs!$A:$B,2,FALSE),VLOOKUP($A39,'SegEnds_NonXtal_Prot#'!$A:$AL,22,FALSE)+8,1)</f>
        <v>G</v>
      </c>
      <c r="AE39" s="50" t="str">
        <f>MID(VLOOKUP($A39,Seqs!$A:$B,2,FALSE),VLOOKUP($A39,'SegEnds_NonXtal_Prot#'!$A:$AL,22,FALSE)+9,1)</f>
        <v>P</v>
      </c>
      <c r="AF39" s="50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50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50" t="str">
        <f>MID(VLOOKUP($A40,Seqs!$A:$B,2,FALSE),VLOOKUP($A40,'SegEnds_NonXtal_Prot#'!A:AL,10,FALSE)+6,1)</f>
        <v>F</v>
      </c>
      <c r="X40" s="50" t="str">
        <f>MID(VLOOKUP($A40,Seqs!$A:$B,2,FALSE),VLOOKUP($A40,'SegEnds_NonXtal_Prot#'!A:AL,10,FALSE)+7,1)</f>
        <v>S</v>
      </c>
      <c r="Y40" s="50" t="str">
        <f>MID(VLOOKUP($A40,Seqs!$A:$B,2,FALSE),VLOOKUP($A40,'SegEnds_NonXtal_Prot#'!A:AL,10,FALSE)+8,1)</f>
        <v>M</v>
      </c>
      <c r="Z40" s="50" t="str">
        <f>MID(VLOOKUP($A40,Seqs!$A:$B,2,FALSE),VLOOKUP($A40,'SegEnds_NonXtal_Prot#'!A:AL,10,FALSE)+9,1)</f>
        <v>N</v>
      </c>
      <c r="AA40" s="50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50" t="str">
        <f>MID(VLOOKUP($A40,Seqs!$A:$B,2,FALSE),VLOOKUP($A40,'SegEnds_NonXtal_Prot#'!$A:$AL,22,FALSE)+7,1)</f>
        <v>W</v>
      </c>
      <c r="AD40" s="50" t="str">
        <f>MID(VLOOKUP($A40,Seqs!$A:$B,2,FALSE),VLOOKUP($A40,'SegEnds_NonXtal_Prot#'!$A:$AL,22,FALSE)+8,1)</f>
        <v>A</v>
      </c>
      <c r="AE40" s="50" t="str">
        <f>MID(VLOOKUP($A40,Seqs!$A:$B,2,FALSE),VLOOKUP($A40,'SegEnds_NonXtal_Prot#'!$A:$AL,22,FALSE)+9,1)</f>
        <v>P</v>
      </c>
      <c r="AF40" s="50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50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50" t="str">
        <f>MID(VLOOKUP($A41,Seqs!$A:$B,2,FALSE),VLOOKUP($A41,'SegEnds_NonXtal_Prot#'!A:AL,10,FALSE)+6,1)</f>
        <v>I</v>
      </c>
      <c r="X41" s="50" t="str">
        <f>MID(VLOOKUP($A41,Seqs!$A:$B,2,FALSE),VLOOKUP($A41,'SegEnds_NonXtal_Prot#'!A:AL,10,FALSE)+7,1)</f>
        <v>S</v>
      </c>
      <c r="Y41" s="50" t="str">
        <f>MID(VLOOKUP($A41,Seqs!$A:$B,2,FALSE),VLOOKUP($A41,'SegEnds_NonXtal_Prot#'!A:AL,10,FALSE)+8,1)</f>
        <v>M</v>
      </c>
      <c r="Z41" s="50" t="str">
        <f>MID(VLOOKUP($A41,Seqs!$A:$B,2,FALSE),VLOOKUP($A41,'SegEnds_NonXtal_Prot#'!A:AL,10,FALSE)+9,1)</f>
        <v>N</v>
      </c>
      <c r="AA41" s="50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50" t="str">
        <f>MID(VLOOKUP($A41,Seqs!$A:$B,2,FALSE),VLOOKUP($A41,'SegEnds_NonXtal_Prot#'!$A:$AL,22,FALSE)+7,1)</f>
        <v>W</v>
      </c>
      <c r="AD41" s="50" t="str">
        <f>MID(VLOOKUP($A41,Seqs!$A:$B,2,FALSE),VLOOKUP($A41,'SegEnds_NonXtal_Prot#'!$A:$AL,22,FALSE)+8,1)</f>
        <v>A</v>
      </c>
      <c r="AE41" s="50" t="str">
        <f>MID(VLOOKUP($A41,Seqs!$A:$B,2,FALSE),VLOOKUP($A41,'SegEnds_NonXtal_Prot#'!$A:$AL,22,FALSE)+9,1)</f>
        <v>P</v>
      </c>
      <c r="AF41" s="50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50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50" t="str">
        <f>MID(VLOOKUP($A42,Seqs!$A:$B,2,FALSE),VLOOKUP($A42,'SegEnds_NonXtal_Prot#'!A:AL,10,FALSE)+6,1)</f>
        <v>I</v>
      </c>
      <c r="X42" s="50" t="str">
        <f>MID(VLOOKUP($A42,Seqs!$A:$B,2,FALSE),VLOOKUP($A42,'SegEnds_NonXtal_Prot#'!A:AL,10,FALSE)+7,1)</f>
        <v>S</v>
      </c>
      <c r="Y42" s="50" t="str">
        <f>MID(VLOOKUP($A42,Seqs!$A:$B,2,FALSE),VLOOKUP($A42,'SegEnds_NonXtal_Prot#'!A:AL,10,FALSE)+8,1)</f>
        <v>M</v>
      </c>
      <c r="Z42" s="50" t="str">
        <f>MID(VLOOKUP($A42,Seqs!$A:$B,2,FALSE),VLOOKUP($A42,'SegEnds_NonXtal_Prot#'!A:AL,10,FALSE)+9,1)</f>
        <v>N</v>
      </c>
      <c r="AA42" s="50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50" t="str">
        <f>MID(VLOOKUP($A42,Seqs!$A:$B,2,FALSE),VLOOKUP($A42,'SegEnds_NonXtal_Prot#'!$A:$AL,22,FALSE)+7,1)</f>
        <v>W</v>
      </c>
      <c r="AD42" s="50" t="str">
        <f>MID(VLOOKUP($A42,Seqs!$A:$B,2,FALSE),VLOOKUP($A42,'SegEnds_NonXtal_Prot#'!$A:$AL,22,FALSE)+8,1)</f>
        <v>A</v>
      </c>
      <c r="AE42" s="50" t="str">
        <f>MID(VLOOKUP($A42,Seqs!$A:$B,2,FALSE),VLOOKUP($A42,'SegEnds_NonXtal_Prot#'!$A:$AL,22,FALSE)+9,1)</f>
        <v>P</v>
      </c>
      <c r="AF42" s="50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50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50" t="str">
        <f>MID(VLOOKUP($A43,Seqs!$A:$B,2,FALSE),VLOOKUP($A43,'SegEnds_NonXtal_Prot#'!A:AL,10,FALSE)+6,1)</f>
        <v>F</v>
      </c>
      <c r="X43" s="50" t="str">
        <f>MID(VLOOKUP($A43,Seqs!$A:$B,2,FALSE),VLOOKUP($A43,'SegEnds_NonXtal_Prot#'!A:AL,10,FALSE)+7,1)</f>
        <v>S</v>
      </c>
      <c r="Y43" s="50" t="str">
        <f>MID(VLOOKUP($A43,Seqs!$A:$B,2,FALSE),VLOOKUP($A43,'SegEnds_NonXtal_Prot#'!A:AL,10,FALSE)+8,1)</f>
        <v>M</v>
      </c>
      <c r="Z43" s="50" t="str">
        <f>MID(VLOOKUP($A43,Seqs!$A:$B,2,FALSE),VLOOKUP($A43,'SegEnds_NonXtal_Prot#'!A:AL,10,FALSE)+9,1)</f>
        <v>N</v>
      </c>
      <c r="AA43" s="50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50" t="str">
        <f>MID(VLOOKUP($A43,Seqs!$A:$B,2,FALSE),VLOOKUP($A43,'SegEnds_NonXtal_Prot#'!$A:$AL,22,FALSE)+7,1)</f>
        <v>W</v>
      </c>
      <c r="AD43" s="50" t="str">
        <f>MID(VLOOKUP($A43,Seqs!$A:$B,2,FALSE),VLOOKUP($A43,'SegEnds_NonXtal_Prot#'!$A:$AL,22,FALSE)+8,1)</f>
        <v>A</v>
      </c>
      <c r="AE43" s="50" t="str">
        <f>MID(VLOOKUP($A43,Seqs!$A:$B,2,FALSE),VLOOKUP($A43,'SegEnds_NonXtal_Prot#'!$A:$AL,22,FALSE)+9,1)</f>
        <v>P</v>
      </c>
      <c r="AF43" s="50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50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50" t="str">
        <f>MID(VLOOKUP($A44,Seqs!$A:$B,2,FALSE),VLOOKUP($A44,'SegEnds_NonXtal_Prot#'!A:AL,10,FALSE)+6,1)</f>
        <v>I</v>
      </c>
      <c r="X44" s="50" t="str">
        <f>MID(VLOOKUP($A44,Seqs!$A:$B,2,FALSE),VLOOKUP($A44,'SegEnds_NonXtal_Prot#'!A:AL,10,FALSE)+7,1)</f>
        <v>S</v>
      </c>
      <c r="Y44" s="50" t="str">
        <f>MID(VLOOKUP($A44,Seqs!$A:$B,2,FALSE),VLOOKUP($A44,'SegEnds_NonXtal_Prot#'!A:AL,10,FALSE)+8,1)</f>
        <v>I</v>
      </c>
      <c r="Z44" s="50" t="str">
        <f>MID(VLOOKUP($A44,Seqs!$A:$B,2,FALSE),VLOOKUP($A44,'SegEnds_NonXtal_Prot#'!A:AL,10,FALSE)+9,1)</f>
        <v>P</v>
      </c>
      <c r="AA44" s="50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50" t="str">
        <f>MID(VLOOKUP($A44,Seqs!$A:$B,2,FALSE),VLOOKUP($A44,'SegEnds_NonXtal_Prot#'!$A:$AL,22,FALSE)+7,1)</f>
        <v>N</v>
      </c>
      <c r="AD44" s="50" t="str">
        <f>MID(VLOOKUP($A44,Seqs!$A:$B,2,FALSE),VLOOKUP($A44,'SegEnds_NonXtal_Prot#'!$A:$AL,22,FALSE)+8,1)</f>
        <v>G</v>
      </c>
      <c r="AE44" s="50" t="str">
        <f>MID(VLOOKUP($A44,Seqs!$A:$B,2,FALSE),VLOOKUP($A44,'SegEnds_NonXtal_Prot#'!$A:$AL,22,FALSE)+9,1)</f>
        <v>P</v>
      </c>
      <c r="AF44" s="50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50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50" t="str">
        <f>MID(VLOOKUP($A45,Seqs!$A:$B,2,FALSE),VLOOKUP($A45,'SegEnds_NonXtal_Prot#'!A:AL,10,FALSE)+6,1)</f>
        <v>F</v>
      </c>
      <c r="X45" s="50" t="str">
        <f>MID(VLOOKUP($A45,Seqs!$A:$B,2,FALSE),VLOOKUP($A45,'SegEnds_NonXtal_Prot#'!A:AL,10,FALSE)+7,1)</f>
        <v>S</v>
      </c>
      <c r="Y45" s="50" t="str">
        <f>MID(VLOOKUP($A45,Seqs!$A:$B,2,FALSE),VLOOKUP($A45,'SegEnds_NonXtal_Prot#'!A:AL,10,FALSE)+8,1)</f>
        <v>M</v>
      </c>
      <c r="Z45" s="50" t="str">
        <f>MID(VLOOKUP($A45,Seqs!$A:$B,2,FALSE),VLOOKUP($A45,'SegEnds_NonXtal_Prot#'!A:AL,10,FALSE)+9,1)</f>
        <v>N</v>
      </c>
      <c r="AA45" s="50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50" t="str">
        <f>MID(VLOOKUP($A45,Seqs!$A:$B,2,FALSE),VLOOKUP($A45,'SegEnds_NonXtal_Prot#'!$A:$AL,22,FALSE)+7,1)</f>
        <v>W</v>
      </c>
      <c r="AD45" s="50" t="str">
        <f>MID(VLOOKUP($A45,Seqs!$A:$B,2,FALSE),VLOOKUP($A45,'SegEnds_NonXtal_Prot#'!$A:$AL,22,FALSE)+8,1)</f>
        <v>A</v>
      </c>
      <c r="AE45" s="50" t="str">
        <f>MID(VLOOKUP($A45,Seqs!$A:$B,2,FALSE),VLOOKUP($A45,'SegEnds_NonXtal_Prot#'!$A:$AL,22,FALSE)+9,1)</f>
        <v>P</v>
      </c>
      <c r="AF45" s="50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50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50" t="str">
        <f>MID(VLOOKUP($A46,Seqs!$A:$B,2,FALSE),VLOOKUP($A46,'SegEnds_NonXtal_Prot#'!A:AL,10,FALSE)+6,1)</f>
        <v>A</v>
      </c>
      <c r="X46" s="50" t="str">
        <f>MID(VLOOKUP($A46,Seqs!$A:$B,2,FALSE),VLOOKUP($A46,'SegEnds_NonXtal_Prot#'!A:AL,10,FALSE)+7,1)</f>
        <v>V</v>
      </c>
      <c r="Y46" s="50" t="str">
        <f>MID(VLOOKUP($A46,Seqs!$A:$B,2,FALSE),VLOOKUP($A46,'SegEnds_NonXtal_Prot#'!A:AL,10,FALSE)+8,1)</f>
        <v>P</v>
      </c>
      <c r="Z46" s="50" t="str">
        <f>MID(VLOOKUP($A46,Seqs!$A:$B,2,FALSE),VLOOKUP($A46,'SegEnds_NonXtal_Prot#'!A:AL,10,FALSE)+9,1)</f>
        <v>L</v>
      </c>
      <c r="AA46" s="50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50" t="str">
        <f>MID(VLOOKUP($A46,Seqs!$A:$B,2,FALSE),VLOOKUP($A46,'SegEnds_NonXtal_Prot#'!$A:$AL,22,FALSE)+7,1)</f>
        <v>S</v>
      </c>
      <c r="AD46" s="50" t="str">
        <f>MID(VLOOKUP($A46,Seqs!$A:$B,2,FALSE),VLOOKUP($A46,'SegEnds_NonXtal_Prot#'!$A:$AL,22,FALSE)+8,1)</f>
        <v>T</v>
      </c>
      <c r="AE46" s="50" t="str">
        <f>MID(VLOOKUP($A46,Seqs!$A:$B,2,FALSE),VLOOKUP($A46,'SegEnds_NonXtal_Prot#'!$A:$AL,22,FALSE)+9,1)</f>
        <v>L</v>
      </c>
      <c r="AF46" s="50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50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50" t="str">
        <f>MID(VLOOKUP($A47,Seqs!$A:$B,2,FALSE),VLOOKUP($A47,'SegEnds_NonXtal_Prot#'!A:AL,10,FALSE)+6,1)</f>
        <v>L</v>
      </c>
      <c r="X47" s="50" t="str">
        <f>MID(VLOOKUP($A47,Seqs!$A:$B,2,FALSE),VLOOKUP($A47,'SegEnds_NonXtal_Prot#'!A:AL,10,FALSE)+7,1)</f>
        <v>V</v>
      </c>
      <c r="Y47" s="50" t="str">
        <f>MID(VLOOKUP($A47,Seqs!$A:$B,2,FALSE),VLOOKUP($A47,'SegEnds_NonXtal_Prot#'!A:AL,10,FALSE)+8,1)</f>
        <v>M</v>
      </c>
      <c r="Z47" s="50" t="str">
        <f>MID(VLOOKUP($A47,Seqs!$A:$B,2,FALSE),VLOOKUP($A47,'SegEnds_NonXtal_Prot#'!A:AL,10,FALSE)+9,1)</f>
        <v>P</v>
      </c>
      <c r="AA47" s="50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50" t="str">
        <f>MID(VLOOKUP($A47,Seqs!$A:$B,2,FALSE),VLOOKUP($A47,'SegEnds_NonXtal_Prot#'!$A:$AL,22,FALSE)+7,1)</f>
        <v>S</v>
      </c>
      <c r="AD47" s="50" t="str">
        <f>MID(VLOOKUP($A47,Seqs!$A:$B,2,FALSE),VLOOKUP($A47,'SegEnds_NonXtal_Prot#'!$A:$AL,22,FALSE)+8,1)</f>
        <v>F</v>
      </c>
      <c r="AE47" s="50" t="str">
        <f>MID(VLOOKUP($A47,Seqs!$A:$B,2,FALSE),VLOOKUP($A47,'SegEnds_NonXtal_Prot#'!$A:$AL,22,FALSE)+9,1)</f>
        <v>L</v>
      </c>
      <c r="AF47" s="50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50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50" t="str">
        <f>MID(VLOOKUP($A48,Seqs!$A:$B,2,FALSE),VLOOKUP($A48,'SegEnds_NonXtal_Prot#'!A:AL,10,FALSE)+6,1)</f>
        <v>V</v>
      </c>
      <c r="X48" s="50" t="str">
        <f>MID(VLOOKUP($A48,Seqs!$A:$B,2,FALSE),VLOOKUP($A48,'SegEnds_NonXtal_Prot#'!A:AL,10,FALSE)+7,1)</f>
        <v>V</v>
      </c>
      <c r="Y48" s="50" t="str">
        <f>MID(VLOOKUP($A48,Seqs!$A:$B,2,FALSE),VLOOKUP($A48,'SegEnds_NonXtal_Prot#'!A:AL,10,FALSE)+8,1)</f>
        <v>M</v>
      </c>
      <c r="Z48" s="50" t="str">
        <f>MID(VLOOKUP($A48,Seqs!$A:$B,2,FALSE),VLOOKUP($A48,'SegEnds_NonXtal_Prot#'!A:AL,10,FALSE)+9,1)</f>
        <v>P</v>
      </c>
      <c r="AA48" s="50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50" t="str">
        <f>MID(VLOOKUP($A48,Seqs!$A:$B,2,FALSE),VLOOKUP($A48,'SegEnds_NonXtal_Prot#'!$A:$AL,22,FALSE)+7,1)</f>
        <v>S</v>
      </c>
      <c r="AD48" s="50" t="str">
        <f>MID(VLOOKUP($A48,Seqs!$A:$B,2,FALSE),VLOOKUP($A48,'SegEnds_NonXtal_Prot#'!$A:$AL,22,FALSE)+8,1)</f>
        <v>F</v>
      </c>
      <c r="AE48" s="50" t="str">
        <f>MID(VLOOKUP($A48,Seqs!$A:$B,2,FALSE),VLOOKUP($A48,'SegEnds_NonXtal_Prot#'!$A:$AL,22,FALSE)+9,1)</f>
        <v>L</v>
      </c>
      <c r="AF48" s="50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50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50" t="str">
        <f>MID(VLOOKUP($A49,Seqs!$A:$B,2,FALSE),VLOOKUP($A49,'SegEnds_NonXtal_Prot#'!A:AL,10,FALSE)+6,1)</f>
        <v>T</v>
      </c>
      <c r="X49" s="50" t="str">
        <f>MID(VLOOKUP($A49,Seqs!$A:$B,2,FALSE),VLOOKUP($A49,'SegEnds_NonXtal_Prot#'!A:AL,10,FALSE)+7,1)</f>
        <v>V</v>
      </c>
      <c r="Y49" s="50" t="str">
        <f>MID(VLOOKUP($A49,Seqs!$A:$B,2,FALSE),VLOOKUP($A49,'SegEnds_NonXtal_Prot#'!A:AL,10,FALSE)+8,1)</f>
        <v>L</v>
      </c>
      <c r="Z49" s="50" t="str">
        <f>MID(VLOOKUP($A49,Seqs!$A:$B,2,FALSE),VLOOKUP($A49,'SegEnds_NonXtal_Prot#'!A:AL,10,FALSE)+9,1)</f>
        <v>P</v>
      </c>
      <c r="AA49" s="50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50" t="str">
        <f>MID(VLOOKUP($A49,Seqs!$A:$B,2,FALSE),VLOOKUP($A49,'SegEnds_NonXtal_Prot#'!$A:$AL,22,FALSE)+7,1)</f>
        <v>S</v>
      </c>
      <c r="AD49" s="50" t="str">
        <f>MID(VLOOKUP($A49,Seqs!$A:$B,2,FALSE),VLOOKUP($A49,'SegEnds_NonXtal_Prot#'!$A:$AL,22,FALSE)+8,1)</f>
        <v>I</v>
      </c>
      <c r="AE49" s="50" t="str">
        <f>MID(VLOOKUP($A49,Seqs!$A:$B,2,FALSE),VLOOKUP($A49,'SegEnds_NonXtal_Prot#'!$A:$AL,22,FALSE)+9,1)</f>
        <v>G</v>
      </c>
      <c r="AF49" s="50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50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50" t="str">
        <f>MID(VLOOKUP($A50,Seqs!$A:$B,2,FALSE),VLOOKUP($A50,'SegEnds_NonXtal_Prot#'!A:AL,10,FALSE)+6,1)</f>
        <v>T</v>
      </c>
      <c r="X50" s="50" t="str">
        <f>MID(VLOOKUP($A50,Seqs!$A:$B,2,FALSE),VLOOKUP($A50,'SegEnds_NonXtal_Prot#'!A:AL,10,FALSE)+7,1)</f>
        <v>V</v>
      </c>
      <c r="Y50" s="50" t="str">
        <f>MID(VLOOKUP($A50,Seqs!$A:$B,2,FALSE),VLOOKUP($A50,'SegEnds_NonXtal_Prot#'!A:AL,10,FALSE)+8,1)</f>
        <v>L</v>
      </c>
      <c r="Z50" s="50" t="str">
        <f>MID(VLOOKUP($A50,Seqs!$A:$B,2,FALSE),VLOOKUP($A50,'SegEnds_NonXtal_Prot#'!A:AL,10,FALSE)+9,1)</f>
        <v>P</v>
      </c>
      <c r="AA50" s="50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50" t="str">
        <f>MID(VLOOKUP($A50,Seqs!$A:$B,2,FALSE),VLOOKUP($A50,'SegEnds_NonXtal_Prot#'!$A:$AL,22,FALSE)+7,1)</f>
        <v>S</v>
      </c>
      <c r="AD50" s="50" t="str">
        <f>MID(VLOOKUP($A50,Seqs!$A:$B,2,FALSE),VLOOKUP($A50,'SegEnds_NonXtal_Prot#'!$A:$AL,22,FALSE)+8,1)</f>
        <v>V</v>
      </c>
      <c r="AE50" s="50" t="str">
        <f>MID(VLOOKUP($A50,Seqs!$A:$B,2,FALSE),VLOOKUP($A50,'SegEnds_NonXtal_Prot#'!$A:$AL,22,FALSE)+9,1)</f>
        <v>G</v>
      </c>
      <c r="AF50" s="50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50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50" t="str">
        <f>MID(VLOOKUP($A51,Seqs!$A:$B,2,FALSE),VLOOKUP($A51,'SegEnds_NonXtal_Prot#'!A:AL,10,FALSE)+6,1)</f>
        <v>L</v>
      </c>
      <c r="X51" s="50" t="str">
        <f>MID(VLOOKUP($A51,Seqs!$A:$B,2,FALSE),VLOOKUP($A51,'SegEnds_NonXtal_Prot#'!A:AL,10,FALSE)+7,1)</f>
        <v>V</v>
      </c>
      <c r="Y51" s="50" t="str">
        <f>MID(VLOOKUP($A51,Seqs!$A:$B,2,FALSE),VLOOKUP($A51,'SegEnds_NonXtal_Prot#'!A:AL,10,FALSE)+8,1)</f>
        <v>V</v>
      </c>
      <c r="Z51" s="50" t="str">
        <f>MID(VLOOKUP($A51,Seqs!$A:$B,2,FALSE),VLOOKUP($A51,'SegEnds_NonXtal_Prot#'!A:AL,10,FALSE)+9,1)</f>
        <v>P</v>
      </c>
      <c r="AA51" s="50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50" t="str">
        <f>MID(VLOOKUP($A51,Seqs!$A:$B,2,FALSE),VLOOKUP($A51,'SegEnds_NonXtal_Prot#'!$A:$AL,22,FALSE)+7,1)</f>
        <v>S</v>
      </c>
      <c r="AD51" s="50" t="str">
        <f>MID(VLOOKUP($A51,Seqs!$A:$B,2,FALSE),VLOOKUP($A51,'SegEnds_NonXtal_Prot#'!$A:$AL,22,FALSE)+8,1)</f>
        <v>F</v>
      </c>
      <c r="AE51" s="50" t="str">
        <f>MID(VLOOKUP($A51,Seqs!$A:$B,2,FALSE),VLOOKUP($A51,'SegEnds_NonXtal_Prot#'!$A:$AL,22,FALSE)+9,1)</f>
        <v>L</v>
      </c>
      <c r="AF51" s="50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50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50" t="str">
        <f>MID(VLOOKUP($A52,Seqs!$A:$B,2,FALSE),VLOOKUP($A52,'SegEnds_NonXtal_Prot#'!A:AL,10,FALSE)+6,1)</f>
        <v>L</v>
      </c>
      <c r="X52" s="50" t="str">
        <f>MID(VLOOKUP($A52,Seqs!$A:$B,2,FALSE),VLOOKUP($A52,'SegEnds_NonXtal_Prot#'!A:AL,10,FALSE)+7,1)</f>
        <v>V</v>
      </c>
      <c r="Y52" s="50" t="str">
        <f>MID(VLOOKUP($A52,Seqs!$A:$B,2,FALSE),VLOOKUP($A52,'SegEnds_NonXtal_Prot#'!A:AL,10,FALSE)+8,1)</f>
        <v>V</v>
      </c>
      <c r="Z52" s="50" t="str">
        <f>MID(VLOOKUP($A52,Seqs!$A:$B,2,FALSE),VLOOKUP($A52,'SegEnds_NonXtal_Prot#'!A:AL,10,FALSE)+9,1)</f>
        <v>P</v>
      </c>
      <c r="AA52" s="50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50" t="str">
        <f>MID(VLOOKUP($A52,Seqs!$A:$B,2,FALSE),VLOOKUP($A52,'SegEnds_NonXtal_Prot#'!$A:$AL,22,FALSE)+7,1)</f>
        <v>S</v>
      </c>
      <c r="AD52" s="50" t="str">
        <f>MID(VLOOKUP($A52,Seqs!$A:$B,2,FALSE),VLOOKUP($A52,'SegEnds_NonXtal_Prot#'!$A:$AL,22,FALSE)+8,1)</f>
        <v>F</v>
      </c>
      <c r="AE52" s="50" t="str">
        <f>MID(VLOOKUP($A52,Seqs!$A:$B,2,FALSE),VLOOKUP($A52,'SegEnds_NonXtal_Prot#'!$A:$AL,22,FALSE)+9,1)</f>
        <v>L</v>
      </c>
      <c r="AF52" s="50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50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50" t="str">
        <f>MID(VLOOKUP($A53,Seqs!$A:$B,2,FALSE),VLOOKUP($A53,'SegEnds_NonXtal_Prot#'!A:AL,10,FALSE)+6,1)</f>
        <v>L</v>
      </c>
      <c r="X53" s="50" t="str">
        <f>MID(VLOOKUP($A53,Seqs!$A:$B,2,FALSE),VLOOKUP($A53,'SegEnds_NonXtal_Prot#'!A:AL,10,FALSE)+7,1)</f>
        <v>V</v>
      </c>
      <c r="Y53" s="50" t="str">
        <f>MID(VLOOKUP($A53,Seqs!$A:$B,2,FALSE),VLOOKUP($A53,'SegEnds_NonXtal_Prot#'!A:AL,10,FALSE)+8,1)</f>
        <v>V</v>
      </c>
      <c r="Z53" s="50" t="str">
        <f>MID(VLOOKUP($A53,Seqs!$A:$B,2,FALSE),VLOOKUP($A53,'SegEnds_NonXtal_Prot#'!A:AL,10,FALSE)+9,1)</f>
        <v>P</v>
      </c>
      <c r="AA53" s="50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50" t="str">
        <f>MID(VLOOKUP($A53,Seqs!$A:$B,2,FALSE),VLOOKUP($A53,'SegEnds_NonXtal_Prot#'!$A:$AL,22,FALSE)+7,1)</f>
        <v>S</v>
      </c>
      <c r="AD53" s="50" t="str">
        <f>MID(VLOOKUP($A53,Seqs!$A:$B,2,FALSE),VLOOKUP($A53,'SegEnds_NonXtal_Prot#'!$A:$AL,22,FALSE)+8,1)</f>
        <v>F</v>
      </c>
      <c r="AE53" s="50" t="str">
        <f>MID(VLOOKUP($A53,Seqs!$A:$B,2,FALSE),VLOOKUP($A53,'SegEnds_NonXtal_Prot#'!$A:$AL,22,FALSE)+9,1)</f>
        <v>A</v>
      </c>
      <c r="AF53" s="50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50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50" t="str">
        <f>MID(VLOOKUP($A54,Seqs!$A:$B,2,FALSE),VLOOKUP($A54,'SegEnds_NonXtal_Prot#'!A:AL,10,FALSE)+6,1)</f>
        <v>L</v>
      </c>
      <c r="X54" s="50" t="str">
        <f>MID(VLOOKUP($A54,Seqs!$A:$B,2,FALSE),VLOOKUP($A54,'SegEnds_NonXtal_Prot#'!A:AL,10,FALSE)+7,1)</f>
        <v>V</v>
      </c>
      <c r="Y54" s="50" t="str">
        <f>MID(VLOOKUP($A54,Seqs!$A:$B,2,FALSE),VLOOKUP($A54,'SegEnds_NonXtal_Prot#'!A:AL,10,FALSE)+8,1)</f>
        <v>M</v>
      </c>
      <c r="Z54" s="50" t="str">
        <f>MID(VLOOKUP($A54,Seqs!$A:$B,2,FALSE),VLOOKUP($A54,'SegEnds_NonXtal_Prot#'!A:AL,10,FALSE)+9,1)</f>
        <v>P</v>
      </c>
      <c r="AA54" s="50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50" t="str">
        <f>MID(VLOOKUP($A54,Seqs!$A:$B,2,FALSE),VLOOKUP($A54,'SegEnds_NonXtal_Prot#'!$A:$AL,22,FALSE)+7,1)</f>
        <v>S</v>
      </c>
      <c r="AD54" s="50" t="str">
        <f>MID(VLOOKUP($A54,Seqs!$A:$B,2,FALSE),VLOOKUP($A54,'SegEnds_NonXtal_Prot#'!$A:$AL,22,FALSE)+8,1)</f>
        <v>F</v>
      </c>
      <c r="AE54" s="50" t="str">
        <f>MID(VLOOKUP($A54,Seqs!$A:$B,2,FALSE),VLOOKUP($A54,'SegEnds_NonXtal_Prot#'!$A:$AL,22,FALSE)+9,1)</f>
        <v>I</v>
      </c>
      <c r="AF54" s="50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50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50" t="str">
        <f>MID(VLOOKUP($A55,Seqs!$A:$B,2,FALSE),VLOOKUP($A55,'SegEnds_NonXtal_Prot#'!A:AL,10,FALSE)+6,1)</f>
        <v>L</v>
      </c>
      <c r="X55" s="50" t="str">
        <f>MID(VLOOKUP($A55,Seqs!$A:$B,2,FALSE),VLOOKUP($A55,'SegEnds_NonXtal_Prot#'!A:AL,10,FALSE)+7,1)</f>
        <v>V</v>
      </c>
      <c r="Y55" s="50" t="str">
        <f>MID(VLOOKUP($A55,Seqs!$A:$B,2,FALSE),VLOOKUP($A55,'SegEnds_NonXtal_Prot#'!A:AL,10,FALSE)+8,1)</f>
        <v>M</v>
      </c>
      <c r="Z55" s="50" t="str">
        <f>MID(VLOOKUP($A55,Seqs!$A:$B,2,FALSE),VLOOKUP($A55,'SegEnds_NonXtal_Prot#'!A:AL,10,FALSE)+9,1)</f>
        <v>P</v>
      </c>
      <c r="AA55" s="50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50" t="str">
        <f>MID(VLOOKUP($A55,Seqs!$A:$B,2,FALSE),VLOOKUP($A55,'SegEnds_NonXtal_Prot#'!$A:$AL,22,FALSE)+7,1)</f>
        <v>S</v>
      </c>
      <c r="AD55" s="50" t="str">
        <f>MID(VLOOKUP($A55,Seqs!$A:$B,2,FALSE),VLOOKUP($A55,'SegEnds_NonXtal_Prot#'!$A:$AL,22,FALSE)+8,1)</f>
        <v>F</v>
      </c>
      <c r="AE55" s="50" t="str">
        <f>MID(VLOOKUP($A55,Seqs!$A:$B,2,FALSE),VLOOKUP($A55,'SegEnds_NonXtal_Prot#'!$A:$AL,22,FALSE)+9,1)</f>
        <v>I</v>
      </c>
      <c r="AF55" s="50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50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50" t="str">
        <f>MID(VLOOKUP($A56,Seqs!$A:$B,2,FALSE),VLOOKUP($A56,'SegEnds_NonXtal_Prot#'!A:AL,10,FALSE)+6,1)</f>
        <v>L</v>
      </c>
      <c r="X56" s="50" t="str">
        <f>MID(VLOOKUP($A56,Seqs!$A:$B,2,FALSE),VLOOKUP($A56,'SegEnds_NonXtal_Prot#'!A:AL,10,FALSE)+7,1)</f>
        <v>V</v>
      </c>
      <c r="Y56" s="50" t="str">
        <f>MID(VLOOKUP($A56,Seqs!$A:$B,2,FALSE),VLOOKUP($A56,'SegEnds_NonXtal_Prot#'!A:AL,10,FALSE)+8,1)</f>
        <v>A</v>
      </c>
      <c r="Z56" s="50" t="str">
        <f>MID(VLOOKUP($A56,Seqs!$A:$B,2,FALSE),VLOOKUP($A56,'SegEnds_NonXtal_Prot#'!A:AL,10,FALSE)+9,1)</f>
        <v>P</v>
      </c>
      <c r="AA56" s="50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50" t="str">
        <f>MID(VLOOKUP($A56,Seqs!$A:$B,2,FALSE),VLOOKUP($A56,'SegEnds_NonXtal_Prot#'!$A:$AL,22,FALSE)+7,1)</f>
        <v>S</v>
      </c>
      <c r="AD56" s="50" t="str">
        <f>MID(VLOOKUP($A56,Seqs!$A:$B,2,FALSE),VLOOKUP($A56,'SegEnds_NonXtal_Prot#'!$A:$AL,22,FALSE)+8,1)</f>
        <v>T</v>
      </c>
      <c r="AE56" s="50" t="str">
        <f>MID(VLOOKUP($A56,Seqs!$A:$B,2,FALSE),VLOOKUP($A56,'SegEnds_NonXtal_Prot#'!$A:$AL,22,FALSE)+9,1)</f>
        <v>P</v>
      </c>
      <c r="AF56" s="50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50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50" t="str">
        <f>MID(VLOOKUP($A57,Seqs!$A:$B,2,FALSE),VLOOKUP($A57,'SegEnds_NonXtal_Prot#'!A:AL,10,FALSE)+6,1)</f>
        <v>C</v>
      </c>
      <c r="X57" s="50" t="str">
        <f>MID(VLOOKUP($A57,Seqs!$A:$B,2,FALSE),VLOOKUP($A57,'SegEnds_NonXtal_Prot#'!A:AL,10,FALSE)+7,1)</f>
        <v>C</v>
      </c>
      <c r="Y57" s="50" t="str">
        <f>MID(VLOOKUP($A57,Seqs!$A:$B,2,FALSE),VLOOKUP($A57,'SegEnds_NonXtal_Prot#'!A:AL,10,FALSE)+8,1)</f>
        <v>M</v>
      </c>
      <c r="Z57" s="50" t="str">
        <f>MID(VLOOKUP($A57,Seqs!$A:$B,2,FALSE),VLOOKUP($A57,'SegEnds_NonXtal_Prot#'!A:AL,10,FALSE)+9,1)</f>
        <v>P</v>
      </c>
      <c r="AA57" s="50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50" t="str">
        <f>MID(VLOOKUP($A57,Seqs!$A:$B,2,FALSE),VLOOKUP($A57,'SegEnds_NonXtal_Prot#'!$A:$AL,22,FALSE)+7,1)</f>
        <v>A</v>
      </c>
      <c r="AD57" s="50" t="str">
        <f>MID(VLOOKUP($A57,Seqs!$A:$B,2,FALSE),VLOOKUP($A57,'SegEnds_NonXtal_Prot#'!$A:$AL,22,FALSE)+8,1)</f>
        <v>G</v>
      </c>
      <c r="AE57" s="50" t="str">
        <f>MID(VLOOKUP($A57,Seqs!$A:$B,2,FALSE),VLOOKUP($A57,'SegEnds_NonXtal_Prot#'!$A:$AL,22,FALSE)+9,1)</f>
        <v>P</v>
      </c>
      <c r="AF57" s="50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50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50" t="str">
        <f>MID(VLOOKUP($A58,Seqs!$A:$B,2,FALSE),VLOOKUP($A58,'SegEnds_NonXtal_Prot#'!A:AL,10,FALSE)+6,1)</f>
        <v>L</v>
      </c>
      <c r="X58" s="50" t="str">
        <f>MID(VLOOKUP($A58,Seqs!$A:$B,2,FALSE),VLOOKUP($A58,'SegEnds_NonXtal_Prot#'!A:AL,10,FALSE)+7,1)</f>
        <v>V</v>
      </c>
      <c r="Y58" s="50" t="str">
        <f>MID(VLOOKUP($A58,Seqs!$A:$B,2,FALSE),VLOOKUP($A58,'SegEnds_NonXtal_Prot#'!A:AL,10,FALSE)+8,1)</f>
        <v>L</v>
      </c>
      <c r="Z58" s="50" t="str">
        <f>MID(VLOOKUP($A58,Seqs!$A:$B,2,FALSE),VLOOKUP($A58,'SegEnds_NonXtal_Prot#'!A:AL,10,FALSE)+9,1)</f>
        <v>P</v>
      </c>
      <c r="AA58" s="50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50" t="str">
        <f>MID(VLOOKUP($A58,Seqs!$A:$B,2,FALSE),VLOOKUP($A58,'SegEnds_NonXtal_Prot#'!$A:$AL,22,FALSE)+7,1)</f>
        <v>S</v>
      </c>
      <c r="AD58" s="50" t="str">
        <f>MID(VLOOKUP($A58,Seqs!$A:$B,2,FALSE),VLOOKUP($A58,'SegEnds_NonXtal_Prot#'!$A:$AL,22,FALSE)+8,1)</f>
        <v>F</v>
      </c>
      <c r="AE58" s="50" t="str">
        <f>MID(VLOOKUP($A58,Seqs!$A:$B,2,FALSE),VLOOKUP($A58,'SegEnds_NonXtal_Prot#'!$A:$AL,22,FALSE)+9,1)</f>
        <v>L</v>
      </c>
      <c r="AF58" s="50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50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50" t="str">
        <f>MID(VLOOKUP($A59,Seqs!$A:$B,2,FALSE),VLOOKUP($A59,'SegEnds_NonXtal_Prot#'!A:AL,10,FALSE)+6,1)</f>
        <v>Y</v>
      </c>
      <c r="X59" s="50" t="str">
        <f>MID(VLOOKUP($A59,Seqs!$A:$B,2,FALSE),VLOOKUP($A59,'SegEnds_NonXtal_Prot#'!A:AL,10,FALSE)+7,1)</f>
        <v>P</v>
      </c>
      <c r="Y59" s="50" t="str">
        <f>MID(VLOOKUP($A59,Seqs!$A:$B,2,FALSE),VLOOKUP($A59,'SegEnds_NonXtal_Prot#'!A:AL,10,FALSE)+8,1)</f>
        <v>Y</v>
      </c>
      <c r="Z59" s="50" t="str">
        <f>MID(VLOOKUP($A59,Seqs!$A:$B,2,FALSE),VLOOKUP($A59,'SegEnds_NonXtal_Prot#'!A:AL,10,FALSE)+9,1)</f>
        <v>P</v>
      </c>
      <c r="AA59" s="50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50" t="str">
        <f>MID(VLOOKUP($A59,Seqs!$A:$B,2,FALSE),VLOOKUP($A59,'SegEnds_NonXtal_Prot#'!$A:$AL,22,FALSE)+7,1)</f>
        <v>V</v>
      </c>
      <c r="AD59" s="50" t="str">
        <f>MID(VLOOKUP($A59,Seqs!$A:$B,2,FALSE),VLOOKUP($A59,'SegEnds_NonXtal_Prot#'!$A:$AL,22,FALSE)+8,1)</f>
        <v>L</v>
      </c>
      <c r="AE59" s="50" t="str">
        <f>MID(VLOOKUP($A59,Seqs!$A:$B,2,FALSE),VLOOKUP($A59,'SegEnds_NonXtal_Prot#'!$A:$AL,22,FALSE)+9,1)</f>
        <v>P</v>
      </c>
      <c r="AF59" s="50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50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50" t="str">
        <f>MID(VLOOKUP($A60,Seqs!$A:$B,2,FALSE),VLOOKUP($A60,'SegEnds_NonXtal_Prot#'!A:AL,10,FALSE)+6,1)</f>
        <v>Y</v>
      </c>
      <c r="X60" s="50" t="str">
        <f>MID(VLOOKUP($A60,Seqs!$A:$B,2,FALSE),VLOOKUP($A60,'SegEnds_NonXtal_Prot#'!A:AL,10,FALSE)+7,1)</f>
        <v>L</v>
      </c>
      <c r="Y60" s="50" t="str">
        <f>MID(VLOOKUP($A60,Seqs!$A:$B,2,FALSE),VLOOKUP($A60,'SegEnds_NonXtal_Prot#'!A:AL,10,FALSE)+8,1)</f>
        <v>F</v>
      </c>
      <c r="Z60" s="50" t="str">
        <f>MID(VLOOKUP($A60,Seqs!$A:$B,2,FALSE),VLOOKUP($A60,'SegEnds_NonXtal_Prot#'!A:AL,10,FALSE)+9,1)</f>
        <v>F</v>
      </c>
      <c r="AA60" s="50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50" t="str">
        <f>MID(VLOOKUP($A60,Seqs!$A:$B,2,FALSE),VLOOKUP($A60,'SegEnds_NonXtal_Prot#'!$A:$AL,22,FALSE)+7,1)</f>
        <v>A</v>
      </c>
      <c r="AD60" s="50" t="str">
        <f>MID(VLOOKUP($A60,Seqs!$A:$B,2,FALSE),VLOOKUP($A60,'SegEnds_NonXtal_Prot#'!$A:$AL,22,FALSE)+8,1)</f>
        <v>V</v>
      </c>
      <c r="AE60" s="50" t="str">
        <f>MID(VLOOKUP($A60,Seqs!$A:$B,2,FALSE),VLOOKUP($A60,'SegEnds_NonXtal_Prot#'!$A:$AL,22,FALSE)+9,1)</f>
        <v>I</v>
      </c>
      <c r="AF60" s="50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50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adrb2_human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50" t="str">
        <f>MID(VLOOKUP($A61,Seqs!$A:$B,2,FALSE),VLOOKUP($A61,'SegEnds_NonXtal_Prot#'!A:AL,10,FALSE)+6,1)</f>
        <v>L</v>
      </c>
      <c r="X61" s="50" t="str">
        <f>MID(VLOOKUP($A61,Seqs!$A:$B,2,FALSE),VLOOKUP($A61,'SegEnds_NonXtal_Prot#'!A:AL,10,FALSE)+7,1)</f>
        <v>V</v>
      </c>
      <c r="Y61" s="50" t="str">
        <f>MID(VLOOKUP($A61,Seqs!$A:$B,2,FALSE),VLOOKUP($A61,'SegEnds_NonXtal_Prot#'!A:AL,10,FALSE)+8,1)</f>
        <v>M</v>
      </c>
      <c r="Z61" s="50" t="str">
        <f>MID(VLOOKUP($A61,Seqs!$A:$B,2,FALSE),VLOOKUP($A61,'SegEnds_NonXtal_Prot#'!A:AL,10,FALSE)+9,1)</f>
        <v>P</v>
      </c>
      <c r="AA61" s="50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50" t="str">
        <f>MID(VLOOKUP($A61,Seqs!$A:$B,2,FALSE),VLOOKUP($A61,'SegEnds_NonXtal_Prot#'!$A:$AL,22,FALSE)+7,1)</f>
        <v>A</v>
      </c>
      <c r="AD61" s="50" t="str">
        <f>MID(VLOOKUP($A61,Seqs!$A:$B,2,FALSE),VLOOKUP($A61,'SegEnds_NonXtal_Prot#'!$A:$AL,22,FALSE)+8,1)</f>
        <v>F</v>
      </c>
      <c r="AE61" s="50" t="str">
        <f>MID(VLOOKUP($A61,Seqs!$A:$B,2,FALSE),VLOOKUP($A61,'SegEnds_NonXtal_Prot#'!$A:$AL,22,FALSE)+9,1)</f>
        <v>G</v>
      </c>
      <c r="AF61" s="50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50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50" t="str">
        <f>MID(VLOOKUP($A62,Seqs!$A:$B,2,FALSE),VLOOKUP($A62,'SegEnds_NonXtal_Prot#'!A:AL,10,FALSE)+6,1)</f>
        <v>A</v>
      </c>
      <c r="X62" s="50" t="str">
        <f>MID(VLOOKUP($A62,Seqs!$A:$B,2,FALSE),VLOOKUP($A62,'SegEnds_NonXtal_Prot#'!A:AL,10,FALSE)+7,1)</f>
        <v>V</v>
      </c>
      <c r="Y62" s="50" t="str">
        <f>MID(VLOOKUP($A62,Seqs!$A:$B,2,FALSE),VLOOKUP($A62,'SegEnds_NonXtal_Prot#'!A:AL,10,FALSE)+8,1)</f>
        <v>V</v>
      </c>
      <c r="Z62" s="50" t="str">
        <f>MID(VLOOKUP($A62,Seqs!$A:$B,2,FALSE),VLOOKUP($A62,'SegEnds_NonXtal_Prot#'!A:AL,10,FALSE)+9,1)</f>
        <v>P</v>
      </c>
      <c r="AA62" s="50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50" t="str">
        <f>MID(VLOOKUP($A62,Seqs!$A:$B,2,FALSE),VLOOKUP($A62,'SegEnds_NonXtal_Prot#'!$A:$AL,22,FALSE)+7,1)</f>
        <v>S</v>
      </c>
      <c r="AD62" s="50" t="str">
        <f>MID(VLOOKUP($A62,Seqs!$A:$B,2,FALSE),VLOOKUP($A62,'SegEnds_NonXtal_Prot#'!$A:$AL,22,FALSE)+8,1)</f>
        <v>F</v>
      </c>
      <c r="AE62" s="50" t="str">
        <f>MID(VLOOKUP($A62,Seqs!$A:$B,2,FALSE),VLOOKUP($A62,'SegEnds_NonXtal_Prot#'!$A:$AL,22,FALSE)+9,1)</f>
        <v>L</v>
      </c>
      <c r="AF62" s="50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50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50" t="str">
        <f>MID(VLOOKUP($A63,Seqs!$A:$B,2,FALSE),VLOOKUP($A63,'SegEnds_NonXtal_Prot#'!A:AL,10,FALSE)+6,1)</f>
        <v>Y</v>
      </c>
      <c r="X63" s="50" t="str">
        <f>MID(VLOOKUP($A63,Seqs!$A:$B,2,FALSE),VLOOKUP($A63,'SegEnds_NonXtal_Prot#'!A:AL,10,FALSE)+7,1)</f>
        <v>L</v>
      </c>
      <c r="Y63" s="50" t="str">
        <f>MID(VLOOKUP($A63,Seqs!$A:$B,2,FALSE),VLOOKUP($A63,'SegEnds_NonXtal_Prot#'!A:AL,10,FALSE)+8,1)</f>
        <v>F</v>
      </c>
      <c r="Z63" s="50" t="str">
        <f>MID(VLOOKUP($A63,Seqs!$A:$B,2,FALSE),VLOOKUP($A63,'SegEnds_NonXtal_Prot#'!A:AL,10,FALSE)+9,1)</f>
        <v>V</v>
      </c>
      <c r="AA63" s="50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50" t="str">
        <f>MID(VLOOKUP($A63,Seqs!$A:$B,2,FALSE),VLOOKUP($A63,'SegEnds_NonXtal_Prot#'!$A:$AL,22,FALSE)+7,1)</f>
        <v>A</v>
      </c>
      <c r="AD63" s="50" t="str">
        <f>MID(VLOOKUP($A63,Seqs!$A:$B,2,FALSE),VLOOKUP($A63,'SegEnds_NonXtal_Prot#'!$A:$AL,22,FALSE)+8,1)</f>
        <v>F</v>
      </c>
      <c r="AE63" s="50" t="str">
        <f>MID(VLOOKUP($A63,Seqs!$A:$B,2,FALSE),VLOOKUP($A63,'SegEnds_NonXtal_Prot#'!$A:$AL,22,FALSE)+9,1)</f>
        <v>I</v>
      </c>
      <c r="AF63" s="50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50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50" t="str">
        <f>MID(VLOOKUP($A64,Seqs!$A:$B,2,FALSE),VLOOKUP($A64,'SegEnds_NonXtal_Prot#'!A:AL,10,FALSE)+6,1)</f>
        <v>T</v>
      </c>
      <c r="X64" s="50" t="str">
        <f>MID(VLOOKUP($A64,Seqs!$A:$B,2,FALSE),VLOOKUP($A64,'SegEnds_NonXtal_Prot#'!A:AL,10,FALSE)+7,1)</f>
        <v>I</v>
      </c>
      <c r="Y64" s="50" t="str">
        <f>MID(VLOOKUP($A64,Seqs!$A:$B,2,FALSE),VLOOKUP($A64,'SegEnds_NonXtal_Prot#'!A:AL,10,FALSE)+8,1)</f>
        <v>P</v>
      </c>
      <c r="Z64" s="50" t="str">
        <f>MID(VLOOKUP($A64,Seqs!$A:$B,2,FALSE),VLOOKUP($A64,'SegEnds_NonXtal_Prot#'!A:AL,10,FALSE)+9,1)</f>
        <v>V</v>
      </c>
      <c r="AA64" s="50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50" t="str">
        <f>MID(VLOOKUP($A64,Seqs!$A:$B,2,FALSE),VLOOKUP($A64,'SegEnds_NonXtal_Prot#'!$A:$AL,22,FALSE)+7,1)</f>
        <v>S</v>
      </c>
      <c r="AD64" s="50" t="str">
        <f>MID(VLOOKUP($A64,Seqs!$A:$B,2,FALSE),VLOOKUP($A64,'SegEnds_NonXtal_Prot#'!$A:$AL,22,FALSE)+8,1)</f>
        <v>L</v>
      </c>
      <c r="AE64" s="50" t="str">
        <f>MID(VLOOKUP($A64,Seqs!$A:$B,2,FALSE),VLOOKUP($A64,'SegEnds_NonXtal_Prot#'!$A:$AL,22,FALSE)+9,1)</f>
        <v>P</v>
      </c>
      <c r="AF64" s="50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50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8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50" t="str">
        <f>MID(VLOOKUP($A65,Seqs!$A:$B,2,FALSE),VLOOKUP($A65,'SegEnds_NonXtal_Prot#'!A:AL,10,FALSE)+6,1)</f>
        <v>T</v>
      </c>
      <c r="X65" s="50" t="str">
        <f>MID(VLOOKUP($A65,Seqs!$A:$B,2,FALSE),VLOOKUP($A65,'SegEnds_NonXtal_Prot#'!A:AL,10,FALSE)+7,1)</f>
        <v>L</v>
      </c>
      <c r="Y65" s="50" t="str">
        <f>MID(VLOOKUP($A65,Seqs!$A:$B,2,FALSE),VLOOKUP($A65,'SegEnds_NonXtal_Prot#'!A:AL,10,FALSE)+8,1)</f>
        <v>P</v>
      </c>
      <c r="Z65" s="50" t="str">
        <f>MID(VLOOKUP($A65,Seqs!$A:$B,2,FALSE),VLOOKUP($A65,'SegEnds_NonXtal_Prot#'!A:AL,10,FALSE)+9,1)</f>
        <v>L</v>
      </c>
      <c r="AA65" s="50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50" t="str">
        <f>MID(VLOOKUP($A65,Seqs!$A:$B,2,FALSE),VLOOKUP($A65,'SegEnds_NonXtal_Prot#'!$A:$AL,22,FALSE)+7,1)</f>
        <v>S</v>
      </c>
      <c r="AD65" s="50" t="str">
        <f>MID(VLOOKUP($A65,Seqs!$A:$B,2,FALSE),VLOOKUP($A65,'SegEnds_NonXtal_Prot#'!$A:$AL,22,FALSE)+8,1)</f>
        <v>L</v>
      </c>
      <c r="AE65" s="50" t="str">
        <f>MID(VLOOKUP($A65,Seqs!$A:$B,2,FALSE),VLOOKUP($A65,'SegEnds_NonXtal_Prot#'!$A:$AL,22,FALSE)+9,1)</f>
        <v>P</v>
      </c>
      <c r="AF65" s="50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50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8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50" t="str">
        <f>MID(VLOOKUP($A66,Seqs!$A:$B,2,FALSE),VLOOKUP($A66,'SegEnds_NonXtal_Prot#'!A:AL,10,FALSE)+6,1)</f>
        <v>T</v>
      </c>
      <c r="X66" s="50" t="str">
        <f>MID(VLOOKUP($A66,Seqs!$A:$B,2,FALSE),VLOOKUP($A66,'SegEnds_NonXtal_Prot#'!A:AL,10,FALSE)+7,1)</f>
        <v>L</v>
      </c>
      <c r="Y66" s="50" t="str">
        <f>MID(VLOOKUP($A66,Seqs!$A:$B,2,FALSE),VLOOKUP($A66,'SegEnds_NonXtal_Prot#'!A:AL,10,FALSE)+8,1)</f>
        <v>P</v>
      </c>
      <c r="Z66" s="50" t="str">
        <f>MID(VLOOKUP($A66,Seqs!$A:$B,2,FALSE),VLOOKUP($A66,'SegEnds_NonXtal_Prot#'!A:AL,10,FALSE)+9,1)</f>
        <v>L</v>
      </c>
      <c r="AA66" s="50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50" t="str">
        <f>MID(VLOOKUP($A66,Seqs!$A:$B,2,FALSE),VLOOKUP($A66,'SegEnds_NonXtal_Prot#'!$A:$AL,22,FALSE)+7,1)</f>
        <v>S</v>
      </c>
      <c r="AD66" s="50" t="str">
        <f>MID(VLOOKUP($A66,Seqs!$A:$B,2,FALSE),VLOOKUP($A66,'SegEnds_NonXtal_Prot#'!$A:$AL,22,FALSE)+8,1)</f>
        <v>L</v>
      </c>
      <c r="AE66" s="50" t="str">
        <f>MID(VLOOKUP($A66,Seqs!$A:$B,2,FALSE),VLOOKUP($A66,'SegEnds_NonXtal_Prot#'!$A:$AL,22,FALSE)+9,1)</f>
        <v>P</v>
      </c>
      <c r="AF66" s="50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50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1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50" t="str">
        <f>MID(VLOOKUP($A67,Seqs!$A:$B,2,FALSE),VLOOKUP($A67,'SegEnds_NonXtal_Prot#'!A:AL,10,FALSE)+6,1)</f>
        <v>T</v>
      </c>
      <c r="X67" s="50" t="str">
        <f>MID(VLOOKUP($A67,Seqs!$A:$B,2,FALSE),VLOOKUP($A67,'SegEnds_NonXtal_Prot#'!A:AL,10,FALSE)+7,1)</f>
        <v>L</v>
      </c>
      <c r="Y67" s="50" t="str">
        <f>MID(VLOOKUP($A67,Seqs!$A:$B,2,FALSE),VLOOKUP($A67,'SegEnds_NonXtal_Prot#'!A:AL,10,FALSE)+8,1)</f>
        <v>P</v>
      </c>
      <c r="Z67" s="50" t="str">
        <f>MID(VLOOKUP($A67,Seqs!$A:$B,2,FALSE),VLOOKUP($A67,'SegEnds_NonXtal_Prot#'!A:AL,10,FALSE)+9,1)</f>
        <v>L</v>
      </c>
      <c r="AA67" s="50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50" t="str">
        <f>MID(VLOOKUP($A67,Seqs!$A:$B,2,FALSE),VLOOKUP($A67,'SegEnds_NonXtal_Prot#'!$A:$AL,22,FALSE)+7,1)</f>
        <v>A</v>
      </c>
      <c r="AD67" s="50" t="str">
        <f>MID(VLOOKUP($A67,Seqs!$A:$B,2,FALSE),VLOOKUP($A67,'SegEnds_NonXtal_Prot#'!$A:$AL,22,FALSE)+8,1)</f>
        <v>M</v>
      </c>
      <c r="AE67" s="50" t="str">
        <f>MID(VLOOKUP($A67,Seqs!$A:$B,2,FALSE),VLOOKUP($A67,'SegEnds_NonXtal_Prot#'!$A:$AL,22,FALSE)+9,1)</f>
        <v>P</v>
      </c>
      <c r="AF67" s="50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50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50" t="str">
        <f>MID(VLOOKUP($A68,Seqs!$A:$B,2,FALSE),VLOOKUP($A68,'SegEnds_NonXtal_Prot#'!A:AL,10,FALSE)+6,1)</f>
        <v>G</v>
      </c>
      <c r="X68" s="50" t="str">
        <f>MID(VLOOKUP($A68,Seqs!$A:$B,2,FALSE),VLOOKUP($A68,'SegEnds_NonXtal_Prot#'!A:AL,10,FALSE)+7,1)</f>
        <v>L</v>
      </c>
      <c r="Y68" s="50" t="str">
        <f>MID(VLOOKUP($A68,Seqs!$A:$B,2,FALSE),VLOOKUP($A68,'SegEnds_NonXtal_Prot#'!A:AL,10,FALSE)+8,1)</f>
        <v>P</v>
      </c>
      <c r="Z68" s="50" t="str">
        <f>MID(VLOOKUP($A68,Seqs!$A:$B,2,FALSE),VLOOKUP($A68,'SegEnds_NonXtal_Prot#'!A:AL,10,FALSE)+9,1)</f>
        <v>F</v>
      </c>
      <c r="AA68" s="50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50" t="str">
        <f>MID(VLOOKUP($A68,Seqs!$A:$B,2,FALSE),VLOOKUP($A68,'SegEnds_NonXtal_Prot#'!$A:$AL,22,FALSE)+7,1)</f>
        <v>S</v>
      </c>
      <c r="AD68" s="50" t="str">
        <f>MID(VLOOKUP($A68,Seqs!$A:$B,2,FALSE),VLOOKUP($A68,'SegEnds_NonXtal_Prot#'!$A:$AL,22,FALSE)+8,1)</f>
        <v>I</v>
      </c>
      <c r="AE68" s="50" t="str">
        <f>MID(VLOOKUP($A68,Seqs!$A:$B,2,FALSE),VLOOKUP($A68,'SegEnds_NonXtal_Prot#'!$A:$AL,22,FALSE)+9,1)</f>
        <v>P</v>
      </c>
      <c r="AF68" s="50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50" t="str">
        <f>MID(VLOOKUP($A68,Seqs!$A:$B,2,FALSE),VLOOKUP($A68,'SegEnds_NonXtal_Prot#'!$A:$AL,28,FALSE),1)</f>
        <v>P</v>
      </c>
    </row>
    <row r="69" spans="1:34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50" t="str">
        <f>MID(VLOOKUP($A69,Seqs!$A:$B,2,FALSE),VLOOKUP($A69,'SegEnds_NonXtal_Prot#'!A:AL,10,FALSE)+6,1)</f>
        <v>G</v>
      </c>
      <c r="X69" s="50" t="str">
        <f>MID(VLOOKUP($A69,Seqs!$A:$B,2,FALSE),VLOOKUP($A69,'SegEnds_NonXtal_Prot#'!A:AL,10,FALSE)+7,1)</f>
        <v>L</v>
      </c>
      <c r="Y69" s="50" t="str">
        <f>MID(VLOOKUP($A69,Seqs!$A:$B,2,FALSE),VLOOKUP($A69,'SegEnds_NonXtal_Prot#'!A:AL,10,FALSE)+8,1)</f>
        <v>P</v>
      </c>
      <c r="Z69" s="50" t="str">
        <f>MID(VLOOKUP($A69,Seqs!$A:$B,2,FALSE),VLOOKUP($A69,'SegEnds_NonXtal_Prot#'!A:AL,10,FALSE)+9,1)</f>
        <v>F</v>
      </c>
      <c r="AA69" s="50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50" t="str">
        <f>MID(VLOOKUP($A69,Seqs!$A:$B,2,FALSE),VLOOKUP($A69,'SegEnds_NonXtal_Prot#'!$A:$AL,22,FALSE)+7,1)</f>
        <v>S</v>
      </c>
      <c r="AD69" s="50" t="str">
        <f>MID(VLOOKUP($A69,Seqs!$A:$B,2,FALSE),VLOOKUP($A69,'SegEnds_NonXtal_Prot#'!$A:$AL,22,FALSE)+8,1)</f>
        <v>S</v>
      </c>
      <c r="AE69" s="50" t="str">
        <f>MID(VLOOKUP($A69,Seqs!$A:$B,2,FALSE),VLOOKUP($A69,'SegEnds_NonXtal_Prot#'!$A:$AL,22,FALSE)+9,1)</f>
        <v>P</v>
      </c>
      <c r="AF69" s="50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50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50" t="str">
        <f>MID(VLOOKUP($A70,Seqs!$A:$B,2,FALSE),VLOOKUP($A70,'SegEnds_NonXtal_Prot#'!A:AL,10,FALSE)+6,1)</f>
        <v>A</v>
      </c>
      <c r="X70" s="50" t="str">
        <f>MID(VLOOKUP($A70,Seqs!$A:$B,2,FALSE),VLOOKUP($A70,'SegEnds_NonXtal_Prot#'!A:AL,10,FALSE)+7,1)</f>
        <v>L</v>
      </c>
      <c r="Y70" s="50" t="str">
        <f>MID(VLOOKUP($A70,Seqs!$A:$B,2,FALSE),VLOOKUP($A70,'SegEnds_NonXtal_Prot#'!A:AL,10,FALSE)+8,1)</f>
        <v>P</v>
      </c>
      <c r="Z70" s="50" t="str">
        <f>MID(VLOOKUP($A70,Seqs!$A:$B,2,FALSE),VLOOKUP($A70,'SegEnds_NonXtal_Prot#'!A:AL,10,FALSE)+9,1)</f>
        <v>I</v>
      </c>
      <c r="AA70" s="50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50" t="str">
        <f>MID(VLOOKUP($A70,Seqs!$A:$B,2,FALSE),VLOOKUP($A70,'SegEnds_NonXtal_Prot#'!$A:$AL,22,FALSE)+7,1)</f>
        <v>T</v>
      </c>
      <c r="AD70" s="50" t="str">
        <f>MID(VLOOKUP($A70,Seqs!$A:$B,2,FALSE),VLOOKUP($A70,'SegEnds_NonXtal_Prot#'!$A:$AL,22,FALSE)+8,1)</f>
        <v>I</v>
      </c>
      <c r="AE70" s="50" t="str">
        <f>MID(VLOOKUP($A70,Seqs!$A:$B,2,FALSE),VLOOKUP($A70,'SegEnds_NonXtal_Prot#'!$A:$AL,22,FALSE)+9,1)</f>
        <v>P</v>
      </c>
      <c r="AF70" s="50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50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50" t="str">
        <f>MID(VLOOKUP($A71,Seqs!$A:$B,2,FALSE),VLOOKUP($A71,'SegEnds_NonXtal_Prot#'!A:AL,10,FALSE)+6,1)</f>
        <v>F</v>
      </c>
      <c r="X71" s="50" t="str">
        <f>MID(VLOOKUP($A71,Seqs!$A:$B,2,FALSE),VLOOKUP($A71,'SegEnds_NonXtal_Prot#'!A:AL,10,FALSE)+7,1)</f>
        <v>L</v>
      </c>
      <c r="Y71" s="50" t="str">
        <f>MID(VLOOKUP($A71,Seqs!$A:$B,2,FALSE),VLOOKUP($A71,'SegEnds_NonXtal_Prot#'!A:AL,10,FALSE)+8,1)</f>
        <v>P</v>
      </c>
      <c r="Z71" s="50" t="str">
        <f>MID(VLOOKUP($A71,Seqs!$A:$B,2,FALSE),VLOOKUP($A71,'SegEnds_NonXtal_Prot#'!A:AL,10,FALSE)+9,1)</f>
        <v>I</v>
      </c>
      <c r="AA71" s="50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50" t="str">
        <f>MID(VLOOKUP($A71,Seqs!$A:$B,2,FALSE),VLOOKUP($A71,'SegEnds_NonXtal_Prot#'!$A:$AL,22,FALSE)+7,1)</f>
        <v>S</v>
      </c>
      <c r="AD71" s="50" t="str">
        <f>MID(VLOOKUP($A71,Seqs!$A:$B,2,FALSE),VLOOKUP($A71,'SegEnds_NonXtal_Prot#'!$A:$AL,22,FALSE)+8,1)</f>
        <v>S</v>
      </c>
      <c r="AE71" s="50" t="str">
        <f>MID(VLOOKUP($A71,Seqs!$A:$B,2,FALSE),VLOOKUP($A71,'SegEnds_NonXtal_Prot#'!$A:$AL,22,FALSE)+9,1)</f>
        <v>P</v>
      </c>
      <c r="AF71" s="50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50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50" t="str">
        <f>MID(VLOOKUP($A72,Seqs!$A:$B,2,FALSE),VLOOKUP($A72,'SegEnds_NonXtal_Prot#'!A:AL,10,FALSE)+6,1)</f>
        <v>S</v>
      </c>
      <c r="X72" s="50" t="str">
        <f>MID(VLOOKUP($A72,Seqs!$A:$B,2,FALSE),VLOOKUP($A72,'SegEnds_NonXtal_Prot#'!A:AL,10,FALSE)+7,1)</f>
        <v>L</v>
      </c>
      <c r="Y72" s="50" t="str">
        <f>MID(VLOOKUP($A72,Seqs!$A:$B,2,FALSE),VLOOKUP($A72,'SegEnds_NonXtal_Prot#'!A:AL,10,FALSE)+8,1)</f>
        <v>P</v>
      </c>
      <c r="Z72" s="50" t="str">
        <f>MID(VLOOKUP($A72,Seqs!$A:$B,2,FALSE),VLOOKUP($A72,'SegEnds_NonXtal_Prot#'!A:AL,10,FALSE)+9,1)</f>
        <v>V</v>
      </c>
      <c r="AA72" s="50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50" t="str">
        <f>MID(VLOOKUP($A72,Seqs!$A:$B,2,FALSE),VLOOKUP($A72,'SegEnds_NonXtal_Prot#'!$A:$AL,22,FALSE)+7,1)</f>
        <v>P</v>
      </c>
      <c r="AD72" s="50" t="str">
        <f>MID(VLOOKUP($A72,Seqs!$A:$B,2,FALSE),VLOOKUP($A72,'SegEnds_NonXtal_Prot#'!$A:$AL,22,FALSE)+8,1)</f>
        <v>L</v>
      </c>
      <c r="AE72" s="50" t="str">
        <f>MID(VLOOKUP($A72,Seqs!$A:$B,2,FALSE),VLOOKUP($A72,'SegEnds_NonXtal_Prot#'!$A:$AL,22,FALSE)+9,1)</f>
        <v>P</v>
      </c>
      <c r="AF72" s="50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50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50" t="str">
        <f>MID(VLOOKUP($A73,Seqs!$A:$B,2,FALSE),VLOOKUP($A73,'SegEnds_NonXtal_Prot#'!A:AL,10,FALSE)+6,1)</f>
        <v>D</v>
      </c>
      <c r="X73" s="50" t="str">
        <f>MID(VLOOKUP($A73,Seqs!$A:$B,2,FALSE),VLOOKUP($A73,'SegEnds_NonXtal_Prot#'!A:AL,10,FALSE)+7,1)</f>
        <v>S</v>
      </c>
      <c r="Y73" s="50" t="str">
        <f>MID(VLOOKUP($A73,Seqs!$A:$B,2,FALSE),VLOOKUP($A73,'SegEnds_NonXtal_Prot#'!A:AL,10,FALSE)+8,1)</f>
        <v>L</v>
      </c>
      <c r="Z73" s="50" t="str">
        <f>MID(VLOOKUP($A73,Seqs!$A:$B,2,FALSE),VLOOKUP($A73,'SegEnds_NonXtal_Prot#'!A:AL,10,FALSE)+9,1)</f>
        <v>I</v>
      </c>
      <c r="AA73" s="50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50" t="str">
        <f>MID(VLOOKUP($A73,Seqs!$A:$B,2,FALSE),VLOOKUP($A73,'SegEnds_NonXtal_Prot#'!$A:$AL,22,FALSE)+7,1)</f>
        <v>T</v>
      </c>
      <c r="AD73" s="50" t="str">
        <f>MID(VLOOKUP($A73,Seqs!$A:$B,2,FALSE),VLOOKUP($A73,'SegEnds_NonXtal_Prot#'!$A:$AL,22,FALSE)+8,1)</f>
        <v>L</v>
      </c>
      <c r="AE73" s="50" t="str">
        <f>MID(VLOOKUP($A73,Seqs!$A:$B,2,FALSE),VLOOKUP($A73,'SegEnds_NonXtal_Prot#'!$A:$AL,22,FALSE)+9,1)</f>
        <v>V</v>
      </c>
      <c r="AF73" s="50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50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50" t="str">
        <f>MID(VLOOKUP($A74,Seqs!$A:$B,2,FALSE),VLOOKUP($A74,'SegEnds_NonXtal_Prot#'!A:AL,10,FALSE)+6,1)</f>
        <v>F</v>
      </c>
      <c r="X74" s="50" t="str">
        <f>MID(VLOOKUP($A74,Seqs!$A:$B,2,FALSE),VLOOKUP($A74,'SegEnds_NonXtal_Prot#'!A:AL,10,FALSE)+7,1)</f>
        <v>L</v>
      </c>
      <c r="Y74" s="50" t="str">
        <f>MID(VLOOKUP($A74,Seqs!$A:$B,2,FALSE),VLOOKUP($A74,'SegEnds_NonXtal_Prot#'!A:AL,10,FALSE)+8,1)</f>
        <v>P</v>
      </c>
      <c r="Z74" s="50" t="str">
        <f>MID(VLOOKUP($A74,Seqs!$A:$B,2,FALSE),VLOOKUP($A74,'SegEnds_NonXtal_Prot#'!A:AL,10,FALSE)+9,1)</f>
        <v>L</v>
      </c>
      <c r="AA74" s="50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50" t="str">
        <f>MID(VLOOKUP($A74,Seqs!$A:$B,2,FALSE),VLOOKUP($A74,'SegEnds_NonXtal_Prot#'!$A:$AL,22,FALSE)+7,1)</f>
        <v>G</v>
      </c>
      <c r="AD74" s="50" t="str">
        <f>MID(VLOOKUP($A74,Seqs!$A:$B,2,FALSE),VLOOKUP($A74,'SegEnds_NonXtal_Prot#'!$A:$AL,22,FALSE)+8,1)</f>
        <v>G</v>
      </c>
      <c r="AE74" s="50" t="str">
        <f>MID(VLOOKUP($A74,Seqs!$A:$B,2,FALSE),VLOOKUP($A74,'SegEnds_NonXtal_Prot#'!$A:$AL,22,FALSE)+9,1)</f>
        <v>P</v>
      </c>
      <c r="AF74" s="50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50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50" t="str">
        <f>MID(VLOOKUP($A75,Seqs!$A:$B,2,FALSE),VLOOKUP($A75,'SegEnds_NonXtal_Prot#'!A:AL,10,FALSE)+6,1)</f>
        <v>T</v>
      </c>
      <c r="X75" s="50" t="str">
        <f>MID(VLOOKUP($A75,Seqs!$A:$B,2,FALSE),VLOOKUP($A75,'SegEnds_NonXtal_Prot#'!A:AL,10,FALSE)+7,1)</f>
        <v>L</v>
      </c>
      <c r="Y75" s="50" t="str">
        <f>MID(VLOOKUP($A75,Seqs!$A:$B,2,FALSE),VLOOKUP($A75,'SegEnds_NonXtal_Prot#'!A:AL,10,FALSE)+8,1)</f>
        <v>P</v>
      </c>
      <c r="Z75" s="50" t="str">
        <f>MID(VLOOKUP($A75,Seqs!$A:$B,2,FALSE),VLOOKUP($A75,'SegEnds_NonXtal_Prot#'!A:AL,10,FALSE)+9,1)</f>
        <v>L</v>
      </c>
      <c r="AA75" s="50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50" t="str">
        <f>MID(VLOOKUP($A75,Seqs!$A:$B,2,FALSE),VLOOKUP($A75,'SegEnds_NonXtal_Prot#'!$A:$AL,22,FALSE)+7,1)</f>
        <v>G</v>
      </c>
      <c r="AD75" s="50" t="str">
        <f>MID(VLOOKUP($A75,Seqs!$A:$B,2,FALSE),VLOOKUP($A75,'SegEnds_NonXtal_Prot#'!$A:$AL,22,FALSE)+8,1)</f>
        <v>L</v>
      </c>
      <c r="AE75" s="50" t="str">
        <f>MID(VLOOKUP($A75,Seqs!$A:$B,2,FALSE),VLOOKUP($A75,'SegEnds_NonXtal_Prot#'!$A:$AL,22,FALSE)+9,1)</f>
        <v>P</v>
      </c>
      <c r="AF75" s="50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50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50" t="str">
        <f>MID(VLOOKUP($A76,Seqs!$A:$B,2,FALSE),VLOOKUP($A76,'SegEnds_NonXtal_Prot#'!A:AL,10,FALSE)+6,1)</f>
        <v>T</v>
      </c>
      <c r="X76" s="50" t="str">
        <f>MID(VLOOKUP($A76,Seqs!$A:$B,2,FALSE),VLOOKUP($A76,'SegEnds_NonXtal_Prot#'!A:AL,10,FALSE)+7,1)</f>
        <v>L</v>
      </c>
      <c r="Y76" s="50" t="str">
        <f>MID(VLOOKUP($A76,Seqs!$A:$B,2,FALSE),VLOOKUP($A76,'SegEnds_NonXtal_Prot#'!A:AL,10,FALSE)+8,1)</f>
        <v>P</v>
      </c>
      <c r="Z76" s="50" t="str">
        <f>MID(VLOOKUP($A76,Seqs!$A:$B,2,FALSE),VLOOKUP($A76,'SegEnds_NonXtal_Prot#'!A:AL,10,FALSE)+9,1)</f>
        <v>L</v>
      </c>
      <c r="AA76" s="50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50" t="str">
        <f>MID(VLOOKUP($A76,Seqs!$A:$B,2,FALSE),VLOOKUP($A76,'SegEnds_NonXtal_Prot#'!$A:$AL,22,FALSE)+7,1)</f>
        <v>G</v>
      </c>
      <c r="AD76" s="50" t="str">
        <f>MID(VLOOKUP($A76,Seqs!$A:$B,2,FALSE),VLOOKUP($A76,'SegEnds_NonXtal_Prot#'!$A:$AL,22,FALSE)+8,1)</f>
        <v>L</v>
      </c>
      <c r="AE76" s="50" t="str">
        <f>MID(VLOOKUP($A76,Seqs!$A:$B,2,FALSE),VLOOKUP($A76,'SegEnds_NonXtal_Prot#'!$A:$AL,22,FALSE)+9,1)</f>
        <v>P</v>
      </c>
      <c r="AF76" s="50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50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50" t="str">
        <f>MID(VLOOKUP($A77,Seqs!$A:$B,2,FALSE),VLOOKUP($A77,'SegEnds_NonXtal_Prot#'!A:AL,10,FALSE)+6,1)</f>
        <v>I</v>
      </c>
      <c r="X77" s="50" t="str">
        <f>MID(VLOOKUP($A77,Seqs!$A:$B,2,FALSE),VLOOKUP($A77,'SegEnds_NonXtal_Prot#'!A:AL,10,FALSE)+7,1)</f>
        <v>L</v>
      </c>
      <c r="Y77" s="50" t="str">
        <f>MID(VLOOKUP($A77,Seqs!$A:$B,2,FALSE),VLOOKUP($A77,'SegEnds_NonXtal_Prot#'!A:AL,10,FALSE)+8,1)</f>
        <v>P</v>
      </c>
      <c r="Z77" s="50" t="str">
        <f>MID(VLOOKUP($A77,Seqs!$A:$B,2,FALSE),VLOOKUP($A77,'SegEnds_NonXtal_Prot#'!A:AL,10,FALSE)+9,1)</f>
        <v>F</v>
      </c>
      <c r="AA77" s="50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50" t="str">
        <f>MID(VLOOKUP($A77,Seqs!$A:$B,2,FALSE),VLOOKUP($A77,'SegEnds_NonXtal_Prot#'!$A:$AL,22,FALSE)+7,1)</f>
        <v>S</v>
      </c>
      <c r="AD77" s="50" t="str">
        <f>MID(VLOOKUP($A77,Seqs!$A:$B,2,FALSE),VLOOKUP($A77,'SegEnds_NonXtal_Prot#'!$A:$AL,22,FALSE)+8,1)</f>
        <v>I</v>
      </c>
      <c r="AE77" s="50" t="str">
        <f>MID(VLOOKUP($A77,Seqs!$A:$B,2,FALSE),VLOOKUP($A77,'SegEnds_NonXtal_Prot#'!$A:$AL,22,FALSE)+9,1)</f>
        <v>P</v>
      </c>
      <c r="AF77" s="50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50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50" t="str">
        <f>MID(VLOOKUP($A78,Seqs!$A:$B,2,FALSE),VLOOKUP($A78,'SegEnds_NonXtal_Prot#'!A:AL,10,FALSE)+6,1)</f>
        <v>Y</v>
      </c>
      <c r="X78" s="50" t="str">
        <f>MID(VLOOKUP($A78,Seqs!$A:$B,2,FALSE),VLOOKUP($A78,'SegEnds_NonXtal_Prot#'!A:AL,10,FALSE)+7,1)</f>
        <v>T</v>
      </c>
      <c r="Y78" s="50" t="str">
        <f>MID(VLOOKUP($A78,Seqs!$A:$B,2,FALSE),VLOOKUP($A78,'SegEnds_NonXtal_Prot#'!A:AL,10,FALSE)+8,1)</f>
        <v>G</v>
      </c>
      <c r="Z78" s="50" t="str">
        <f>MID(VLOOKUP($A78,Seqs!$A:$B,2,FALSE),VLOOKUP($A78,'SegEnds_NonXtal_Prot#'!A:AL,10,FALSE)+9,1)</f>
        <v>I</v>
      </c>
      <c r="AA78" s="50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50" t="str">
        <f>MID(VLOOKUP($A78,Seqs!$A:$B,2,FALSE),VLOOKUP($A78,'SegEnds_NonXtal_Prot#'!$A:$AL,22,FALSE)+7,1)</f>
        <v>G</v>
      </c>
      <c r="AD78" s="50" t="str">
        <f>MID(VLOOKUP($A78,Seqs!$A:$B,2,FALSE),VLOOKUP($A78,'SegEnds_NonXtal_Prot#'!$A:$AL,22,FALSE)+8,1)</f>
        <v>C</v>
      </c>
      <c r="AE78" s="50" t="str">
        <f>MID(VLOOKUP($A78,Seqs!$A:$B,2,FALSE),VLOOKUP($A78,'SegEnds_NonXtal_Prot#'!$A:$AL,22,FALSE)+9,1)</f>
        <v>F</v>
      </c>
      <c r="AF78" s="50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50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50" t="str">
        <f>MID(VLOOKUP($A79,Seqs!$A:$B,2,FALSE),VLOOKUP($A79,'SegEnds_NonXtal_Prot#'!A:AL,10,FALSE)+6,1)</f>
        <v>T</v>
      </c>
      <c r="X79" s="50" t="str">
        <f>MID(VLOOKUP($A79,Seqs!$A:$B,2,FALSE),VLOOKUP($A79,'SegEnds_NonXtal_Prot#'!A:AL,10,FALSE)+7,1)</f>
        <v>A</v>
      </c>
      <c r="Y79" s="50" t="str">
        <f>MID(VLOOKUP($A79,Seqs!$A:$B,2,FALSE),VLOOKUP($A79,'SegEnds_NonXtal_Prot#'!A:AL,10,FALSE)+8,1)</f>
        <v>P</v>
      </c>
      <c r="Z79" s="50" t="str">
        <f>MID(VLOOKUP($A79,Seqs!$A:$B,2,FALSE),VLOOKUP($A79,'SegEnds_NonXtal_Prot#'!A:AL,10,FALSE)+9,1)</f>
        <v>F</v>
      </c>
      <c r="AA79" s="50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50" t="str">
        <f>MID(VLOOKUP($A79,Seqs!$A:$B,2,FALSE),VLOOKUP($A79,'SegEnds_NonXtal_Prot#'!$A:$AL,22,FALSE)+7,1)</f>
        <v>A</v>
      </c>
      <c r="AD79" s="50" t="str">
        <f>MID(VLOOKUP($A79,Seqs!$A:$B,2,FALSE),VLOOKUP($A79,'SegEnds_NonXtal_Prot#'!$A:$AL,22,FALSE)+8,1)</f>
        <v>T</v>
      </c>
      <c r="AE79" s="50" t="str">
        <f>MID(VLOOKUP($A79,Seqs!$A:$B,2,FALSE),VLOOKUP($A79,'SegEnds_NonXtal_Prot#'!$A:$AL,22,FALSE)+9,1)</f>
        <v>P</v>
      </c>
      <c r="AF79" s="50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50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50" t="str">
        <f>MID(VLOOKUP($A80,Seqs!$A:$B,2,FALSE),VLOOKUP($A80,'SegEnds_NonXtal_Prot#'!A:AL,10,FALSE)+6,1)</f>
        <v>C</v>
      </c>
      <c r="X80" s="50" t="str">
        <f>MID(VLOOKUP($A80,Seqs!$A:$B,2,FALSE),VLOOKUP($A80,'SegEnds_NonXtal_Prot#'!A:AL,10,FALSE)+7,1)</f>
        <v>R</v>
      </c>
      <c r="Y80" s="50" t="str">
        <f>MID(VLOOKUP($A80,Seqs!$A:$B,2,FALSE),VLOOKUP($A80,'SegEnds_NonXtal_Prot#'!A:AL,10,FALSE)+8,1)</f>
        <v>V</v>
      </c>
      <c r="Z80" s="50" t="str">
        <f>MID(VLOOKUP($A80,Seqs!$A:$B,2,FALSE),VLOOKUP($A80,'SegEnds_NonXtal_Prot#'!A:AL,10,FALSE)+9,1)</f>
        <v>G</v>
      </c>
      <c r="AA80" s="50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50" t="str">
        <f>MID(VLOOKUP($A80,Seqs!$A:$B,2,FALSE),VLOOKUP($A80,'SegEnds_NonXtal_Prot#'!$A:$AL,22,FALSE)+7,1)</f>
        <v>V</v>
      </c>
      <c r="AD80" s="50" t="str">
        <f>MID(VLOOKUP($A80,Seqs!$A:$B,2,FALSE),VLOOKUP($A80,'SegEnds_NonXtal_Prot#'!$A:$AL,22,FALSE)+8,1)</f>
        <v>P</v>
      </c>
      <c r="AE80" s="50" t="str">
        <f>MID(VLOOKUP($A80,Seqs!$A:$B,2,FALSE),VLOOKUP($A80,'SegEnds_NonXtal_Prot#'!$A:$AL,22,FALSE)+9,1)</f>
        <v>L</v>
      </c>
      <c r="AF80" s="50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50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50" t="str">
        <f>MID(VLOOKUP($A81,Seqs!$A:$B,2,FALSE),VLOOKUP($A81,'SegEnds_NonXtal_Prot#'!A:AL,10,FALSE)+6,1)</f>
        <v>F</v>
      </c>
      <c r="X81" s="50" t="str">
        <f>MID(VLOOKUP($A81,Seqs!$A:$B,2,FALSE),VLOOKUP($A81,'SegEnds_NonXtal_Prot#'!A:AL,10,FALSE)+7,1)</f>
        <v>Q</v>
      </c>
      <c r="Y81" s="50" t="str">
        <f>MID(VLOOKUP($A81,Seqs!$A:$B,2,FALSE),VLOOKUP($A81,'SegEnds_NonXtal_Prot#'!A:AL,10,FALSE)+8,1)</f>
        <v>I</v>
      </c>
      <c r="Z81" s="50" t="str">
        <f>MID(VLOOKUP($A81,Seqs!$A:$B,2,FALSE),VLOOKUP($A81,'SegEnds_NonXtal_Prot#'!A:AL,10,FALSE)+9,1)</f>
        <v>I</v>
      </c>
      <c r="AA81" s="50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50" t="str">
        <f>MID(VLOOKUP($A81,Seqs!$A:$B,2,FALSE),VLOOKUP($A81,'SegEnds_NonXtal_Prot#'!$A:$AL,22,FALSE)+7,1)</f>
        <v>S</v>
      </c>
      <c r="AD81" s="50" t="str">
        <f>MID(VLOOKUP($A81,Seqs!$A:$B,2,FALSE),VLOOKUP($A81,'SegEnds_NonXtal_Prot#'!$A:$AL,22,FALSE)+8,1)</f>
        <v>I</v>
      </c>
      <c r="AE81" s="50" t="str">
        <f>MID(VLOOKUP($A81,Seqs!$A:$B,2,FALSE),VLOOKUP($A81,'SegEnds_NonXtal_Prot#'!$A:$AL,22,FALSE)+9,1)</f>
        <v>L</v>
      </c>
      <c r="AF81" s="50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50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50" t="str">
        <f>MID(VLOOKUP($A82,Seqs!$A:$B,2,FALSE),VLOOKUP($A82,'SegEnds_NonXtal_Prot#'!A:AL,10,FALSE)+6,1)</f>
        <v>S</v>
      </c>
      <c r="X82" s="50" t="str">
        <f>MID(VLOOKUP($A82,Seqs!$A:$B,2,FALSE),VLOOKUP($A82,'SegEnds_NonXtal_Prot#'!A:AL,10,FALSE)+7,1)</f>
        <v>L</v>
      </c>
      <c r="Y82" s="50" t="str">
        <f>MID(VLOOKUP($A82,Seqs!$A:$B,2,FALSE),VLOOKUP($A82,'SegEnds_NonXtal_Prot#'!A:AL,10,FALSE)+8,1)</f>
        <v>P</v>
      </c>
      <c r="Z82" s="50" t="str">
        <f>MID(VLOOKUP($A82,Seqs!$A:$B,2,FALSE),VLOOKUP($A82,'SegEnds_NonXtal_Prot#'!A:AL,10,FALSE)+9,1)</f>
        <v>F</v>
      </c>
      <c r="AA82" s="50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50" t="str">
        <f>MID(VLOOKUP($A82,Seqs!$A:$B,2,FALSE),VLOOKUP($A82,'SegEnds_NonXtal_Prot#'!$A:$AL,22,FALSE)+7,1)</f>
        <v>S</v>
      </c>
      <c r="AD82" s="50" t="str">
        <f>MID(VLOOKUP($A82,Seqs!$A:$B,2,FALSE),VLOOKUP($A82,'SegEnds_NonXtal_Prot#'!$A:$AL,22,FALSE)+8,1)</f>
        <v>I</v>
      </c>
      <c r="AE82" s="50" t="str">
        <f>MID(VLOOKUP($A82,Seqs!$A:$B,2,FALSE),VLOOKUP($A82,'SegEnds_NonXtal_Prot#'!$A:$AL,22,FALSE)+9,1)</f>
        <v>Y</v>
      </c>
      <c r="AF82" s="50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50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50" t="str">
        <f>MID(VLOOKUP($A83,Seqs!$A:$B,2,FALSE),VLOOKUP($A83,'SegEnds_NonXtal_Prot#'!A:AL,10,FALSE)+6,1)</f>
        <v>T</v>
      </c>
      <c r="X83" s="50" t="str">
        <f>MID(VLOOKUP($A83,Seqs!$A:$B,2,FALSE),VLOOKUP($A83,'SegEnds_NonXtal_Prot#'!A:AL,10,FALSE)+7,1)</f>
        <v>L</v>
      </c>
      <c r="Y83" s="50" t="str">
        <f>MID(VLOOKUP($A83,Seqs!$A:$B,2,FALSE),VLOOKUP($A83,'SegEnds_NonXtal_Prot#'!A:AL,10,FALSE)+8,1)</f>
        <v>P</v>
      </c>
      <c r="Z83" s="50" t="str">
        <f>MID(VLOOKUP($A83,Seqs!$A:$B,2,FALSE),VLOOKUP($A83,'SegEnds_NonXtal_Prot#'!A:AL,10,FALSE)+9,1)</f>
        <v>F</v>
      </c>
      <c r="AA83" s="50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50" t="str">
        <f>MID(VLOOKUP($A83,Seqs!$A:$B,2,FALSE),VLOOKUP($A83,'SegEnds_NonXtal_Prot#'!$A:$AL,22,FALSE)+7,1)</f>
        <v>S</v>
      </c>
      <c r="AD83" s="50" t="str">
        <f>MID(VLOOKUP($A83,Seqs!$A:$B,2,FALSE),VLOOKUP($A83,'SegEnds_NonXtal_Prot#'!$A:$AL,22,FALSE)+8,1)</f>
        <v>L</v>
      </c>
      <c r="AE83" s="50" t="str">
        <f>MID(VLOOKUP($A83,Seqs!$A:$B,2,FALSE),VLOOKUP($A83,'SegEnds_NonXtal_Prot#'!$A:$AL,22,FALSE)+9,1)</f>
        <v>P</v>
      </c>
      <c r="AF83" s="50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50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50" t="str">
        <f>MID(VLOOKUP($A84,Seqs!$A:$B,2,FALSE),VLOOKUP($A84,'SegEnds_NonXtal_Prot#'!A:AL,10,FALSE)+6,1)</f>
        <v>T</v>
      </c>
      <c r="X84" s="50" t="str">
        <f>MID(VLOOKUP($A84,Seqs!$A:$B,2,FALSE),VLOOKUP($A84,'SegEnds_NonXtal_Prot#'!A:AL,10,FALSE)+7,1)</f>
        <v>L</v>
      </c>
      <c r="Y84" s="50" t="str">
        <f>MID(VLOOKUP($A84,Seqs!$A:$B,2,FALSE),VLOOKUP($A84,'SegEnds_NonXtal_Prot#'!A:AL,10,FALSE)+8,1)</f>
        <v>P</v>
      </c>
      <c r="Z84" s="50" t="str">
        <f>MID(VLOOKUP($A84,Seqs!$A:$B,2,FALSE),VLOOKUP($A84,'SegEnds_NonXtal_Prot#'!A:AL,10,FALSE)+9,1)</f>
        <v>F</v>
      </c>
      <c r="AA84" s="50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50" t="str">
        <f>MID(VLOOKUP($A84,Seqs!$A:$B,2,FALSE),VLOOKUP($A84,'SegEnds_NonXtal_Prot#'!$A:$AL,22,FALSE)+7,1)</f>
        <v>T</v>
      </c>
      <c r="AD84" s="50" t="str">
        <f>MID(VLOOKUP($A84,Seqs!$A:$B,2,FALSE),VLOOKUP($A84,'SegEnds_NonXtal_Prot#'!$A:$AL,22,FALSE)+8,1)</f>
        <v>V</v>
      </c>
      <c r="AE84" s="50" t="str">
        <f>MID(VLOOKUP($A84,Seqs!$A:$B,2,FALSE),VLOOKUP($A84,'SegEnds_NonXtal_Prot#'!$A:$AL,22,FALSE)+9,1)</f>
        <v>P</v>
      </c>
      <c r="AF84" s="50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50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50" t="str">
        <f>MID(VLOOKUP($A85,Seqs!$A:$B,2,FALSE),VLOOKUP($A85,'SegEnds_NonXtal_Prot#'!A:AL,10,FALSE)+6,1)</f>
        <v>T</v>
      </c>
      <c r="X85" s="50" t="str">
        <f>MID(VLOOKUP($A85,Seqs!$A:$B,2,FALSE),VLOOKUP($A85,'SegEnds_NonXtal_Prot#'!A:AL,10,FALSE)+7,1)</f>
        <v>L</v>
      </c>
      <c r="Y85" s="50" t="str">
        <f>MID(VLOOKUP($A85,Seqs!$A:$B,2,FALSE),VLOOKUP($A85,'SegEnds_NonXtal_Prot#'!A:AL,10,FALSE)+8,1)</f>
        <v>P</v>
      </c>
      <c r="Z85" s="50" t="str">
        <f>MID(VLOOKUP($A85,Seqs!$A:$B,2,FALSE),VLOOKUP($A85,'SegEnds_NonXtal_Prot#'!A:AL,10,FALSE)+9,1)</f>
        <v>L</v>
      </c>
      <c r="AA85" s="50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50" t="str">
        <f>MID(VLOOKUP($A85,Seqs!$A:$B,2,FALSE),VLOOKUP($A85,'SegEnds_NonXtal_Prot#'!$A:$AL,22,FALSE)+7,1)</f>
        <v>S</v>
      </c>
      <c r="AD85" s="50" t="str">
        <f>MID(VLOOKUP($A85,Seqs!$A:$B,2,FALSE),VLOOKUP($A85,'SegEnds_NonXtal_Prot#'!$A:$AL,22,FALSE)+8,1)</f>
        <v>V</v>
      </c>
      <c r="AE85" s="50" t="str">
        <f>MID(VLOOKUP($A85,Seqs!$A:$B,2,FALSE),VLOOKUP($A85,'SegEnds_NonXtal_Prot#'!$A:$AL,22,FALSE)+9,1)</f>
        <v>P</v>
      </c>
      <c r="AF85" s="50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50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50" t="str">
        <f>MID(VLOOKUP($A86,Seqs!$A:$B,2,FALSE),VLOOKUP($A86,'SegEnds_NonXtal_Prot#'!A:AL,10,FALSE)+6,1)</f>
        <v>V</v>
      </c>
      <c r="X86" s="50" t="str">
        <f>MID(VLOOKUP($A86,Seqs!$A:$B,2,FALSE),VLOOKUP($A86,'SegEnds_NonXtal_Prot#'!A:AL,10,FALSE)+7,1)</f>
        <v>V</v>
      </c>
      <c r="Y86" s="50" t="str">
        <f>MID(VLOOKUP($A86,Seqs!$A:$B,2,FALSE),VLOOKUP($A86,'SegEnds_NonXtal_Prot#'!A:AL,10,FALSE)+8,1)</f>
        <v>P</v>
      </c>
      <c r="Z86" s="50" t="str">
        <f>MID(VLOOKUP($A86,Seqs!$A:$B,2,FALSE),VLOOKUP($A86,'SegEnds_NonXtal_Prot#'!A:AL,10,FALSE)+9,1)</f>
        <v>V</v>
      </c>
      <c r="AA86" s="50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50" t="str">
        <f>MID(VLOOKUP($A86,Seqs!$A:$B,2,FALSE),VLOOKUP($A86,'SegEnds_NonXtal_Prot#'!$A:$AL,22,FALSE)+7,1)</f>
        <v>T</v>
      </c>
      <c r="AD86" s="50" t="str">
        <f>MID(VLOOKUP($A86,Seqs!$A:$B,2,FALSE),VLOOKUP($A86,'SegEnds_NonXtal_Prot#'!$A:$AL,22,FALSE)+8,1)</f>
        <v>L</v>
      </c>
      <c r="AE86" s="50" t="str">
        <f>MID(VLOOKUP($A86,Seqs!$A:$B,2,FALSE),VLOOKUP($A86,'SegEnds_NonXtal_Prot#'!$A:$AL,22,FALSE)+9,1)</f>
        <v>P</v>
      </c>
      <c r="AF86" s="50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50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50" t="str">
        <f>MID(VLOOKUP($A87,Seqs!$A:$B,2,FALSE),VLOOKUP($A87,'SegEnds_NonXtal_Prot#'!A:AL,10,FALSE)+6,1)</f>
        <v>T</v>
      </c>
      <c r="X87" s="50" t="str">
        <f>MID(VLOOKUP($A87,Seqs!$A:$B,2,FALSE),VLOOKUP($A87,'SegEnds_NonXtal_Prot#'!A:AL,10,FALSE)+7,1)</f>
        <v>L</v>
      </c>
      <c r="Y87" s="50" t="str">
        <f>MID(VLOOKUP($A87,Seqs!$A:$B,2,FALSE),VLOOKUP($A87,'SegEnds_NonXtal_Prot#'!A:AL,10,FALSE)+8,1)</f>
        <v>P</v>
      </c>
      <c r="Z87" s="50" t="str">
        <f>MID(VLOOKUP($A87,Seqs!$A:$B,2,FALSE),VLOOKUP($A87,'SegEnds_NonXtal_Prot#'!A:AL,10,FALSE)+9,1)</f>
        <v>F</v>
      </c>
      <c r="AA87" s="50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50" t="str">
        <f>MID(VLOOKUP($A87,Seqs!$A:$B,2,FALSE),VLOOKUP($A87,'SegEnds_NonXtal_Prot#'!$A:$AL,22,FALSE)+7,1)</f>
        <v>S</v>
      </c>
      <c r="AD87" s="50" t="str">
        <f>MID(VLOOKUP($A87,Seqs!$A:$B,2,FALSE),VLOOKUP($A87,'SegEnds_NonXtal_Prot#'!$A:$AL,22,FALSE)+8,1)</f>
        <v>I</v>
      </c>
      <c r="AE87" s="50" t="str">
        <f>MID(VLOOKUP($A87,Seqs!$A:$B,2,FALSE),VLOOKUP($A87,'SegEnds_NonXtal_Prot#'!$A:$AL,22,FALSE)+9,1)</f>
        <v>P</v>
      </c>
      <c r="AF87" s="50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50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50" t="str">
        <f>MID(VLOOKUP($A88,Seqs!$A:$B,2,FALSE),VLOOKUP($A88,'SegEnds_NonXtal_Prot#'!A:AL,10,FALSE)+6,1)</f>
        <v>T</v>
      </c>
      <c r="X88" s="50" t="str">
        <f>MID(VLOOKUP($A88,Seqs!$A:$B,2,FALSE),VLOOKUP($A88,'SegEnds_NonXtal_Prot#'!A:AL,10,FALSE)+7,1)</f>
        <v>L</v>
      </c>
      <c r="Y88" s="50" t="str">
        <f>MID(VLOOKUP($A88,Seqs!$A:$B,2,FALSE),VLOOKUP($A88,'SegEnds_NonXtal_Prot#'!A:AL,10,FALSE)+8,1)</f>
        <v>P</v>
      </c>
      <c r="Z88" s="50" t="str">
        <f>MID(VLOOKUP($A88,Seqs!$A:$B,2,FALSE),VLOOKUP($A88,'SegEnds_NonXtal_Prot#'!A:AL,10,FALSE)+9,1)</f>
        <v>F</v>
      </c>
      <c r="AA88" s="50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50" t="str">
        <f>MID(VLOOKUP($A88,Seqs!$A:$B,2,FALSE),VLOOKUP($A88,'SegEnds_NonXtal_Prot#'!$A:$AL,22,FALSE)+7,1)</f>
        <v>S</v>
      </c>
      <c r="AD88" s="50" t="str">
        <f>MID(VLOOKUP($A88,Seqs!$A:$B,2,FALSE),VLOOKUP($A88,'SegEnds_NonXtal_Prot#'!$A:$AL,22,FALSE)+8,1)</f>
        <v>I</v>
      </c>
      <c r="AE88" s="50" t="str">
        <f>MID(VLOOKUP($A88,Seqs!$A:$B,2,FALSE),VLOOKUP($A88,'SegEnds_NonXtal_Prot#'!$A:$AL,22,FALSE)+9,1)</f>
        <v>P</v>
      </c>
      <c r="AF88" s="50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50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50" t="str">
        <f>MID(VLOOKUP($A89,Seqs!$A:$B,2,FALSE),VLOOKUP($A89,'SegEnds_NonXtal_Prot#'!A:AL,10,FALSE)+6,1)</f>
        <v>T</v>
      </c>
      <c r="X89" s="50" t="str">
        <f>MID(VLOOKUP($A89,Seqs!$A:$B,2,FALSE),VLOOKUP($A89,'SegEnds_NonXtal_Prot#'!A:AL,10,FALSE)+7,1)</f>
        <v>L</v>
      </c>
      <c r="Y89" s="50" t="str">
        <f>MID(VLOOKUP($A89,Seqs!$A:$B,2,FALSE),VLOOKUP($A89,'SegEnds_NonXtal_Prot#'!A:AL,10,FALSE)+8,1)</f>
        <v>P</v>
      </c>
      <c r="Z89" s="50" t="str">
        <f>MID(VLOOKUP($A89,Seqs!$A:$B,2,FALSE),VLOOKUP($A89,'SegEnds_NonXtal_Prot#'!A:AL,10,FALSE)+9,1)</f>
        <v>F</v>
      </c>
      <c r="AA89" s="50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50" t="str">
        <f>MID(VLOOKUP($A89,Seqs!$A:$B,2,FALSE),VLOOKUP($A89,'SegEnds_NonXtal_Prot#'!$A:$AL,22,FALSE)+7,1)</f>
        <v>S</v>
      </c>
      <c r="AD89" s="50" t="str">
        <f>MID(VLOOKUP($A89,Seqs!$A:$B,2,FALSE),VLOOKUP($A89,'SegEnds_NonXtal_Prot#'!$A:$AL,22,FALSE)+8,1)</f>
        <v>M</v>
      </c>
      <c r="AE89" s="50" t="str">
        <f>MID(VLOOKUP($A89,Seqs!$A:$B,2,FALSE),VLOOKUP($A89,'SegEnds_NonXtal_Prot#'!$A:$AL,22,FALSE)+9,1)</f>
        <v>P</v>
      </c>
      <c r="AF89" s="50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50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50" t="str">
        <f>MID(VLOOKUP($A90,Seqs!$A:$B,2,FALSE),VLOOKUP($A90,'SegEnds_NonXtal_Prot#'!A:AL,10,FALSE)+6,1)</f>
        <v>T</v>
      </c>
      <c r="X90" s="50" t="str">
        <f>MID(VLOOKUP($A90,Seqs!$A:$B,2,FALSE),VLOOKUP($A90,'SegEnds_NonXtal_Prot#'!A:AL,10,FALSE)+7,1)</f>
        <v>L</v>
      </c>
      <c r="Y90" s="50" t="str">
        <f>MID(VLOOKUP($A90,Seqs!$A:$B,2,FALSE),VLOOKUP($A90,'SegEnds_NonXtal_Prot#'!A:AL,10,FALSE)+8,1)</f>
        <v>P</v>
      </c>
      <c r="Z90" s="50" t="str">
        <f>MID(VLOOKUP($A90,Seqs!$A:$B,2,FALSE),VLOOKUP($A90,'SegEnds_NonXtal_Prot#'!A:AL,10,FALSE)+9,1)</f>
        <v>F</v>
      </c>
      <c r="AA90" s="50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50" t="str">
        <f>MID(VLOOKUP($A90,Seqs!$A:$B,2,FALSE),VLOOKUP($A90,'SegEnds_NonXtal_Prot#'!$A:$AL,22,FALSE)+7,1)</f>
        <v>A</v>
      </c>
      <c r="AD90" s="50" t="str">
        <f>MID(VLOOKUP($A90,Seqs!$A:$B,2,FALSE),VLOOKUP($A90,'SegEnds_NonXtal_Prot#'!$A:$AL,22,FALSE)+8,1)</f>
        <v>L</v>
      </c>
      <c r="AE90" s="50" t="str">
        <f>MID(VLOOKUP($A90,Seqs!$A:$B,2,FALSE),VLOOKUP($A90,'SegEnds_NonXtal_Prot#'!$A:$AL,22,FALSE)+9,1)</f>
        <v>P</v>
      </c>
      <c r="AF90" s="50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50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50" t="str">
        <f>MID(VLOOKUP($A91,Seqs!$A:$B,2,FALSE),VLOOKUP($A91,'SegEnds_NonXtal_Prot#'!A:AL,10,FALSE)+6,1)</f>
        <v>T</v>
      </c>
      <c r="X91" s="50" t="str">
        <f>MID(VLOOKUP($A91,Seqs!$A:$B,2,FALSE),VLOOKUP($A91,'SegEnds_NonXtal_Prot#'!A:AL,10,FALSE)+7,1)</f>
        <v>L</v>
      </c>
      <c r="Y91" s="50" t="str">
        <f>MID(VLOOKUP($A91,Seqs!$A:$B,2,FALSE),VLOOKUP($A91,'SegEnds_NonXtal_Prot#'!A:AL,10,FALSE)+8,1)</f>
        <v>P</v>
      </c>
      <c r="Z91" s="50" t="str">
        <f>MID(VLOOKUP($A91,Seqs!$A:$B,2,FALSE),VLOOKUP($A91,'SegEnds_NonXtal_Prot#'!A:AL,10,FALSE)+9,1)</f>
        <v>F</v>
      </c>
      <c r="AA91" s="50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50" t="str">
        <f>MID(VLOOKUP($A91,Seqs!$A:$B,2,FALSE),VLOOKUP($A91,'SegEnds_NonXtal_Prot#'!$A:$AL,22,FALSE)+7,1)</f>
        <v>A</v>
      </c>
      <c r="AD91" s="50" t="str">
        <f>MID(VLOOKUP($A91,Seqs!$A:$B,2,FALSE),VLOOKUP($A91,'SegEnds_NonXtal_Prot#'!$A:$AL,22,FALSE)+8,1)</f>
        <v>L</v>
      </c>
      <c r="AE91" s="50" t="str">
        <f>MID(VLOOKUP($A91,Seqs!$A:$B,2,FALSE),VLOOKUP($A91,'SegEnds_NonXtal_Prot#'!$A:$AL,22,FALSE)+9,1)</f>
        <v>P</v>
      </c>
      <c r="AF91" s="50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50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50" t="str">
        <f>MID(VLOOKUP($A92,Seqs!$A:$B,2,FALSE),VLOOKUP($A92,'SegEnds_NonXtal_Prot#'!A:AL,10,FALSE)+6,1)</f>
        <v>S</v>
      </c>
      <c r="X92" s="50" t="str">
        <f>MID(VLOOKUP($A92,Seqs!$A:$B,2,FALSE),VLOOKUP($A92,'SegEnds_NonXtal_Prot#'!A:AL,10,FALSE)+7,1)</f>
        <v>L</v>
      </c>
      <c r="Y92" s="50" t="str">
        <f>MID(VLOOKUP($A92,Seqs!$A:$B,2,FALSE),VLOOKUP($A92,'SegEnds_NonXtal_Prot#'!A:AL,10,FALSE)+8,1)</f>
        <v>P</v>
      </c>
      <c r="Z92" s="50" t="str">
        <f>MID(VLOOKUP($A92,Seqs!$A:$B,2,FALSE),VLOOKUP($A92,'SegEnds_NonXtal_Prot#'!A:AL,10,FALSE)+9,1)</f>
        <v>F</v>
      </c>
      <c r="AA92" s="50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50" t="str">
        <f>MID(VLOOKUP($A92,Seqs!$A:$B,2,FALSE),VLOOKUP($A92,'SegEnds_NonXtal_Prot#'!$A:$AL,22,FALSE)+7,1)</f>
        <v>S</v>
      </c>
      <c r="AD92" s="50" t="str">
        <f>MID(VLOOKUP($A92,Seqs!$A:$B,2,FALSE),VLOOKUP($A92,'SegEnds_NonXtal_Prot#'!$A:$AL,22,FALSE)+8,1)</f>
        <v>L</v>
      </c>
      <c r="AE92" s="50" t="str">
        <f>MID(VLOOKUP($A92,Seqs!$A:$B,2,FALSE),VLOOKUP($A92,'SegEnds_NonXtal_Prot#'!$A:$AL,22,FALSE)+9,1)</f>
        <v>P</v>
      </c>
      <c r="AF92" s="50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50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50" t="str">
        <f>MID(VLOOKUP($A93,Seqs!$A:$B,2,FALSE),VLOOKUP($A93,'SegEnds_NonXtal_Prot#'!A:AL,10,FALSE)+6,1)</f>
        <v>T</v>
      </c>
      <c r="X93" s="50" t="str">
        <f>MID(VLOOKUP($A93,Seqs!$A:$B,2,FALSE),VLOOKUP($A93,'SegEnds_NonXtal_Prot#'!A:AL,10,FALSE)+7,1)</f>
        <v>V</v>
      </c>
      <c r="Y93" s="50" t="str">
        <f>MID(VLOOKUP($A93,Seqs!$A:$B,2,FALSE),VLOOKUP($A93,'SegEnds_NonXtal_Prot#'!A:AL,10,FALSE)+8,1)</f>
        <v>P</v>
      </c>
      <c r="Z93" s="50" t="str">
        <f>MID(VLOOKUP($A93,Seqs!$A:$B,2,FALSE),VLOOKUP($A93,'SegEnds_NonXtal_Prot#'!A:AL,10,FALSE)+9,1)</f>
        <v>F</v>
      </c>
      <c r="AA93" s="50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50" t="str">
        <f>MID(VLOOKUP($A93,Seqs!$A:$B,2,FALSE),VLOOKUP($A93,'SegEnds_NonXtal_Prot#'!$A:$AL,22,FALSE)+7,1)</f>
        <v>S</v>
      </c>
      <c r="AD93" s="50" t="str">
        <f>MID(VLOOKUP($A93,Seqs!$A:$B,2,FALSE),VLOOKUP($A93,'SegEnds_NonXtal_Prot#'!$A:$AL,22,FALSE)+8,1)</f>
        <v>L</v>
      </c>
      <c r="AE93" s="50" t="str">
        <f>MID(VLOOKUP($A93,Seqs!$A:$B,2,FALSE),VLOOKUP($A93,'SegEnds_NonXtal_Prot#'!$A:$AL,22,FALSE)+9,1)</f>
        <v>P</v>
      </c>
      <c r="AF93" s="50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50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50" t="str">
        <f>MID(VLOOKUP($A94,Seqs!$A:$B,2,FALSE),VLOOKUP($A94,'SegEnds_NonXtal_Prot#'!A:AL,10,FALSE)+6,1)</f>
        <v>T</v>
      </c>
      <c r="X94" s="50" t="str">
        <f>MID(VLOOKUP($A94,Seqs!$A:$B,2,FALSE),VLOOKUP($A94,'SegEnds_NonXtal_Prot#'!A:AL,10,FALSE)+7,1)</f>
        <v>L</v>
      </c>
      <c r="Y94" s="50" t="str">
        <f>MID(VLOOKUP($A94,Seqs!$A:$B,2,FALSE),VLOOKUP($A94,'SegEnds_NonXtal_Prot#'!A:AL,10,FALSE)+8,1)</f>
        <v>P</v>
      </c>
      <c r="Z94" s="50" t="str">
        <f>MID(VLOOKUP($A94,Seqs!$A:$B,2,FALSE),VLOOKUP($A94,'SegEnds_NonXtal_Prot#'!A:AL,10,FALSE)+9,1)</f>
        <v>F</v>
      </c>
      <c r="AA94" s="50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50" t="str">
        <f>MID(VLOOKUP($A94,Seqs!$A:$B,2,FALSE),VLOOKUP($A94,'SegEnds_NonXtal_Prot#'!$A:$AL,22,FALSE)+7,1)</f>
        <v>S</v>
      </c>
      <c r="AD94" s="50" t="str">
        <f>MID(VLOOKUP($A94,Seqs!$A:$B,2,FALSE),VLOOKUP($A94,'SegEnds_NonXtal_Prot#'!$A:$AL,22,FALSE)+8,1)</f>
        <v>S</v>
      </c>
      <c r="AE94" s="50" t="str">
        <f>MID(VLOOKUP($A94,Seqs!$A:$B,2,FALSE),VLOOKUP($A94,'SegEnds_NonXtal_Prot#'!$A:$AL,22,FALSE)+9,1)</f>
        <v>S</v>
      </c>
      <c r="AF94" s="50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50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50" t="str">
        <f>MID(VLOOKUP($A95,Seqs!$A:$B,2,FALSE),VLOOKUP($A95,'SegEnds_NonXtal_Prot#'!A:AL,10,FALSE)+6,1)</f>
        <v>T</v>
      </c>
      <c r="X95" s="50" t="str">
        <f>MID(VLOOKUP($A95,Seqs!$A:$B,2,FALSE),VLOOKUP($A95,'SegEnds_NonXtal_Prot#'!A:AL,10,FALSE)+7,1)</f>
        <v>L</v>
      </c>
      <c r="Y95" s="50" t="str">
        <f>MID(VLOOKUP($A95,Seqs!$A:$B,2,FALSE),VLOOKUP($A95,'SegEnds_NonXtal_Prot#'!A:AL,10,FALSE)+8,1)</f>
        <v>P</v>
      </c>
      <c r="Z95" s="50" t="str">
        <f>MID(VLOOKUP($A95,Seqs!$A:$B,2,FALSE),VLOOKUP($A95,'SegEnds_NonXtal_Prot#'!A:AL,10,FALSE)+9,1)</f>
        <v>F</v>
      </c>
      <c r="AA95" s="50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50" t="str">
        <f>MID(VLOOKUP($A95,Seqs!$A:$B,2,FALSE),VLOOKUP($A95,'SegEnds_NonXtal_Prot#'!$A:$AL,22,FALSE)+7,1)</f>
        <v>S</v>
      </c>
      <c r="AD95" s="50" t="str">
        <f>MID(VLOOKUP($A95,Seqs!$A:$B,2,FALSE),VLOOKUP($A95,'SegEnds_NonXtal_Prot#'!$A:$AL,22,FALSE)+8,1)</f>
        <v>I</v>
      </c>
      <c r="AE95" s="50" t="str">
        <f>MID(VLOOKUP($A95,Seqs!$A:$B,2,FALSE),VLOOKUP($A95,'SegEnds_NonXtal_Prot#'!$A:$AL,22,FALSE)+9,1)</f>
        <v>P</v>
      </c>
      <c r="AF95" s="50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50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50" t="str">
        <f>MID(VLOOKUP($A96,Seqs!$A:$B,2,FALSE),VLOOKUP($A96,'SegEnds_NonXtal_Prot#'!A:AL,10,FALSE)+6,1)</f>
        <v>S</v>
      </c>
      <c r="X96" s="50" t="str">
        <f>MID(VLOOKUP($A96,Seqs!$A:$B,2,FALSE),VLOOKUP($A96,'SegEnds_NonXtal_Prot#'!A:AL,10,FALSE)+7,1)</f>
        <v>F</v>
      </c>
      <c r="Y96" s="50" t="str">
        <f>MID(VLOOKUP($A96,Seqs!$A:$B,2,FALSE),VLOOKUP($A96,'SegEnds_NonXtal_Prot#'!A:AL,10,FALSE)+8,1)</f>
        <v>P</v>
      </c>
      <c r="Z96" s="50" t="str">
        <f>MID(VLOOKUP($A96,Seqs!$A:$B,2,FALSE),VLOOKUP($A96,'SegEnds_NonXtal_Prot#'!A:AL,10,FALSE)+9,1)</f>
        <v>F</v>
      </c>
      <c r="AA96" s="50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50" t="str">
        <f>MID(VLOOKUP($A96,Seqs!$A:$B,2,FALSE),VLOOKUP($A96,'SegEnds_NonXtal_Prot#'!$A:$AL,22,FALSE)+7,1)</f>
        <v>T</v>
      </c>
      <c r="AD96" s="50" t="str">
        <f>MID(VLOOKUP($A96,Seqs!$A:$B,2,FALSE),VLOOKUP($A96,'SegEnds_NonXtal_Prot#'!$A:$AL,22,FALSE)+8,1)</f>
        <v>I</v>
      </c>
      <c r="AE96" s="50" t="str">
        <f>MID(VLOOKUP($A96,Seqs!$A:$B,2,FALSE),VLOOKUP($A96,'SegEnds_NonXtal_Prot#'!$A:$AL,22,FALSE)+9,1)</f>
        <v>P</v>
      </c>
      <c r="AF96" s="50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50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50" t="str">
        <f>MID(VLOOKUP($A97,Seqs!$A:$B,2,FALSE),VLOOKUP($A97,'SegEnds_NonXtal_Prot#'!A:AL,10,FALSE)+6,1)</f>
        <v>T</v>
      </c>
      <c r="X97" s="50" t="str">
        <f>MID(VLOOKUP($A97,Seqs!$A:$B,2,FALSE),VLOOKUP($A97,'SegEnds_NonXtal_Prot#'!A:AL,10,FALSE)+7,1)</f>
        <v>L</v>
      </c>
      <c r="Y97" s="50" t="str">
        <f>MID(VLOOKUP($A97,Seqs!$A:$B,2,FALSE),VLOOKUP($A97,'SegEnds_NonXtal_Prot#'!A:AL,10,FALSE)+8,1)</f>
        <v>P</v>
      </c>
      <c r="Z97" s="50" t="str">
        <f>MID(VLOOKUP($A97,Seqs!$A:$B,2,FALSE),VLOOKUP($A97,'SegEnds_NonXtal_Prot#'!A:AL,10,FALSE)+9,1)</f>
        <v>F</v>
      </c>
      <c r="AA97" s="50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50" t="str">
        <f>MID(VLOOKUP($A97,Seqs!$A:$B,2,FALSE),VLOOKUP($A97,'SegEnds_NonXtal_Prot#'!$A:$AL,22,FALSE)+7,1)</f>
        <v>T</v>
      </c>
      <c r="AD97" s="50" t="str">
        <f>MID(VLOOKUP($A97,Seqs!$A:$B,2,FALSE),VLOOKUP($A97,'SegEnds_NonXtal_Prot#'!$A:$AL,22,FALSE)+8,1)</f>
        <v>L</v>
      </c>
      <c r="AE97" s="50" t="str">
        <f>MID(VLOOKUP($A97,Seqs!$A:$B,2,FALSE),VLOOKUP($A97,'SegEnds_NonXtal_Prot#'!$A:$AL,22,FALSE)+9,1)</f>
        <v>P</v>
      </c>
      <c r="AF97" s="50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50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50" t="str">
        <f>MID(VLOOKUP($A98,Seqs!$A:$B,2,FALSE),VLOOKUP($A98,'SegEnds_NonXtal_Prot#'!A:AL,10,FALSE)+6,1)</f>
        <v>T</v>
      </c>
      <c r="X98" s="50" t="str">
        <f>MID(VLOOKUP($A98,Seqs!$A:$B,2,FALSE),VLOOKUP($A98,'SegEnds_NonXtal_Prot#'!A:AL,10,FALSE)+7,1)</f>
        <v>L</v>
      </c>
      <c r="Y98" s="50" t="str">
        <f>MID(VLOOKUP($A98,Seqs!$A:$B,2,FALSE),VLOOKUP($A98,'SegEnds_NonXtal_Prot#'!A:AL,10,FALSE)+8,1)</f>
        <v>P</v>
      </c>
      <c r="Z98" s="50" t="str">
        <f>MID(VLOOKUP($A98,Seqs!$A:$B,2,FALSE),VLOOKUP($A98,'SegEnds_NonXtal_Prot#'!A:AL,10,FALSE)+9,1)</f>
        <v>F</v>
      </c>
      <c r="AA98" s="50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50" t="str">
        <f>MID(VLOOKUP($A98,Seqs!$A:$B,2,FALSE),VLOOKUP($A98,'SegEnds_NonXtal_Prot#'!$A:$AL,22,FALSE)+7,1)</f>
        <v>A</v>
      </c>
      <c r="AD98" s="50" t="str">
        <f>MID(VLOOKUP($A98,Seqs!$A:$B,2,FALSE),VLOOKUP($A98,'SegEnds_NonXtal_Prot#'!$A:$AL,22,FALSE)+8,1)</f>
        <v>A</v>
      </c>
      <c r="AE98" s="50" t="str">
        <f>MID(VLOOKUP($A98,Seqs!$A:$B,2,FALSE),VLOOKUP($A98,'SegEnds_NonXtal_Prot#'!$A:$AL,22,FALSE)+9,1)</f>
        <v>P</v>
      </c>
      <c r="AF98" s="50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50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50" t="str">
        <f>MID(VLOOKUP($A99,Seqs!$A:$B,2,FALSE),VLOOKUP($A99,'SegEnds_NonXtal_Prot#'!A:AL,10,FALSE)+6,1)</f>
        <v>T</v>
      </c>
      <c r="X99" s="50" t="str">
        <f>MID(VLOOKUP($A99,Seqs!$A:$B,2,FALSE),VLOOKUP($A99,'SegEnds_NonXtal_Prot#'!A:AL,10,FALSE)+7,1)</f>
        <v>L</v>
      </c>
      <c r="Y99" s="50" t="str">
        <f>MID(VLOOKUP($A99,Seqs!$A:$B,2,FALSE),VLOOKUP($A99,'SegEnds_NonXtal_Prot#'!A:AL,10,FALSE)+8,1)</f>
        <v>P</v>
      </c>
      <c r="Z99" s="50" t="str">
        <f>MID(VLOOKUP($A99,Seqs!$A:$B,2,FALSE),VLOOKUP($A99,'SegEnds_NonXtal_Prot#'!A:AL,10,FALSE)+9,1)</f>
        <v>I</v>
      </c>
      <c r="AA99" s="50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50" t="str">
        <f>MID(VLOOKUP($A99,Seqs!$A:$B,2,FALSE),VLOOKUP($A99,'SegEnds_NonXtal_Prot#'!$A:$AL,22,FALSE)+7,1)</f>
        <v>S</v>
      </c>
      <c r="AD99" s="50" t="str">
        <f>MID(VLOOKUP($A99,Seqs!$A:$B,2,FALSE),VLOOKUP($A99,'SegEnds_NonXtal_Prot#'!$A:$AL,22,FALSE)+8,1)</f>
        <v>L</v>
      </c>
      <c r="AE99" s="50" t="str">
        <f>MID(VLOOKUP($A99,Seqs!$A:$B,2,FALSE),VLOOKUP($A99,'SegEnds_NonXtal_Prot#'!$A:$AL,22,FALSE)+9,1)</f>
        <v>P</v>
      </c>
      <c r="AF99" s="50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50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50" t="str">
        <f>MID(VLOOKUP($A100,Seqs!$A:$B,2,FALSE),VLOOKUP($A100,'SegEnds_NonXtal_Prot#'!A:AL,10,FALSE)+6,1)</f>
        <v>T</v>
      </c>
      <c r="X100" s="50" t="str">
        <f>MID(VLOOKUP($A100,Seqs!$A:$B,2,FALSE),VLOOKUP($A100,'SegEnds_NonXtal_Prot#'!A:AL,10,FALSE)+7,1)</f>
        <v>L</v>
      </c>
      <c r="Y100" s="50" t="str">
        <f>MID(VLOOKUP($A100,Seqs!$A:$B,2,FALSE),VLOOKUP($A100,'SegEnds_NonXtal_Prot#'!A:AL,10,FALSE)+8,1)</f>
        <v>P</v>
      </c>
      <c r="Z100" s="50" t="str">
        <f>MID(VLOOKUP($A100,Seqs!$A:$B,2,FALSE),VLOOKUP($A100,'SegEnds_NonXtal_Prot#'!A:AL,10,FALSE)+9,1)</f>
        <v>I</v>
      </c>
      <c r="AA100" s="50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50" t="str">
        <f>MID(VLOOKUP($A100,Seqs!$A:$B,2,FALSE),VLOOKUP($A100,'SegEnds_NonXtal_Prot#'!$A:$AL,22,FALSE)+7,1)</f>
        <v>A</v>
      </c>
      <c r="AD100" s="50" t="str">
        <f>MID(VLOOKUP($A100,Seqs!$A:$B,2,FALSE),VLOOKUP($A100,'SegEnds_NonXtal_Prot#'!$A:$AL,22,FALSE)+8,1)</f>
        <v>L</v>
      </c>
      <c r="AE100" s="50" t="str">
        <f>MID(VLOOKUP($A100,Seqs!$A:$B,2,FALSE),VLOOKUP($A100,'SegEnds_NonXtal_Prot#'!$A:$AL,22,FALSE)+9,1)</f>
        <v>P</v>
      </c>
      <c r="AF100" s="50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50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50" t="str">
        <f>MID(VLOOKUP($A101,Seqs!$A:$B,2,FALSE),VLOOKUP($A101,'SegEnds_NonXtal_Prot#'!A:AL,10,FALSE)+6,1)</f>
        <v>T</v>
      </c>
      <c r="X101" s="50" t="str">
        <f>MID(VLOOKUP($A101,Seqs!$A:$B,2,FALSE),VLOOKUP($A101,'SegEnds_NonXtal_Prot#'!A:AL,10,FALSE)+7,1)</f>
        <v>L</v>
      </c>
      <c r="Y101" s="50" t="str">
        <f>MID(VLOOKUP($A101,Seqs!$A:$B,2,FALSE),VLOOKUP($A101,'SegEnds_NonXtal_Prot#'!A:AL,10,FALSE)+8,1)</f>
        <v>P</v>
      </c>
      <c r="Z101" s="50" t="str">
        <f>MID(VLOOKUP($A101,Seqs!$A:$B,2,FALSE),VLOOKUP($A101,'SegEnds_NonXtal_Prot#'!A:AL,10,FALSE)+9,1)</f>
        <v>F</v>
      </c>
      <c r="AA101" s="50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50" t="str">
        <f>MID(VLOOKUP($A101,Seqs!$A:$B,2,FALSE),VLOOKUP($A101,'SegEnds_NonXtal_Prot#'!$A:$AL,22,FALSE)+7,1)</f>
        <v>S</v>
      </c>
      <c r="AD101" s="50" t="str">
        <f>MID(VLOOKUP($A101,Seqs!$A:$B,2,FALSE),VLOOKUP($A101,'SegEnds_NonXtal_Prot#'!$A:$AL,22,FALSE)+8,1)</f>
        <v>L</v>
      </c>
      <c r="AE101" s="50" t="str">
        <f>MID(VLOOKUP($A101,Seqs!$A:$B,2,FALSE),VLOOKUP($A101,'SegEnds_NonXtal_Prot#'!$A:$AL,22,FALSE)+9,1)</f>
        <v>P</v>
      </c>
      <c r="AF101" s="50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50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50" t="str">
        <f>MID(VLOOKUP($A102,Seqs!$A:$B,2,FALSE),VLOOKUP($A102,'SegEnds_NonXtal_Prot#'!A:AL,10,FALSE)+6,1)</f>
        <v>L</v>
      </c>
      <c r="X102" s="50" t="str">
        <f>MID(VLOOKUP($A102,Seqs!$A:$B,2,FALSE),VLOOKUP($A102,'SegEnds_NonXtal_Prot#'!A:AL,10,FALSE)+7,1)</f>
        <v>L</v>
      </c>
      <c r="Y102" s="50" t="str">
        <f>MID(VLOOKUP($A102,Seqs!$A:$B,2,FALSE),VLOOKUP($A102,'SegEnds_NonXtal_Prot#'!A:AL,10,FALSE)+8,1)</f>
        <v>P</v>
      </c>
      <c r="Z102" s="50" t="str">
        <f>MID(VLOOKUP($A102,Seqs!$A:$B,2,FALSE),VLOOKUP($A102,'SegEnds_NonXtal_Prot#'!A:AL,10,FALSE)+9,1)</f>
        <v>V</v>
      </c>
      <c r="AA102" s="50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50" t="str">
        <f>MID(VLOOKUP($A102,Seqs!$A:$B,2,FALSE),VLOOKUP($A102,'SegEnds_NonXtal_Prot#'!$A:$AL,22,FALSE)+7,1)</f>
        <v>S</v>
      </c>
      <c r="AD102" s="50" t="str">
        <f>MID(VLOOKUP($A102,Seqs!$A:$B,2,FALSE),VLOOKUP($A102,'SegEnds_NonXtal_Prot#'!$A:$AL,22,FALSE)+8,1)</f>
        <v>I</v>
      </c>
      <c r="AE102" s="50" t="str">
        <f>MID(VLOOKUP($A102,Seqs!$A:$B,2,FALSE),VLOOKUP($A102,'SegEnds_NonXtal_Prot#'!$A:$AL,22,FALSE)+9,1)</f>
        <v>L</v>
      </c>
      <c r="AF102" s="50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50" t="str">
        <f>MID(VLOOKUP($A102,Seqs!$A:$B,2,FALSE),VLOOKUP($A102,'SegEnds_NonXtal_Prot#'!$A:$AL,28,FALSE),1)</f>
        <v>S</v>
      </c>
    </row>
    <row r="103" spans="1:34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41"/>
      <c r="H103" s="11"/>
      <c r="I103" s="41"/>
      <c r="J103" s="41"/>
      <c r="K103" s="41"/>
      <c r="L103" s="41"/>
      <c r="M103" s="41"/>
      <c r="N103" s="41" t="s">
        <v>14</v>
      </c>
      <c r="O103" s="41"/>
      <c r="P103" s="41"/>
      <c r="Q103" s="41"/>
      <c r="R103" s="41" t="s">
        <v>9</v>
      </c>
      <c r="S103" s="41"/>
      <c r="T103" s="11" t="s">
        <v>12</v>
      </c>
      <c r="U103" s="41"/>
      <c r="V103" s="59" t="str">
        <f>MID(VLOOKUP($A103,Seqs!$A:$B,2,FALSE),VLOOKUP($A103,'SegEnds_NonXtal_Prot#'!A:AL,10,FALSE),1)</f>
        <v>D</v>
      </c>
      <c r="W103" s="52" t="str">
        <f>MID(VLOOKUP($A103,Seqs!$A:$B,2,FALSE),VLOOKUP($A103,'SegEnds_NonXtal_Prot#'!A:AL,10,FALSE)+6,1)</f>
        <v>T</v>
      </c>
      <c r="X103" s="52" t="str">
        <f>MID(VLOOKUP($A103,Seqs!$A:$B,2,FALSE),VLOOKUP($A103,'SegEnds_NonXtal_Prot#'!A:AL,10,FALSE)+7,1)</f>
        <v>L</v>
      </c>
      <c r="Y103" s="52" t="str">
        <f>MID(VLOOKUP($A103,Seqs!$A:$B,2,FALSE),VLOOKUP($A103,'SegEnds_NonXtal_Prot#'!A:AL,10,FALSE)+8,1)</f>
        <v>P</v>
      </c>
      <c r="Z103" s="50" t="str">
        <f>MID(VLOOKUP($A103,Seqs!$A:$B,2,FALSE),VLOOKUP($A103,'SegEnds_NonXtal_Prot#'!A:AL,10,FALSE)+9,1)</f>
        <v>F</v>
      </c>
      <c r="AA103" s="50" t="str">
        <f>MID(VLOOKUP($A103,Seqs!$A:$B,2,FALSE),VLOOKUP($A103,'SegEnds_NonXtal_Prot#'!A:AL,10,FALSE)+10,1)</f>
        <v>W</v>
      </c>
      <c r="AB103" s="59" t="str">
        <f>MID(VLOOKUP($A103,Seqs!$A:$B,2,FALSE),VLOOKUP($A103,'SegEnds_NonXtal_Prot#'!$A:$AL,22,FALSE)+6,1)</f>
        <v>L</v>
      </c>
      <c r="AC103" s="52" t="str">
        <f>MID(VLOOKUP($A103,Seqs!$A:$B,2,FALSE),VLOOKUP($A103,'SegEnds_NonXtal_Prot#'!$A:$AL,22,FALSE)+7,1)</f>
        <v>C</v>
      </c>
      <c r="AD103" s="52" t="str">
        <f>MID(VLOOKUP($A103,Seqs!$A:$B,2,FALSE),VLOOKUP($A103,'SegEnds_NonXtal_Prot#'!$A:$AL,22,FALSE)+8,1)</f>
        <v>I</v>
      </c>
      <c r="AE103" s="52" t="str">
        <f>MID(VLOOKUP($A103,Seqs!$A:$B,2,FALSE),VLOOKUP($A103,'SegEnds_NonXtal_Prot#'!$A:$AL,22,FALSE)+9,1)</f>
        <v>P</v>
      </c>
      <c r="AF103" s="52" t="str">
        <f>MID(VLOOKUP($A103,Seqs!$A:$B,2,FALSE),VLOOKUP($A103,'SegEnds_NonXtal_Prot#'!$A:$AL,22,FALSE)+10,1)</f>
        <v>E</v>
      </c>
      <c r="AG103" s="59" t="str">
        <f>MID(VLOOKUP($A103,Seqs!$A:$B,2,FALSE),VLOOKUP($A103,'SegEnds_NonXtal_Prot#'!$A:$AL,28,FALSE)-4,1)</f>
        <v>G</v>
      </c>
      <c r="AH103" s="52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50" t="str">
        <f>MID(VLOOKUP($A104,Seqs!$A:$B,2,FALSE),VLOOKUP($A104,'SegEnds_NonXtal_Prot#'!A:AL,10,FALSE)+6,1)</f>
        <v>I</v>
      </c>
      <c r="X104" s="50" t="str">
        <f>MID(VLOOKUP($A104,Seqs!$A:$B,2,FALSE),VLOOKUP($A104,'SegEnds_NonXtal_Prot#'!A:AL,10,FALSE)+7,1)</f>
        <v>F</v>
      </c>
      <c r="Y104" s="50" t="str">
        <f>MID(VLOOKUP($A104,Seqs!$A:$B,2,FALSE),VLOOKUP($A104,'SegEnds_NonXtal_Prot#'!A:AL,10,FALSE)+8,1)</f>
        <v>V</v>
      </c>
      <c r="Z104" s="50" t="str">
        <f>MID(VLOOKUP($A104,Seqs!$A:$B,2,FALSE),VLOOKUP($A104,'SegEnds_NonXtal_Prot#'!A:AL,10,FALSE)+9,1)</f>
        <v>Y</v>
      </c>
      <c r="AA104" s="50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50" t="str">
        <f>MID(VLOOKUP($A104,Seqs!$A:$B,2,FALSE),VLOOKUP($A104,'SegEnds_NonXtal_Prot#'!$A:$AL,22,FALSE)+7,1)</f>
        <v>A</v>
      </c>
      <c r="AD104" s="50" t="str">
        <f>MID(VLOOKUP($A104,Seqs!$A:$B,2,FALSE),VLOOKUP($A104,'SegEnds_NonXtal_Prot#'!$A:$AL,22,FALSE)+8,1)</f>
        <v>V</v>
      </c>
      <c r="AE104" s="50" t="str">
        <f>MID(VLOOKUP($A104,Seqs!$A:$B,2,FALSE),VLOOKUP($A104,'SegEnds_NonXtal_Prot#'!$A:$AL,22,FALSE)+9,1)</f>
        <v>L</v>
      </c>
      <c r="AF104" s="50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50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50" t="str">
        <f>MID(VLOOKUP($A105,Seqs!$A:$B,2,FALSE),VLOOKUP($A105,'SegEnds_NonXtal_Prot#'!A:AL,10,FALSE)+6,1)</f>
        <v>V</v>
      </c>
      <c r="X105" s="50" t="str">
        <f>MID(VLOOKUP($A105,Seqs!$A:$B,2,FALSE),VLOOKUP($A105,'SegEnds_NonXtal_Prot#'!A:AL,10,FALSE)+7,1)</f>
        <v>F</v>
      </c>
      <c r="Y105" s="50" t="str">
        <f>MID(VLOOKUP($A105,Seqs!$A:$B,2,FALSE),VLOOKUP($A105,'SegEnds_NonXtal_Prot#'!A:AL,10,FALSE)+8,1)</f>
        <v>A</v>
      </c>
      <c r="Z105" s="50" t="str">
        <f>MID(VLOOKUP($A105,Seqs!$A:$B,2,FALSE),VLOOKUP($A105,'SegEnds_NonXtal_Prot#'!A:AL,10,FALSE)+9,1)</f>
        <v>C</v>
      </c>
      <c r="AA105" s="50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50" t="str">
        <f>MID(VLOOKUP($A105,Seqs!$A:$B,2,FALSE),VLOOKUP($A105,'SegEnds_NonXtal_Prot#'!$A:$AL,22,FALSE)+7,1)</f>
        <v>S</v>
      </c>
      <c r="AD105" s="50" t="str">
        <f>MID(VLOOKUP($A105,Seqs!$A:$B,2,FALSE),VLOOKUP($A105,'SegEnds_NonXtal_Prot#'!$A:$AL,22,FALSE)+8,1)</f>
        <v>Y</v>
      </c>
      <c r="AE105" s="50" t="str">
        <f>MID(VLOOKUP($A105,Seqs!$A:$B,2,FALSE),VLOOKUP($A105,'SegEnds_NonXtal_Prot#'!$A:$AL,22,FALSE)+9,1)</f>
        <v>L</v>
      </c>
      <c r="AF105" s="50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50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50" t="str">
        <f>MID(VLOOKUP($A106,Seqs!$A:$B,2,FALSE),VLOOKUP($A106,'SegEnds_NonXtal_Prot#'!A:AL,10,FALSE)+6,1)</f>
        <v>S</v>
      </c>
      <c r="X106" s="50" t="str">
        <f>MID(VLOOKUP($A106,Seqs!$A:$B,2,FALSE),VLOOKUP($A106,'SegEnds_NonXtal_Prot#'!A:AL,10,FALSE)+7,1)</f>
        <v>L</v>
      </c>
      <c r="Y106" s="50" t="str">
        <f>MID(VLOOKUP($A106,Seqs!$A:$B,2,FALSE),VLOOKUP($A106,'SegEnds_NonXtal_Prot#'!A:AL,10,FALSE)+8,1)</f>
        <v>P</v>
      </c>
      <c r="Z106" s="50" t="str">
        <f>MID(VLOOKUP($A106,Seqs!$A:$B,2,FALSE),VLOOKUP($A106,'SegEnds_NonXtal_Prot#'!A:AL,10,FALSE)+9,1)</f>
        <v>I</v>
      </c>
      <c r="AA106" s="50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50" t="str">
        <f>MID(VLOOKUP($A106,Seqs!$A:$B,2,FALSE),VLOOKUP($A106,'SegEnds_NonXtal_Prot#'!$A:$AL,22,FALSE)+7,1)</f>
        <v>T</v>
      </c>
      <c r="AD106" s="50" t="str">
        <f>MID(VLOOKUP($A106,Seqs!$A:$B,2,FALSE),VLOOKUP($A106,'SegEnds_NonXtal_Prot#'!$A:$AL,22,FALSE)+8,1)</f>
        <v>V</v>
      </c>
      <c r="AE106" s="50" t="str">
        <f>MID(VLOOKUP($A106,Seqs!$A:$B,2,FALSE),VLOOKUP($A106,'SegEnds_NonXtal_Prot#'!$A:$AL,22,FALSE)+9,1)</f>
        <v>P</v>
      </c>
      <c r="AF106" s="50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50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50" t="str">
        <f>MID(VLOOKUP($A107,Seqs!$A:$B,2,FALSE),VLOOKUP($A107,'SegEnds_NonXtal_Prot#'!A:AL,10,FALSE)+6,1)</f>
        <v>T</v>
      </c>
      <c r="X107" s="50" t="str">
        <f>MID(VLOOKUP($A107,Seqs!$A:$B,2,FALSE),VLOOKUP($A107,'SegEnds_NonXtal_Prot#'!A:AL,10,FALSE)+7,1)</f>
        <v>L</v>
      </c>
      <c r="Y107" s="50" t="str">
        <f>MID(VLOOKUP($A107,Seqs!$A:$B,2,FALSE),VLOOKUP($A107,'SegEnds_NonXtal_Prot#'!A:AL,10,FALSE)+8,1)</f>
        <v>P</v>
      </c>
      <c r="Z107" s="50" t="str">
        <f>MID(VLOOKUP($A107,Seqs!$A:$B,2,FALSE),VLOOKUP($A107,'SegEnds_NonXtal_Prot#'!A:AL,10,FALSE)+9,1)</f>
        <v>L</v>
      </c>
      <c r="AA107" s="50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50" t="str">
        <f>MID(VLOOKUP($A107,Seqs!$A:$B,2,FALSE),VLOOKUP($A107,'SegEnds_NonXtal_Prot#'!$A:$AL,22,FALSE)+7,1)</f>
        <v>A</v>
      </c>
      <c r="AD107" s="50" t="str">
        <f>MID(VLOOKUP($A107,Seqs!$A:$B,2,FALSE),VLOOKUP($A107,'SegEnds_NonXtal_Prot#'!$A:$AL,22,FALSE)+8,1)</f>
        <v>L</v>
      </c>
      <c r="AE107" s="50" t="str">
        <f>MID(VLOOKUP($A107,Seqs!$A:$B,2,FALSE),VLOOKUP($A107,'SegEnds_NonXtal_Prot#'!$A:$AL,22,FALSE)+9,1)</f>
        <v>P</v>
      </c>
      <c r="AF107" s="50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50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50" t="str">
        <f>MID(VLOOKUP($A108,Seqs!$A:$B,2,FALSE),VLOOKUP($A108,'SegEnds_NonXtal_Prot#'!A:AL,10,FALSE)+6,1)</f>
        <v>T</v>
      </c>
      <c r="X108" s="50" t="str">
        <f>MID(VLOOKUP($A108,Seqs!$A:$B,2,FALSE),VLOOKUP($A108,'SegEnds_NonXtal_Prot#'!A:AL,10,FALSE)+7,1)</f>
        <v>L</v>
      </c>
      <c r="Y108" s="50" t="str">
        <f>MID(VLOOKUP($A108,Seqs!$A:$B,2,FALSE),VLOOKUP($A108,'SegEnds_NonXtal_Prot#'!A:AL,10,FALSE)+8,1)</f>
        <v>P</v>
      </c>
      <c r="Z108" s="50" t="str">
        <f>MID(VLOOKUP($A108,Seqs!$A:$B,2,FALSE),VLOOKUP($A108,'SegEnds_NonXtal_Prot#'!A:AL,10,FALSE)+9,1)</f>
        <v>F</v>
      </c>
      <c r="AA108" s="50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50" t="str">
        <f>MID(VLOOKUP($A108,Seqs!$A:$B,2,FALSE),VLOOKUP($A108,'SegEnds_NonXtal_Prot#'!$A:$AL,22,FALSE)+7,1)</f>
        <v>T</v>
      </c>
      <c r="AD108" s="50" t="str">
        <f>MID(VLOOKUP($A108,Seqs!$A:$B,2,FALSE),VLOOKUP($A108,'SegEnds_NonXtal_Prot#'!$A:$AL,22,FALSE)+8,1)</f>
        <v>I</v>
      </c>
      <c r="AE108" s="50" t="str">
        <f>MID(VLOOKUP($A108,Seqs!$A:$B,2,FALSE),VLOOKUP($A108,'SegEnds_NonXtal_Prot#'!$A:$AL,22,FALSE)+9,1)</f>
        <v>P</v>
      </c>
      <c r="AF108" s="50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50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50" t="str">
        <f>MID(VLOOKUP($A109,Seqs!$A:$B,2,FALSE),VLOOKUP($A109,'SegEnds_NonXtal_Prot#'!A:AL,10,FALSE)+6,1)</f>
        <v>I</v>
      </c>
      <c r="X109" s="50" t="str">
        <f>MID(VLOOKUP($A109,Seqs!$A:$B,2,FALSE),VLOOKUP($A109,'SegEnds_NonXtal_Prot#'!A:AL,10,FALSE)+7,1)</f>
        <v>L</v>
      </c>
      <c r="Y109" s="50" t="str">
        <f>MID(VLOOKUP($A109,Seqs!$A:$B,2,FALSE),VLOOKUP($A109,'SegEnds_NonXtal_Prot#'!A:AL,10,FALSE)+8,1)</f>
        <v>P</v>
      </c>
      <c r="Z109" s="50" t="str">
        <f>MID(VLOOKUP($A109,Seqs!$A:$B,2,FALSE),VLOOKUP($A109,'SegEnds_NonXtal_Prot#'!A:AL,10,FALSE)+9,1)</f>
        <v>F</v>
      </c>
      <c r="AA109" s="50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50" t="str">
        <f>MID(VLOOKUP($A109,Seqs!$A:$B,2,FALSE),VLOOKUP($A109,'SegEnds_NonXtal_Prot#'!$A:$AL,22,FALSE)+7,1)</f>
        <v>A</v>
      </c>
      <c r="AD109" s="50" t="str">
        <f>MID(VLOOKUP($A109,Seqs!$A:$B,2,FALSE),VLOOKUP($A109,'SegEnds_NonXtal_Prot#'!$A:$AL,22,FALSE)+8,1)</f>
        <v>L</v>
      </c>
      <c r="AE109" s="50" t="str">
        <f>MID(VLOOKUP($A109,Seqs!$A:$B,2,FALSE),VLOOKUP($A109,'SegEnds_NonXtal_Prot#'!$A:$AL,22,FALSE)+9,1)</f>
        <v>P</v>
      </c>
      <c r="AF109" s="50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50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50" t="str">
        <f>MID(VLOOKUP($A110,Seqs!$A:$B,2,FALSE),VLOOKUP($A110,'SegEnds_NonXtal_Prot#'!A:AL,10,FALSE)+6,1)</f>
        <v>T</v>
      </c>
      <c r="X110" s="50" t="str">
        <f>MID(VLOOKUP($A110,Seqs!$A:$B,2,FALSE),VLOOKUP($A110,'SegEnds_NonXtal_Prot#'!A:AL,10,FALSE)+7,1)</f>
        <v>L</v>
      </c>
      <c r="Y110" s="50" t="str">
        <f>MID(VLOOKUP($A110,Seqs!$A:$B,2,FALSE),VLOOKUP($A110,'SegEnds_NonXtal_Prot#'!A:AL,10,FALSE)+8,1)</f>
        <v>P</v>
      </c>
      <c r="Z110" s="50" t="str">
        <f>MID(VLOOKUP($A110,Seqs!$A:$B,2,FALSE),VLOOKUP($A110,'SegEnds_NonXtal_Prot#'!A:AL,10,FALSE)+9,1)</f>
        <v>F</v>
      </c>
      <c r="AA110" s="50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50" t="str">
        <f>MID(VLOOKUP($A110,Seqs!$A:$B,2,FALSE),VLOOKUP($A110,'SegEnds_NonXtal_Prot#'!$A:$AL,22,FALSE)+7,1)</f>
        <v>T</v>
      </c>
      <c r="AD110" s="50" t="str">
        <f>MID(VLOOKUP($A110,Seqs!$A:$B,2,FALSE),VLOOKUP($A110,'SegEnds_NonXtal_Prot#'!$A:$AL,22,FALSE)+8,1)</f>
        <v>L</v>
      </c>
      <c r="AE110" s="50" t="str">
        <f>MID(VLOOKUP($A110,Seqs!$A:$B,2,FALSE),VLOOKUP($A110,'SegEnds_NonXtal_Prot#'!$A:$AL,22,FALSE)+9,1)</f>
        <v>P</v>
      </c>
      <c r="AF110" s="50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50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50" t="str">
        <f>MID(VLOOKUP($A111,Seqs!$A:$B,2,FALSE),VLOOKUP($A111,'SegEnds_NonXtal_Prot#'!A:AL,10,FALSE)+6,1)</f>
        <v>T</v>
      </c>
      <c r="X111" s="50" t="str">
        <f>MID(VLOOKUP($A111,Seqs!$A:$B,2,FALSE),VLOOKUP($A111,'SegEnds_NonXtal_Prot#'!A:AL,10,FALSE)+7,1)</f>
        <v>L</v>
      </c>
      <c r="Y111" s="50" t="str">
        <f>MID(VLOOKUP($A111,Seqs!$A:$B,2,FALSE),VLOOKUP($A111,'SegEnds_NonXtal_Prot#'!A:AL,10,FALSE)+8,1)</f>
        <v>P</v>
      </c>
      <c r="Z111" s="50" t="str">
        <f>MID(VLOOKUP($A111,Seqs!$A:$B,2,FALSE),VLOOKUP($A111,'SegEnds_NonXtal_Prot#'!A:AL,10,FALSE)+9,1)</f>
        <v>F</v>
      </c>
      <c r="AA111" s="50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50" t="str">
        <f>MID(VLOOKUP($A111,Seqs!$A:$B,2,FALSE),VLOOKUP($A111,'SegEnds_NonXtal_Prot#'!$A:$AL,22,FALSE)+7,1)</f>
        <v>T</v>
      </c>
      <c r="AD111" s="50" t="str">
        <f>MID(VLOOKUP($A111,Seqs!$A:$B,2,FALSE),VLOOKUP($A111,'SegEnds_NonXtal_Prot#'!$A:$AL,22,FALSE)+8,1)</f>
        <v>L</v>
      </c>
      <c r="AE111" s="50" t="str">
        <f>MID(VLOOKUP($A111,Seqs!$A:$B,2,FALSE),VLOOKUP($A111,'SegEnds_NonXtal_Prot#'!$A:$AL,22,FALSE)+9,1)</f>
        <v>P</v>
      </c>
      <c r="AF111" s="50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50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50" t="str">
        <f>MID(VLOOKUP($A112,Seqs!$A:$B,2,FALSE),VLOOKUP($A112,'SegEnds_NonXtal_Prot#'!A:AL,10,FALSE)+6,1)</f>
        <v>I</v>
      </c>
      <c r="X112" s="50" t="str">
        <f>MID(VLOOKUP($A112,Seqs!$A:$B,2,FALSE),VLOOKUP($A112,'SegEnds_NonXtal_Prot#'!A:AL,10,FALSE)+7,1)</f>
        <v>L</v>
      </c>
      <c r="Y112" s="50" t="str">
        <f>MID(VLOOKUP($A112,Seqs!$A:$B,2,FALSE),VLOOKUP($A112,'SegEnds_NonXtal_Prot#'!A:AL,10,FALSE)+8,1)</f>
        <v>P</v>
      </c>
      <c r="Z112" s="50" t="str">
        <f>MID(VLOOKUP($A112,Seqs!$A:$B,2,FALSE),VLOOKUP($A112,'SegEnds_NonXtal_Prot#'!A:AL,10,FALSE)+9,1)</f>
        <v>F</v>
      </c>
      <c r="AA112" s="50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50" t="str">
        <f>MID(VLOOKUP($A112,Seqs!$A:$B,2,FALSE),VLOOKUP($A112,'SegEnds_NonXtal_Prot#'!$A:$AL,22,FALSE)+7,1)</f>
        <v>T</v>
      </c>
      <c r="AD112" s="50" t="str">
        <f>MID(VLOOKUP($A112,Seqs!$A:$B,2,FALSE),VLOOKUP($A112,'SegEnds_NonXtal_Prot#'!$A:$AL,22,FALSE)+8,1)</f>
        <v>L</v>
      </c>
      <c r="AE112" s="50" t="str">
        <f>MID(VLOOKUP($A112,Seqs!$A:$B,2,FALSE),VLOOKUP($A112,'SegEnds_NonXtal_Prot#'!$A:$AL,22,FALSE)+9,1)</f>
        <v>P</v>
      </c>
      <c r="AF112" s="50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50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50" t="str">
        <f>MID(VLOOKUP($A113,Seqs!$A:$B,2,FALSE),VLOOKUP($A113,'SegEnds_NonXtal_Prot#'!A:AL,10,FALSE)+6,1)</f>
        <v>L</v>
      </c>
      <c r="X113" s="50" t="str">
        <f>MID(VLOOKUP($A113,Seqs!$A:$B,2,FALSE),VLOOKUP($A113,'SegEnds_NonXtal_Prot#'!A:AL,10,FALSE)+7,1)</f>
        <v>T</v>
      </c>
      <c r="Y113" s="50" t="str">
        <f>MID(VLOOKUP($A113,Seqs!$A:$B,2,FALSE),VLOOKUP($A113,'SegEnds_NonXtal_Prot#'!A:AL,10,FALSE)+8,1)</f>
        <v>P</v>
      </c>
      <c r="Z113" s="50" t="str">
        <f>MID(VLOOKUP($A113,Seqs!$A:$B,2,FALSE),VLOOKUP($A113,'SegEnds_NonXtal_Prot#'!A:AL,10,FALSE)+9,1)</f>
        <v>L</v>
      </c>
      <c r="AA113" s="50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50" t="str">
        <f>MID(VLOOKUP($A113,Seqs!$A:$B,2,FALSE),VLOOKUP($A113,'SegEnds_NonXtal_Prot#'!$A:$AL,22,FALSE)+7,1)</f>
        <v>A</v>
      </c>
      <c r="AD113" s="50" t="str">
        <f>MID(VLOOKUP($A113,Seqs!$A:$B,2,FALSE),VLOOKUP($A113,'SegEnds_NonXtal_Prot#'!$A:$AL,22,FALSE)+8,1)</f>
        <v>V</v>
      </c>
      <c r="AE113" s="50" t="str">
        <f>MID(VLOOKUP($A113,Seqs!$A:$B,2,FALSE),VLOOKUP($A113,'SegEnds_NonXtal_Prot#'!$A:$AL,22,FALSE)+9,1)</f>
        <v>P</v>
      </c>
      <c r="AF113" s="50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50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50" t="str">
        <f>MID(VLOOKUP($A114,Seqs!$A:$B,2,FALSE),VLOOKUP($A114,'SegEnds_NonXtal_Prot#'!A:AL,10,FALSE)+6,1)</f>
        <v>L</v>
      </c>
      <c r="X114" s="50" t="str">
        <f>MID(VLOOKUP($A114,Seqs!$A:$B,2,FALSE),VLOOKUP($A114,'SegEnds_NonXtal_Prot#'!A:AL,10,FALSE)+7,1)</f>
        <v>I</v>
      </c>
      <c r="Y114" s="50" t="str">
        <f>MID(VLOOKUP($A114,Seqs!$A:$B,2,FALSE),VLOOKUP($A114,'SegEnds_NonXtal_Prot#'!A:AL,10,FALSE)+8,1)</f>
        <v>I</v>
      </c>
      <c r="Z114" s="50" t="str">
        <f>MID(VLOOKUP($A114,Seqs!$A:$B,2,FALSE),VLOOKUP($A114,'SegEnds_NonXtal_Prot#'!A:AL,10,FALSE)+9,1)</f>
        <v>P</v>
      </c>
      <c r="AA114" s="50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50" t="str">
        <f>MID(VLOOKUP($A114,Seqs!$A:$B,2,FALSE),VLOOKUP($A114,'SegEnds_NonXtal_Prot#'!$A:$AL,22,FALSE)+7,1)</f>
        <v>S</v>
      </c>
      <c r="AD114" s="50" t="str">
        <f>MID(VLOOKUP($A114,Seqs!$A:$B,2,FALSE),VLOOKUP($A114,'SegEnds_NonXtal_Prot#'!$A:$AL,22,FALSE)+8,1)</f>
        <v>L</v>
      </c>
      <c r="AE114" s="50" t="str">
        <f>MID(VLOOKUP($A114,Seqs!$A:$B,2,FALSE),VLOOKUP($A114,'SegEnds_NonXtal_Prot#'!$A:$AL,22,FALSE)+9,1)</f>
        <v>P</v>
      </c>
      <c r="AF114" s="50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50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50" t="str">
        <f>MID(VLOOKUP($A115,Seqs!$A:$B,2,FALSE),VLOOKUP($A115,'SegEnds_NonXtal_Prot#'!A:AL,10,FALSE)+6,1)</f>
        <v>L</v>
      </c>
      <c r="X115" s="50" t="str">
        <f>MID(VLOOKUP($A115,Seqs!$A:$B,2,FALSE),VLOOKUP($A115,'SegEnds_NonXtal_Prot#'!A:AL,10,FALSE)+7,1)</f>
        <v>V</v>
      </c>
      <c r="Y115" s="50" t="str">
        <f>MID(VLOOKUP($A115,Seqs!$A:$B,2,FALSE),VLOOKUP($A115,'SegEnds_NonXtal_Prot#'!A:AL,10,FALSE)+8,1)</f>
        <v>M</v>
      </c>
      <c r="Z115" s="50" t="str">
        <f>MID(VLOOKUP($A115,Seqs!$A:$B,2,FALSE),VLOOKUP($A115,'SegEnds_NonXtal_Prot#'!A:AL,10,FALSE)+9,1)</f>
        <v>P</v>
      </c>
      <c r="AA115" s="50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50" t="str">
        <f>MID(VLOOKUP($A115,Seqs!$A:$B,2,FALSE),VLOOKUP($A115,'SegEnds_NonXtal_Prot#'!$A:$AL,22,FALSE)+7,1)</f>
        <v>S</v>
      </c>
      <c r="AD115" s="50" t="str">
        <f>MID(VLOOKUP($A115,Seqs!$A:$B,2,FALSE),VLOOKUP($A115,'SegEnds_NonXtal_Prot#'!$A:$AL,22,FALSE)+8,1)</f>
        <v>C</v>
      </c>
      <c r="AE115" s="50" t="str">
        <f>MID(VLOOKUP($A115,Seqs!$A:$B,2,FALSE),VLOOKUP($A115,'SegEnds_NonXtal_Prot#'!$A:$AL,22,FALSE)+9,1)</f>
        <v>P</v>
      </c>
      <c r="AF115" s="50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50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50" t="str">
        <f>MID(VLOOKUP($A116,Seqs!$A:$B,2,FALSE),VLOOKUP($A116,'SegEnds_NonXtal_Prot#'!A:AL,10,FALSE)+6,1)</f>
        <v>L</v>
      </c>
      <c r="X116" s="50" t="str">
        <f>MID(VLOOKUP($A116,Seqs!$A:$B,2,FALSE),VLOOKUP($A116,'SegEnds_NonXtal_Prot#'!A:AL,10,FALSE)+7,1)</f>
        <v>V</v>
      </c>
      <c r="Y116" s="50" t="str">
        <f>MID(VLOOKUP($A116,Seqs!$A:$B,2,FALSE),VLOOKUP($A116,'SegEnds_NonXtal_Prot#'!A:AL,10,FALSE)+8,1)</f>
        <v>M</v>
      </c>
      <c r="Z116" s="50" t="str">
        <f>MID(VLOOKUP($A116,Seqs!$A:$B,2,FALSE),VLOOKUP($A116,'SegEnds_NonXtal_Prot#'!A:AL,10,FALSE)+9,1)</f>
        <v>P</v>
      </c>
      <c r="AA116" s="50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50" t="str">
        <f>MID(VLOOKUP($A116,Seqs!$A:$B,2,FALSE),VLOOKUP($A116,'SegEnds_NonXtal_Prot#'!$A:$AL,22,FALSE)+7,1)</f>
        <v>S</v>
      </c>
      <c r="AD116" s="50" t="str">
        <f>MID(VLOOKUP($A116,Seqs!$A:$B,2,FALSE),VLOOKUP($A116,'SegEnds_NonXtal_Prot#'!$A:$AL,22,FALSE)+8,1)</f>
        <v>C</v>
      </c>
      <c r="AE116" s="50" t="str">
        <f>MID(VLOOKUP($A116,Seqs!$A:$B,2,FALSE),VLOOKUP($A116,'SegEnds_NonXtal_Prot#'!$A:$AL,22,FALSE)+9,1)</f>
        <v>P</v>
      </c>
      <c r="AF116" s="50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50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50" t="str">
        <f>MID(VLOOKUP($A117,Seqs!$A:$B,2,FALSE),VLOOKUP($A117,'SegEnds_NonXtal_Prot#'!A:AL,10,FALSE)+6,1)</f>
        <v>L</v>
      </c>
      <c r="X117" s="50" t="str">
        <f>MID(VLOOKUP($A117,Seqs!$A:$B,2,FALSE),VLOOKUP($A117,'SegEnds_NonXtal_Prot#'!A:AL,10,FALSE)+7,1)</f>
        <v>V</v>
      </c>
      <c r="Y117" s="50" t="str">
        <f>MID(VLOOKUP($A117,Seqs!$A:$B,2,FALSE),VLOOKUP($A117,'SegEnds_NonXtal_Prot#'!A:AL,10,FALSE)+8,1)</f>
        <v>L</v>
      </c>
      <c r="Z117" s="50" t="str">
        <f>MID(VLOOKUP($A117,Seqs!$A:$B,2,FALSE),VLOOKUP($A117,'SegEnds_NonXtal_Prot#'!A:AL,10,FALSE)+9,1)</f>
        <v>P</v>
      </c>
      <c r="AA117" s="50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50" t="str">
        <f>MID(VLOOKUP($A117,Seqs!$A:$B,2,FALSE),VLOOKUP($A117,'SegEnds_NonXtal_Prot#'!$A:$AL,22,FALSE)+7,1)</f>
        <v>A</v>
      </c>
      <c r="AD117" s="50" t="str">
        <f>MID(VLOOKUP($A117,Seqs!$A:$B,2,FALSE),VLOOKUP($A117,'SegEnds_NonXtal_Prot#'!$A:$AL,22,FALSE)+8,1)</f>
        <v>A</v>
      </c>
      <c r="AE117" s="50" t="str">
        <f>MID(VLOOKUP($A117,Seqs!$A:$B,2,FALSE),VLOOKUP($A117,'SegEnds_NonXtal_Prot#'!$A:$AL,22,FALSE)+9,1)</f>
        <v>P</v>
      </c>
      <c r="AF117" s="50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50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50" t="str">
        <f>MID(VLOOKUP($A118,Seqs!$A:$B,2,FALSE),VLOOKUP($A118,'SegEnds_NonXtal_Prot#'!A:AL,10,FALSE)+6,1)</f>
        <v>T</v>
      </c>
      <c r="X118" s="50" t="str">
        <f>MID(VLOOKUP($A118,Seqs!$A:$B,2,FALSE),VLOOKUP($A118,'SegEnds_NonXtal_Prot#'!A:AL,10,FALSE)+7,1)</f>
        <v>L</v>
      </c>
      <c r="Y118" s="50" t="str">
        <f>MID(VLOOKUP($A118,Seqs!$A:$B,2,FALSE),VLOOKUP($A118,'SegEnds_NonXtal_Prot#'!A:AL,10,FALSE)+8,1)</f>
        <v>M</v>
      </c>
      <c r="Z118" s="50" t="str">
        <f>MID(VLOOKUP($A118,Seqs!$A:$B,2,FALSE),VLOOKUP($A118,'SegEnds_NonXtal_Prot#'!A:AL,10,FALSE)+9,1)</f>
        <v>P</v>
      </c>
      <c r="AA118" s="50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50" t="str">
        <f>MID(VLOOKUP($A118,Seqs!$A:$B,2,FALSE),VLOOKUP($A118,'SegEnds_NonXtal_Prot#'!$A:$AL,22,FALSE)+7,1)</f>
        <v>A</v>
      </c>
      <c r="AD118" s="50" t="str">
        <f>MID(VLOOKUP($A118,Seqs!$A:$B,2,FALSE),VLOOKUP($A118,'SegEnds_NonXtal_Prot#'!$A:$AL,22,FALSE)+8,1)</f>
        <v>S</v>
      </c>
      <c r="AE118" s="50" t="str">
        <f>MID(VLOOKUP($A118,Seqs!$A:$B,2,FALSE),VLOOKUP($A118,'SegEnds_NonXtal_Prot#'!$A:$AL,22,FALSE)+9,1)</f>
        <v>V</v>
      </c>
      <c r="AF118" s="50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50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50" t="str">
        <f>MID(VLOOKUP($A119,Seqs!$A:$B,2,FALSE),VLOOKUP($A119,'SegEnds_NonXtal_Prot#'!A:AL,10,FALSE)+6,1)</f>
        <v>S</v>
      </c>
      <c r="X119" s="50" t="str">
        <f>MID(VLOOKUP($A119,Seqs!$A:$B,2,FALSE),VLOOKUP($A119,'SegEnds_NonXtal_Prot#'!A:AL,10,FALSE)+7,1)</f>
        <v>I</v>
      </c>
      <c r="Y119" s="50" t="str">
        <f>MID(VLOOKUP($A119,Seqs!$A:$B,2,FALSE),VLOOKUP($A119,'SegEnds_NonXtal_Prot#'!A:AL,10,FALSE)+8,1)</f>
        <v>M</v>
      </c>
      <c r="Z119" s="50" t="str">
        <f>MID(VLOOKUP($A119,Seqs!$A:$B,2,FALSE),VLOOKUP($A119,'SegEnds_NonXtal_Prot#'!A:AL,10,FALSE)+9,1)</f>
        <v>P</v>
      </c>
      <c r="AA119" s="50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50" t="str">
        <f>MID(VLOOKUP($A119,Seqs!$A:$B,2,FALSE),VLOOKUP($A119,'SegEnds_NonXtal_Prot#'!$A:$AL,22,FALSE)+7,1)</f>
        <v>G</v>
      </c>
      <c r="AD119" s="50" t="str">
        <f>MID(VLOOKUP($A119,Seqs!$A:$B,2,FALSE),VLOOKUP($A119,'SegEnds_NonXtal_Prot#'!$A:$AL,22,FALSE)+8,1)</f>
        <v>A</v>
      </c>
      <c r="AE119" s="50" t="str">
        <f>MID(VLOOKUP($A119,Seqs!$A:$B,2,FALSE),VLOOKUP($A119,'SegEnds_NonXtal_Prot#'!$A:$AL,22,FALSE)+9,1)</f>
        <v>L</v>
      </c>
      <c r="AF119" s="50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50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50" t="str">
        <f>MID(VLOOKUP($A120,Seqs!$A:$B,2,FALSE),VLOOKUP($A120,'SegEnds_NonXtal_Prot#'!A:AL,10,FALSE)+6,1)</f>
        <v>V</v>
      </c>
      <c r="X120" s="50" t="str">
        <f>MID(VLOOKUP($A120,Seqs!$A:$B,2,FALSE),VLOOKUP($A120,'SegEnds_NonXtal_Prot#'!A:AL,10,FALSE)+7,1)</f>
        <v>T</v>
      </c>
      <c r="Y120" s="50" t="str">
        <f>MID(VLOOKUP($A120,Seqs!$A:$B,2,FALSE),VLOOKUP($A120,'SegEnds_NonXtal_Prot#'!A:AL,10,FALSE)+8,1)</f>
        <v>A</v>
      </c>
      <c r="Z120" s="50" t="str">
        <f>MID(VLOOKUP($A120,Seqs!$A:$B,2,FALSE),VLOOKUP($A120,'SegEnds_NonXtal_Prot#'!A:AL,10,FALSE)+9,1)</f>
        <v>P</v>
      </c>
      <c r="AA120" s="50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50" t="str">
        <f>MID(VLOOKUP($A120,Seqs!$A:$B,2,FALSE),VLOOKUP($A120,'SegEnds_NonXtal_Prot#'!$A:$AL,22,FALSE)+7,1)</f>
        <v>A</v>
      </c>
      <c r="AD120" s="50" t="str">
        <f>MID(VLOOKUP($A120,Seqs!$A:$B,2,FALSE),VLOOKUP($A120,'SegEnds_NonXtal_Prot#'!$A:$AL,22,FALSE)+8,1)</f>
        <v>T</v>
      </c>
      <c r="AE120" s="50" t="str">
        <f>MID(VLOOKUP($A120,Seqs!$A:$B,2,FALSE),VLOOKUP($A120,'SegEnds_NonXtal_Prot#'!$A:$AL,22,FALSE)+9,1)</f>
        <v>L</v>
      </c>
      <c r="AF120" s="50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50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50" t="str">
        <f>MID(VLOOKUP($A121,Seqs!$A:$B,2,FALSE),VLOOKUP($A121,'SegEnds_NonXtal_Prot#'!A:AL,10,FALSE)+6,1)</f>
        <v>L</v>
      </c>
      <c r="X121" s="50" t="str">
        <f>MID(VLOOKUP($A121,Seqs!$A:$B,2,FALSE),VLOOKUP($A121,'SegEnds_NonXtal_Prot#'!A:AL,10,FALSE)+7,1)</f>
        <v>W</v>
      </c>
      <c r="Y121" s="50" t="str">
        <f>MID(VLOOKUP($A121,Seqs!$A:$B,2,FALSE),VLOOKUP($A121,'SegEnds_NonXtal_Prot#'!A:AL,10,FALSE)+8,1)</f>
        <v>M</v>
      </c>
      <c r="Z121" s="50" t="str">
        <f>MID(VLOOKUP($A121,Seqs!$A:$B,2,FALSE),VLOOKUP($A121,'SegEnds_NonXtal_Prot#'!A:AL,10,FALSE)+9,1)</f>
        <v>P</v>
      </c>
      <c r="AA121" s="50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50" t="str">
        <f>MID(VLOOKUP($A121,Seqs!$A:$B,2,FALSE),VLOOKUP($A121,'SegEnds_NonXtal_Prot#'!$A:$AL,22,FALSE)+7,1)</f>
        <v>V</v>
      </c>
      <c r="AD121" s="50" t="str">
        <f>MID(VLOOKUP($A121,Seqs!$A:$B,2,FALSE),VLOOKUP($A121,'SegEnds_NonXtal_Prot#'!$A:$AL,22,FALSE)+8,1)</f>
        <v>L</v>
      </c>
      <c r="AE121" s="50" t="str">
        <f>MID(VLOOKUP($A121,Seqs!$A:$B,2,FALSE),VLOOKUP($A121,'SegEnds_NonXtal_Prot#'!$A:$AL,22,FALSE)+9,1)</f>
        <v>L</v>
      </c>
      <c r="AF121" s="50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50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50" t="str">
        <f>MID(VLOOKUP($A122,Seqs!$A:$B,2,FALSE),VLOOKUP($A122,'SegEnds_NonXtal_Prot#'!A:AL,10,FALSE)+6,1)</f>
        <v>F</v>
      </c>
      <c r="X122" s="50" t="str">
        <f>MID(VLOOKUP($A122,Seqs!$A:$B,2,FALSE),VLOOKUP($A122,'SegEnds_NonXtal_Prot#'!A:AL,10,FALSE)+7,1)</f>
        <v>L</v>
      </c>
      <c r="Y122" s="50" t="str">
        <f>MID(VLOOKUP($A122,Seqs!$A:$B,2,FALSE),VLOOKUP($A122,'SegEnds_NonXtal_Prot#'!A:AL,10,FALSE)+8,1)</f>
        <v>S</v>
      </c>
      <c r="Z122" s="50" t="str">
        <f>MID(VLOOKUP($A122,Seqs!$A:$B,2,FALSE),VLOOKUP($A122,'SegEnds_NonXtal_Prot#'!A:AL,10,FALSE)+9,1)</f>
        <v>P</v>
      </c>
      <c r="AA122" s="50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50" t="str">
        <f>MID(VLOOKUP($A122,Seqs!$A:$B,2,FALSE),VLOOKUP($A122,'SegEnds_NonXtal_Prot#'!$A:$AL,22,FALSE)+7,1)</f>
        <v>C</v>
      </c>
      <c r="AD122" s="50" t="str">
        <f>MID(VLOOKUP($A122,Seqs!$A:$B,2,FALSE),VLOOKUP($A122,'SegEnds_NonXtal_Prot#'!$A:$AL,22,FALSE)+8,1)</f>
        <v>A</v>
      </c>
      <c r="AE122" s="50" t="str">
        <f>MID(VLOOKUP($A122,Seqs!$A:$B,2,FALSE),VLOOKUP($A122,'SegEnds_NonXtal_Prot#'!$A:$AL,22,FALSE)+9,1)</f>
        <v>L</v>
      </c>
      <c r="AF122" s="50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50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50" t="str">
        <f>MID(VLOOKUP($A123,Seqs!$A:$B,2,FALSE),VLOOKUP($A123,'SegEnds_NonXtal_Prot#'!A:AL,10,FALSE)+6,1)</f>
        <v>I</v>
      </c>
      <c r="X123" s="50" t="str">
        <f>MID(VLOOKUP($A123,Seqs!$A:$B,2,FALSE),VLOOKUP($A123,'SegEnds_NonXtal_Prot#'!A:AL,10,FALSE)+7,1)</f>
        <v>D</v>
      </c>
      <c r="Y123" s="50" t="str">
        <f>MID(VLOOKUP($A123,Seqs!$A:$B,2,FALSE),VLOOKUP($A123,'SegEnds_NonXtal_Prot#'!A:AL,10,FALSE)+8,1)</f>
        <v>L</v>
      </c>
      <c r="Z123" s="50" t="str">
        <f>MID(VLOOKUP($A123,Seqs!$A:$B,2,FALSE),VLOOKUP($A123,'SegEnds_NonXtal_Prot#'!A:AL,10,FALSE)+9,1)</f>
        <v>P</v>
      </c>
      <c r="AA123" s="50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50" t="str">
        <f>MID(VLOOKUP($A123,Seqs!$A:$B,2,FALSE),VLOOKUP($A123,'SegEnds_NonXtal_Prot#'!$A:$AL,22,FALSE)+7,1)</f>
        <v>A</v>
      </c>
      <c r="AD123" s="50" t="str">
        <f>MID(VLOOKUP($A123,Seqs!$A:$B,2,FALSE),VLOOKUP($A123,'SegEnds_NonXtal_Prot#'!$A:$AL,22,FALSE)+8,1)</f>
        <v>I</v>
      </c>
      <c r="AE123" s="50" t="str">
        <f>MID(VLOOKUP($A123,Seqs!$A:$B,2,FALSE),VLOOKUP($A123,'SegEnds_NonXtal_Prot#'!$A:$AL,22,FALSE)+9,1)</f>
        <v>P</v>
      </c>
      <c r="AF123" s="50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50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50" t="str">
        <f>MID(VLOOKUP($A124,Seqs!$A:$B,2,FALSE),VLOOKUP($A124,'SegEnds_NonXtal_Prot#'!A:AL,10,FALSE)+6,1)</f>
        <v>I</v>
      </c>
      <c r="X124" s="50" t="str">
        <f>MID(VLOOKUP($A124,Seqs!$A:$B,2,FALSE),VLOOKUP($A124,'SegEnds_NonXtal_Prot#'!A:AL,10,FALSE)+7,1)</f>
        <v>D</v>
      </c>
      <c r="Y124" s="50" t="str">
        <f>MID(VLOOKUP($A124,Seqs!$A:$B,2,FALSE),VLOOKUP($A124,'SegEnds_NonXtal_Prot#'!A:AL,10,FALSE)+8,1)</f>
        <v>I</v>
      </c>
      <c r="Z124" s="50" t="str">
        <f>MID(VLOOKUP($A124,Seqs!$A:$B,2,FALSE),VLOOKUP($A124,'SegEnds_NonXtal_Prot#'!A:AL,10,FALSE)+9,1)</f>
        <v>P</v>
      </c>
      <c r="AA124" s="50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50" t="str">
        <f>MID(VLOOKUP($A124,Seqs!$A:$B,2,FALSE),VLOOKUP($A124,'SegEnds_NonXtal_Prot#'!$A:$AL,22,FALSE)+7,1)</f>
        <v>A</v>
      </c>
      <c r="AD124" s="50" t="str">
        <f>MID(VLOOKUP($A124,Seqs!$A:$B,2,FALSE),VLOOKUP($A124,'SegEnds_NonXtal_Prot#'!$A:$AL,22,FALSE)+8,1)</f>
        <v>V</v>
      </c>
      <c r="AE124" s="50" t="str">
        <f>MID(VLOOKUP($A124,Seqs!$A:$B,2,FALSE),VLOOKUP($A124,'SegEnds_NonXtal_Prot#'!$A:$AL,22,FALSE)+9,1)</f>
        <v>P</v>
      </c>
      <c r="AF124" s="50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50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50" t="str">
        <f>MID(VLOOKUP($A125,Seqs!$A:$B,2,FALSE),VLOOKUP($A125,'SegEnds_NonXtal_Prot#'!A:AL,10,FALSE)+6,1)</f>
        <v>F</v>
      </c>
      <c r="X125" s="50" t="str">
        <f>MID(VLOOKUP($A125,Seqs!$A:$B,2,FALSE),VLOOKUP($A125,'SegEnds_NonXtal_Prot#'!A:AL,10,FALSE)+7,1)</f>
        <v>C</v>
      </c>
      <c r="Y125" s="50" t="str">
        <f>MID(VLOOKUP($A125,Seqs!$A:$B,2,FALSE),VLOOKUP($A125,'SegEnds_NonXtal_Prot#'!A:AL,10,FALSE)+8,1)</f>
        <v>L</v>
      </c>
      <c r="Z125" s="50" t="str">
        <f>MID(VLOOKUP($A125,Seqs!$A:$B,2,FALSE),VLOOKUP($A125,'SegEnds_NonXtal_Prot#'!A:AL,10,FALSE)+9,1)</f>
        <v>P</v>
      </c>
      <c r="AA125" s="50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50" t="str">
        <f>MID(VLOOKUP($A125,Seqs!$A:$B,2,FALSE),VLOOKUP($A125,'SegEnds_NonXtal_Prot#'!$A:$AL,22,FALSE)+7,1)</f>
        <v>A</v>
      </c>
      <c r="AD125" s="50" t="str">
        <f>MID(VLOOKUP($A125,Seqs!$A:$B,2,FALSE),VLOOKUP($A125,'SegEnds_NonXtal_Prot#'!$A:$AL,22,FALSE)+8,1)</f>
        <v>V</v>
      </c>
      <c r="AE125" s="50" t="str">
        <f>MID(VLOOKUP($A125,Seqs!$A:$B,2,FALSE),VLOOKUP($A125,'SegEnds_NonXtal_Prot#'!$A:$AL,22,FALSE)+9,1)</f>
        <v>P</v>
      </c>
      <c r="AF125" s="50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50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50" t="str">
        <f>MID(VLOOKUP($A126,Seqs!$A:$B,2,FALSE),VLOOKUP($A126,'SegEnds_NonXtal_Prot#'!A:AL,10,FALSE)+6,1)</f>
        <v>F</v>
      </c>
      <c r="X126" s="50" t="str">
        <f>MID(VLOOKUP($A126,Seqs!$A:$B,2,FALSE),VLOOKUP($A126,'SegEnds_NonXtal_Prot#'!A:AL,10,FALSE)+7,1)</f>
        <v>C</v>
      </c>
      <c r="Y126" s="50" t="str">
        <f>MID(VLOOKUP($A126,Seqs!$A:$B,2,FALSE),VLOOKUP($A126,'SegEnds_NonXtal_Prot#'!A:AL,10,FALSE)+8,1)</f>
        <v>L</v>
      </c>
      <c r="Z126" s="50" t="str">
        <f>MID(VLOOKUP($A126,Seqs!$A:$B,2,FALSE),VLOOKUP($A126,'SegEnds_NonXtal_Prot#'!A:AL,10,FALSE)+9,1)</f>
        <v>P</v>
      </c>
      <c r="AA126" s="50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50" t="str">
        <f>MID(VLOOKUP($A126,Seqs!$A:$B,2,FALSE),VLOOKUP($A126,'SegEnds_NonXtal_Prot#'!$A:$AL,22,FALSE)+7,1)</f>
        <v>A</v>
      </c>
      <c r="AD126" s="50" t="str">
        <f>MID(VLOOKUP($A126,Seqs!$A:$B,2,FALSE),VLOOKUP($A126,'SegEnds_NonXtal_Prot#'!$A:$AL,22,FALSE)+8,1)</f>
        <v>L</v>
      </c>
      <c r="AE126" s="50" t="str">
        <f>MID(VLOOKUP($A126,Seqs!$A:$B,2,FALSE),VLOOKUP($A126,'SegEnds_NonXtal_Prot#'!$A:$AL,22,FALSE)+9,1)</f>
        <v>P</v>
      </c>
      <c r="AF126" s="50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50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50" t="str">
        <f>MID(VLOOKUP($A127,Seqs!$A:$B,2,FALSE),VLOOKUP($A127,'SegEnds_NonXtal_Prot#'!A:AL,10,FALSE)+6,1)</f>
        <v>T</v>
      </c>
      <c r="X127" s="50" t="str">
        <f>MID(VLOOKUP($A127,Seqs!$A:$B,2,FALSE),VLOOKUP($A127,'SegEnds_NonXtal_Prot#'!A:AL,10,FALSE)+7,1)</f>
        <v>C</v>
      </c>
      <c r="Y127" s="50" t="str">
        <f>MID(VLOOKUP($A127,Seqs!$A:$B,2,FALSE),VLOOKUP($A127,'SegEnds_NonXtal_Prot#'!A:AL,10,FALSE)+8,1)</f>
        <v>A</v>
      </c>
      <c r="Z127" s="50" t="str">
        <f>MID(VLOOKUP($A127,Seqs!$A:$B,2,FALSE),VLOOKUP($A127,'SegEnds_NonXtal_Prot#'!A:AL,10,FALSE)+9,1)</f>
        <v>P</v>
      </c>
      <c r="AA127" s="50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50" t="str">
        <f>MID(VLOOKUP($A127,Seqs!$A:$B,2,FALSE),VLOOKUP($A127,'SegEnds_NonXtal_Prot#'!$A:$AL,22,FALSE)+7,1)</f>
        <v>A</v>
      </c>
      <c r="AD127" s="50" t="str">
        <f>MID(VLOOKUP($A127,Seqs!$A:$B,2,FALSE),VLOOKUP($A127,'SegEnds_NonXtal_Prot#'!$A:$AL,22,FALSE)+8,1)</f>
        <v>I</v>
      </c>
      <c r="AE127" s="50" t="str">
        <f>MID(VLOOKUP($A127,Seqs!$A:$B,2,FALSE),VLOOKUP($A127,'SegEnds_NonXtal_Prot#'!$A:$AL,22,FALSE)+9,1)</f>
        <v>P</v>
      </c>
      <c r="AF127" s="50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50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50" t="str">
        <f>MID(VLOOKUP($A128,Seqs!$A:$B,2,FALSE),VLOOKUP($A128,'SegEnds_NonXtal_Prot#'!A:AL,10,FALSE)+6,1)</f>
        <v>T</v>
      </c>
      <c r="X128" s="50" t="str">
        <f>MID(VLOOKUP($A128,Seqs!$A:$B,2,FALSE),VLOOKUP($A128,'SegEnds_NonXtal_Prot#'!A:AL,10,FALSE)+7,1)</f>
        <v>C</v>
      </c>
      <c r="Y128" s="50" t="str">
        <f>MID(VLOOKUP($A128,Seqs!$A:$B,2,FALSE),VLOOKUP($A128,'SegEnds_NonXtal_Prot#'!A:AL,10,FALSE)+8,1)</f>
        <v>V</v>
      </c>
      <c r="Z128" s="50" t="str">
        <f>MID(VLOOKUP($A128,Seqs!$A:$B,2,FALSE),VLOOKUP($A128,'SegEnds_NonXtal_Prot#'!A:AL,10,FALSE)+9,1)</f>
        <v>P</v>
      </c>
      <c r="AA128" s="50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50" t="str">
        <f>MID(VLOOKUP($A128,Seqs!$A:$B,2,FALSE),VLOOKUP($A128,'SegEnds_NonXtal_Prot#'!$A:$AL,22,FALSE)+7,1)</f>
        <v>A</v>
      </c>
      <c r="AD128" s="50" t="str">
        <f>MID(VLOOKUP($A128,Seqs!$A:$B,2,FALSE),VLOOKUP($A128,'SegEnds_NonXtal_Prot#'!$A:$AL,22,FALSE)+8,1)</f>
        <v>V</v>
      </c>
      <c r="AE128" s="50" t="str">
        <f>MID(VLOOKUP($A128,Seqs!$A:$B,2,FALSE),VLOOKUP($A128,'SegEnds_NonXtal_Prot#'!$A:$AL,22,FALSE)+9,1)</f>
        <v>P</v>
      </c>
      <c r="AF128" s="50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50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50" t="str">
        <f>MID(VLOOKUP($A129,Seqs!$A:$B,2,FALSE),VLOOKUP($A129,'SegEnds_NonXtal_Prot#'!A:AL,10,FALSE)+6,1)</f>
        <v>S</v>
      </c>
      <c r="X129" s="50" t="str">
        <f>MID(VLOOKUP($A129,Seqs!$A:$B,2,FALSE),VLOOKUP($A129,'SegEnds_NonXtal_Prot#'!A:AL,10,FALSE)+7,1)</f>
        <v>L</v>
      </c>
      <c r="Y129" s="50" t="str">
        <f>MID(VLOOKUP($A129,Seqs!$A:$B,2,FALSE),VLOOKUP($A129,'SegEnds_NonXtal_Prot#'!A:AL,10,FALSE)+8,1)</f>
        <v>P</v>
      </c>
      <c r="Z129" s="50" t="str">
        <f>MID(VLOOKUP($A129,Seqs!$A:$B,2,FALSE),VLOOKUP($A129,'SegEnds_NonXtal_Prot#'!A:AL,10,FALSE)+9,1)</f>
        <v>L</v>
      </c>
      <c r="AA129" s="50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50" t="str">
        <f>MID(VLOOKUP($A129,Seqs!$A:$B,2,FALSE),VLOOKUP($A129,'SegEnds_NonXtal_Prot#'!$A:$AL,22,FALSE)+7,1)</f>
        <v>L</v>
      </c>
      <c r="AD129" s="50" t="str">
        <f>MID(VLOOKUP($A129,Seqs!$A:$B,2,FALSE),VLOOKUP($A129,'SegEnds_NonXtal_Prot#'!$A:$AL,22,FALSE)+8,1)</f>
        <v>G</v>
      </c>
      <c r="AE129" s="50" t="str">
        <f>MID(VLOOKUP($A129,Seqs!$A:$B,2,FALSE),VLOOKUP($A129,'SegEnds_NonXtal_Prot#'!$A:$AL,22,FALSE)+9,1)</f>
        <v>L</v>
      </c>
      <c r="AF129" s="50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50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50" t="str">
        <f>MID(VLOOKUP($A130,Seqs!$A:$B,2,FALSE),VLOOKUP($A130,'SegEnds_NonXtal_Prot#'!A:AL,10,FALSE)+6,1)</f>
        <v>L</v>
      </c>
      <c r="X130" s="50" t="str">
        <f>MID(VLOOKUP($A130,Seqs!$A:$B,2,FALSE),VLOOKUP($A130,'SegEnds_NonXtal_Prot#'!A:AL,10,FALSE)+7,1)</f>
        <v>L</v>
      </c>
      <c r="Y130" s="50" t="str">
        <f>MID(VLOOKUP($A130,Seqs!$A:$B,2,FALSE),VLOOKUP($A130,'SegEnds_NonXtal_Prot#'!A:AL,10,FALSE)+8,1)</f>
        <v>P</v>
      </c>
      <c r="Z130" s="50" t="str">
        <f>MID(VLOOKUP($A130,Seqs!$A:$B,2,FALSE),VLOOKUP($A130,'SegEnds_NonXtal_Prot#'!A:AL,10,FALSE)+9,1)</f>
        <v>F</v>
      </c>
      <c r="AA130" s="50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50" t="str">
        <f>MID(VLOOKUP($A130,Seqs!$A:$B,2,FALSE),VLOOKUP($A130,'SegEnds_NonXtal_Prot#'!$A:$AL,22,FALSE)+7,1)</f>
        <v>C</v>
      </c>
      <c r="AD130" s="50" t="str">
        <f>MID(VLOOKUP($A130,Seqs!$A:$B,2,FALSE),VLOOKUP($A130,'SegEnds_NonXtal_Prot#'!$A:$AL,22,FALSE)+8,1)</f>
        <v>T</v>
      </c>
      <c r="AE130" s="50" t="str">
        <f>MID(VLOOKUP($A130,Seqs!$A:$B,2,FALSE),VLOOKUP($A130,'SegEnds_NonXtal_Prot#'!$A:$AL,22,FALSE)+9,1)</f>
        <v>I</v>
      </c>
      <c r="AF130" s="50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50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50" t="str">
        <f>MID(VLOOKUP($A131,Seqs!$A:$B,2,FALSE),VLOOKUP($A131,'SegEnds_NonXtal_Prot#'!A:AL,10,FALSE)+6,1)</f>
        <v>L</v>
      </c>
      <c r="X131" s="50" t="str">
        <f>MID(VLOOKUP($A131,Seqs!$A:$B,2,FALSE),VLOOKUP($A131,'SegEnds_NonXtal_Prot#'!A:AL,10,FALSE)+7,1)</f>
        <v>L</v>
      </c>
      <c r="Y131" s="50" t="str">
        <f>MID(VLOOKUP($A131,Seqs!$A:$B,2,FALSE),VLOOKUP($A131,'SegEnds_NonXtal_Prot#'!A:AL,10,FALSE)+8,1)</f>
        <v>G</v>
      </c>
      <c r="Z131" s="50" t="str">
        <f>MID(VLOOKUP($A131,Seqs!$A:$B,2,FALSE),VLOOKUP($A131,'SegEnds_NonXtal_Prot#'!A:AL,10,FALSE)+9,1)</f>
        <v>P</v>
      </c>
      <c r="AA131" s="50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50" t="str">
        <f>MID(VLOOKUP($A131,Seqs!$A:$B,2,FALSE),VLOOKUP($A131,'SegEnds_NonXtal_Prot#'!$A:$AL,22,FALSE)+7,1)</f>
        <v>S</v>
      </c>
      <c r="AD131" s="50" t="str">
        <f>MID(VLOOKUP($A131,Seqs!$A:$B,2,FALSE),VLOOKUP($A131,'SegEnds_NonXtal_Prot#'!$A:$AL,22,FALSE)+8,1)</f>
        <v>F</v>
      </c>
      <c r="AE131" s="50" t="str">
        <f>MID(VLOOKUP($A131,Seqs!$A:$B,2,FALSE),VLOOKUP($A131,'SegEnds_NonXtal_Prot#'!$A:$AL,22,FALSE)+9,1)</f>
        <v>S</v>
      </c>
      <c r="AF131" s="50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50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50" t="str">
        <f>MID(VLOOKUP($A132,Seqs!$A:$B,2,FALSE),VLOOKUP($A132,'SegEnds_NonXtal_Prot#'!A:AL,10,FALSE)+6,1)</f>
        <v>N</v>
      </c>
      <c r="X132" s="50" t="str">
        <f>MID(VLOOKUP($A132,Seqs!$A:$B,2,FALSE),VLOOKUP($A132,'SegEnds_NonXtal_Prot#'!A:AL,10,FALSE)+7,1)</f>
        <v>I</v>
      </c>
      <c r="Y132" s="50" t="str">
        <f>MID(VLOOKUP($A132,Seqs!$A:$B,2,FALSE),VLOOKUP($A132,'SegEnds_NonXtal_Prot#'!A:AL,10,FALSE)+8,1)</f>
        <v>S</v>
      </c>
      <c r="Z132" s="50" t="str">
        <f>MID(VLOOKUP($A132,Seqs!$A:$B,2,FALSE),VLOOKUP($A132,'SegEnds_NonXtal_Prot#'!A:AL,10,FALSE)+9,1)</f>
        <v>I</v>
      </c>
      <c r="AA132" s="50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50" t="str">
        <f>MID(VLOOKUP($A132,Seqs!$A:$B,2,FALSE),VLOOKUP($A132,'SegEnds_NonXtal_Prot#'!$A:$AL,22,FALSE)+7,1)</f>
        <v>V</v>
      </c>
      <c r="AD132" s="50" t="str">
        <f>MID(VLOOKUP($A132,Seqs!$A:$B,2,FALSE),VLOOKUP($A132,'SegEnds_NonXtal_Prot#'!$A:$AL,22,FALSE)+8,1)</f>
        <v>L</v>
      </c>
      <c r="AE132" s="50" t="str">
        <f>MID(VLOOKUP($A132,Seqs!$A:$B,2,FALSE),VLOOKUP($A132,'SegEnds_NonXtal_Prot#'!$A:$AL,22,FALSE)+9,1)</f>
        <v>G</v>
      </c>
      <c r="AF132" s="50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50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50" t="str">
        <f>MID(VLOOKUP($A133,Seqs!$A:$B,2,FALSE),VLOOKUP($A133,'SegEnds_NonXtal_Prot#'!A:AL,10,FALSE)+6,1)</f>
        <v>G</v>
      </c>
      <c r="X133" s="50" t="str">
        <f>MID(VLOOKUP($A133,Seqs!$A:$B,2,FALSE),VLOOKUP($A133,'SegEnds_NonXtal_Prot#'!A:AL,10,FALSE)+7,1)</f>
        <v>C</v>
      </c>
      <c r="Y133" s="50" t="str">
        <f>MID(VLOOKUP($A133,Seqs!$A:$B,2,FALSE),VLOOKUP($A133,'SegEnds_NonXtal_Prot#'!A:AL,10,FALSE)+8,1)</f>
        <v>I</v>
      </c>
      <c r="Z133" s="50" t="str">
        <f>MID(VLOOKUP($A133,Seqs!$A:$B,2,FALSE),VLOOKUP($A133,'SegEnds_NonXtal_Prot#'!A:AL,10,FALSE)+9,1)</f>
        <v>P</v>
      </c>
      <c r="AA133" s="50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50" t="str">
        <f>MID(VLOOKUP($A133,Seqs!$A:$B,2,FALSE),VLOOKUP($A133,'SegEnds_NonXtal_Prot#'!$A:$AL,22,FALSE)+7,1)</f>
        <v>F</v>
      </c>
      <c r="AD133" s="50" t="str">
        <f>MID(VLOOKUP($A133,Seqs!$A:$B,2,FALSE),VLOOKUP($A133,'SegEnds_NonXtal_Prot#'!$A:$AL,22,FALSE)+8,1)</f>
        <v>L</v>
      </c>
      <c r="AE133" s="50" t="str">
        <f>MID(VLOOKUP($A133,Seqs!$A:$B,2,FALSE),VLOOKUP($A133,'SegEnds_NonXtal_Prot#'!$A:$AL,22,FALSE)+9,1)</f>
        <v>I</v>
      </c>
      <c r="AF133" s="50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50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50" t="str">
        <f>MID(VLOOKUP($A134,Seqs!$A:$B,2,FALSE),VLOOKUP($A134,'SegEnds_NonXtal_Prot#'!A:AL,10,FALSE)+6,1)</f>
        <v>V</v>
      </c>
      <c r="X134" s="50" t="str">
        <f>MID(VLOOKUP($A134,Seqs!$A:$B,2,FALSE),VLOOKUP($A134,'SegEnds_NonXtal_Prot#'!A:AL,10,FALSE)+7,1)</f>
        <v>V</v>
      </c>
      <c r="Y134" s="50" t="str">
        <f>MID(VLOOKUP($A134,Seqs!$A:$B,2,FALSE),VLOOKUP($A134,'SegEnds_NonXtal_Prot#'!A:AL,10,FALSE)+8,1)</f>
        <v>M</v>
      </c>
      <c r="Z134" s="50" t="str">
        <f>MID(VLOOKUP($A134,Seqs!$A:$B,2,FALSE),VLOOKUP($A134,'SegEnds_NonXtal_Prot#'!A:AL,10,FALSE)+9,1)</f>
        <v>P</v>
      </c>
      <c r="AA134" s="50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50" t="str">
        <f>MID(VLOOKUP($A134,Seqs!$A:$B,2,FALSE),VLOOKUP($A134,'SegEnds_NonXtal_Prot#'!$A:$AL,22,FALSE)+7,1)</f>
        <v>V</v>
      </c>
      <c r="AD134" s="50" t="str">
        <f>MID(VLOOKUP($A134,Seqs!$A:$B,2,FALSE),VLOOKUP($A134,'SegEnds_NonXtal_Prot#'!$A:$AL,22,FALSE)+8,1)</f>
        <v>I</v>
      </c>
      <c r="AE134" s="50" t="str">
        <f>MID(VLOOKUP($A134,Seqs!$A:$B,2,FALSE),VLOOKUP($A134,'SegEnds_NonXtal_Prot#'!$A:$AL,22,FALSE)+9,1)</f>
        <v>P</v>
      </c>
      <c r="AF134" s="50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50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50" t="str">
        <f>MID(VLOOKUP($A135,Seqs!$A:$B,2,FALSE),VLOOKUP($A135,'SegEnds_NonXtal_Prot#'!A:AL,10,FALSE)+6,1)</f>
        <v>G</v>
      </c>
      <c r="X135" s="50" t="str">
        <f>MID(VLOOKUP($A135,Seqs!$A:$B,2,FALSE),VLOOKUP($A135,'SegEnds_NonXtal_Prot#'!A:AL,10,FALSE)+7,1)</f>
        <v>L</v>
      </c>
      <c r="Y135" s="50" t="str">
        <f>MID(VLOOKUP($A135,Seqs!$A:$B,2,FALSE),VLOOKUP($A135,'SegEnds_NonXtal_Prot#'!A:AL,10,FALSE)+8,1)</f>
        <v>V</v>
      </c>
      <c r="Z135" s="50" t="str">
        <f>MID(VLOOKUP($A135,Seqs!$A:$B,2,FALSE),VLOOKUP($A135,'SegEnds_NonXtal_Prot#'!A:AL,10,FALSE)+9,1)</f>
        <v>L</v>
      </c>
      <c r="AA135" s="50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50" t="str">
        <f>MID(VLOOKUP($A135,Seqs!$A:$B,2,FALSE),VLOOKUP($A135,'SegEnds_NonXtal_Prot#'!$A:$AL,22,FALSE)+7,1)</f>
        <v>G</v>
      </c>
      <c r="AD135" s="50" t="str">
        <f>MID(VLOOKUP($A135,Seqs!$A:$B,2,FALSE),VLOOKUP($A135,'SegEnds_NonXtal_Prot#'!$A:$AL,22,FALSE)+8,1)</f>
        <v>L</v>
      </c>
      <c r="AE135" s="50" t="str">
        <f>MID(VLOOKUP($A135,Seqs!$A:$B,2,FALSE),VLOOKUP($A135,'SegEnds_NonXtal_Prot#'!$A:$AL,22,FALSE)+9,1)</f>
        <v>L</v>
      </c>
      <c r="AF135" s="50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50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50" t="str">
        <f>MID(VLOOKUP($A136,Seqs!$A:$B,2,FALSE),VLOOKUP($A136,'SegEnds_NonXtal_Prot#'!A:AL,10,FALSE)+6,1)</f>
        <v>A</v>
      </c>
      <c r="X136" s="50" t="str">
        <f>MID(VLOOKUP($A136,Seqs!$A:$B,2,FALSE),VLOOKUP($A136,'SegEnds_NonXtal_Prot#'!A:AL,10,FALSE)+7,1)</f>
        <v>Y</v>
      </c>
      <c r="Y136" s="50" t="str">
        <f>MID(VLOOKUP($A136,Seqs!$A:$B,2,FALSE),VLOOKUP($A136,'SegEnds_NonXtal_Prot#'!A:AL,10,FALSE)+8,1)</f>
        <v>F</v>
      </c>
      <c r="Z136" s="50" t="str">
        <f>MID(VLOOKUP($A136,Seqs!$A:$B,2,FALSE),VLOOKUP($A136,'SegEnds_NonXtal_Prot#'!A:AL,10,FALSE)+9,1)</f>
        <v>Y</v>
      </c>
      <c r="AA136" s="50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50" t="str">
        <f>MID(VLOOKUP($A136,Seqs!$A:$B,2,FALSE),VLOOKUP($A136,'SegEnds_NonXtal_Prot#'!$A:$AL,22,FALSE)+7,1)</f>
        <v>G</v>
      </c>
      <c r="AD136" s="50" t="str">
        <f>MID(VLOOKUP($A136,Seqs!$A:$B,2,FALSE),VLOOKUP($A136,'SegEnds_NonXtal_Prot#'!$A:$AL,22,FALSE)+8,1)</f>
        <v>A</v>
      </c>
      <c r="AE136" s="50" t="str">
        <f>MID(VLOOKUP($A136,Seqs!$A:$B,2,FALSE),VLOOKUP($A136,'SegEnds_NonXtal_Prot#'!$A:$AL,22,FALSE)+9,1)</f>
        <v>I</v>
      </c>
      <c r="AF136" s="50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50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50" t="str">
        <f>MID(VLOOKUP($A137,Seqs!$A:$B,2,FALSE),VLOOKUP($A137,'SegEnds_NonXtal_Prot#'!A:AL,10,FALSE)+6,1)</f>
        <v>A</v>
      </c>
      <c r="X137" s="50" t="str">
        <f>MID(VLOOKUP($A137,Seqs!$A:$B,2,FALSE),VLOOKUP($A137,'SegEnds_NonXtal_Prot#'!A:AL,10,FALSE)+7,1)</f>
        <v>Y</v>
      </c>
      <c r="Y137" s="50" t="str">
        <f>MID(VLOOKUP($A137,Seqs!$A:$B,2,FALSE),VLOOKUP($A137,'SegEnds_NonXtal_Prot#'!A:AL,10,FALSE)+8,1)</f>
        <v>L</v>
      </c>
      <c r="Z137" s="50" t="str">
        <f>MID(VLOOKUP($A137,Seqs!$A:$B,2,FALSE),VLOOKUP($A137,'SegEnds_NonXtal_Prot#'!A:AL,10,FALSE)+9,1)</f>
        <v>F</v>
      </c>
      <c r="AA137" s="50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50" t="str">
        <f>MID(VLOOKUP($A137,Seqs!$A:$B,2,FALSE),VLOOKUP($A137,'SegEnds_NonXtal_Prot#'!$A:$AL,22,FALSE)+7,1)</f>
        <v>G</v>
      </c>
      <c r="AD137" s="50" t="str">
        <f>MID(VLOOKUP($A137,Seqs!$A:$B,2,FALSE),VLOOKUP($A137,'SegEnds_NonXtal_Prot#'!$A:$AL,22,FALSE)+8,1)</f>
        <v>L</v>
      </c>
      <c r="AE137" s="50" t="str">
        <f>MID(VLOOKUP($A137,Seqs!$A:$B,2,FALSE),VLOOKUP($A137,'SegEnds_NonXtal_Prot#'!$A:$AL,22,FALSE)+9,1)</f>
        <v>L</v>
      </c>
      <c r="AF137" s="50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50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50" t="str">
        <f>MID(VLOOKUP($A138,Seqs!$A:$B,2,FALSE),VLOOKUP($A138,'SegEnds_NonXtal_Prot#'!A:AL,10,FALSE)+6,1)</f>
        <v>A</v>
      </c>
      <c r="X138" s="50" t="str">
        <f>MID(VLOOKUP($A138,Seqs!$A:$B,2,FALSE),VLOOKUP($A138,'SegEnds_NonXtal_Prot#'!A:AL,10,FALSE)+7,1)</f>
        <v>Y</v>
      </c>
      <c r="Y138" s="50" t="str">
        <f>MID(VLOOKUP($A138,Seqs!$A:$B,2,FALSE),VLOOKUP($A138,'SegEnds_NonXtal_Prot#'!A:AL,10,FALSE)+8,1)</f>
        <v>V</v>
      </c>
      <c r="Z138" s="50" t="str">
        <f>MID(VLOOKUP($A138,Seqs!$A:$B,2,FALSE),VLOOKUP($A138,'SegEnds_NonXtal_Prot#'!A:AL,10,FALSE)+9,1)</f>
        <v>F</v>
      </c>
      <c r="AA138" s="50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50" t="str">
        <f>MID(VLOOKUP($A138,Seqs!$A:$B,2,FALSE),VLOOKUP($A138,'SegEnds_NonXtal_Prot#'!$A:$AL,22,FALSE)+7,1)</f>
        <v>G</v>
      </c>
      <c r="AD138" s="50" t="str">
        <f>MID(VLOOKUP($A138,Seqs!$A:$B,2,FALSE),VLOOKUP($A138,'SegEnds_NonXtal_Prot#'!$A:$AL,22,FALSE)+8,1)</f>
        <v>A</v>
      </c>
      <c r="AE138" s="50" t="str">
        <f>MID(VLOOKUP($A138,Seqs!$A:$B,2,FALSE),VLOOKUP($A138,'SegEnds_NonXtal_Prot#'!$A:$AL,22,FALSE)+9,1)</f>
        <v>V</v>
      </c>
      <c r="AF138" s="50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50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50" t="str">
        <f>MID(VLOOKUP($A139,Seqs!$A:$B,2,FALSE),VLOOKUP($A139,'SegEnds_NonXtal_Prot#'!A:AL,10,FALSE)+6,1)</f>
        <v>T</v>
      </c>
      <c r="X139" s="50" t="str">
        <f>MID(VLOOKUP($A139,Seqs!$A:$B,2,FALSE),VLOOKUP($A139,'SegEnds_NonXtal_Prot#'!A:AL,10,FALSE)+7,1)</f>
        <v>L</v>
      </c>
      <c r="Y139" s="50" t="str">
        <f>MID(VLOOKUP($A139,Seqs!$A:$B,2,FALSE),VLOOKUP($A139,'SegEnds_NonXtal_Prot#'!A:AL,10,FALSE)+8,1)</f>
        <v>P</v>
      </c>
      <c r="Z139" s="50" t="str">
        <f>MID(VLOOKUP($A139,Seqs!$A:$B,2,FALSE),VLOOKUP($A139,'SegEnds_NonXtal_Prot#'!A:AL,10,FALSE)+9,1)</f>
        <v>L</v>
      </c>
      <c r="AA139" s="50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50" t="str">
        <f>MID(VLOOKUP($A139,Seqs!$A:$B,2,FALSE),VLOOKUP($A139,'SegEnds_NonXtal_Prot#'!$A:$AL,22,FALSE)+7,1)</f>
        <v>S</v>
      </c>
      <c r="AD139" s="50" t="str">
        <f>MID(VLOOKUP($A139,Seqs!$A:$B,2,FALSE),VLOOKUP($A139,'SegEnds_NonXtal_Prot#'!$A:$AL,22,FALSE)+8,1)</f>
        <v>L</v>
      </c>
      <c r="AE139" s="50" t="str">
        <f>MID(VLOOKUP($A139,Seqs!$A:$B,2,FALSE),VLOOKUP($A139,'SegEnds_NonXtal_Prot#'!$A:$AL,22,FALSE)+9,1)</f>
        <v>P</v>
      </c>
      <c r="AF139" s="50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50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4"/>
      <c r="G140" s="124"/>
      <c r="H140" s="124"/>
      <c r="I140" s="124"/>
      <c r="J140" s="124"/>
      <c r="K140" s="124"/>
      <c r="L140" s="124"/>
      <c r="M140" s="124"/>
      <c r="N140" s="125" t="s">
        <v>14</v>
      </c>
      <c r="O140" s="124"/>
      <c r="P140" s="124"/>
      <c r="Q140" s="124"/>
      <c r="R140" s="124" t="s">
        <v>9</v>
      </c>
      <c r="S140" s="124"/>
      <c r="T140" s="124" t="s">
        <v>12</v>
      </c>
      <c r="U140" s="124"/>
      <c r="V140" s="28" t="str">
        <f>MID(VLOOKUP($A140,Seqs!$A:$B,2,FALSE),VLOOKUP($A140,'SegEnds_NonXtal_Prot#'!A:AL,10,FALSE),1)</f>
        <v>D</v>
      </c>
      <c r="W140" s="50" t="str">
        <f>MID(VLOOKUP($A140,Seqs!$A:$B,2,FALSE),VLOOKUP($A140,'SegEnds_NonXtal_Prot#'!A:AL,10,FALSE)+6,1)</f>
        <v>T</v>
      </c>
      <c r="X140" s="50" t="str">
        <f>MID(VLOOKUP($A140,Seqs!$A:$B,2,FALSE),VLOOKUP($A140,'SegEnds_NonXtal_Prot#'!A:AL,10,FALSE)+7,1)</f>
        <v>A</v>
      </c>
      <c r="Y140" s="50" t="str">
        <f>MID(VLOOKUP($A140,Seqs!$A:$B,2,FALSE),VLOOKUP($A140,'SegEnds_NonXtal_Prot#'!A:AL,10,FALSE)+8,1)</f>
        <v>P</v>
      </c>
      <c r="Z140" s="50" t="str">
        <f>MID(VLOOKUP($A140,Seqs!$A:$B,2,FALSE),VLOOKUP($A140,'SegEnds_NonXtal_Prot#'!A:AL,10,FALSE)+9,1)</f>
        <v>F</v>
      </c>
      <c r="AA140" s="50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50" t="str">
        <f>MID(VLOOKUP($A140,Seqs!$A:$B,2,FALSE),VLOOKUP($A140,'SegEnds_NonXtal_Prot#'!$A:$AL,22,FALSE)+7,1)</f>
        <v>A</v>
      </c>
      <c r="AD140" s="50" t="str">
        <f>MID(VLOOKUP($A140,Seqs!$A:$B,2,FALSE),VLOOKUP($A140,'SegEnds_NonXtal_Prot#'!$A:$AL,22,FALSE)+8,1)</f>
        <v>T</v>
      </c>
      <c r="AE140" s="50" t="str">
        <f>MID(VLOOKUP($A140,Seqs!$A:$B,2,FALSE),VLOOKUP($A140,'SegEnds_NonXtal_Prot#'!$A:$AL,22,FALSE)+9,1)</f>
        <v>P</v>
      </c>
      <c r="AF140" s="50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50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50" t="str">
        <f>MID(VLOOKUP($A141,Seqs!$A:$B,2,FALSE),VLOOKUP($A141,'SegEnds_NonXtal_Prot#'!A:AL,10,FALSE)+6,1)</f>
        <v>C</v>
      </c>
      <c r="X141" s="50" t="str">
        <f>MID(VLOOKUP($A141,Seqs!$A:$B,2,FALSE),VLOOKUP($A141,'SegEnds_NonXtal_Prot#'!A:AL,10,FALSE)+7,1)</f>
        <v>M</v>
      </c>
      <c r="Y141" s="50" t="str">
        <f>MID(VLOOKUP($A141,Seqs!$A:$B,2,FALSE),VLOOKUP($A141,'SegEnds_NonXtal_Prot#'!A:AL,10,FALSE)+8,1)</f>
        <v>P</v>
      </c>
      <c r="Z141" s="50" t="str">
        <f>MID(VLOOKUP($A141,Seqs!$A:$B,2,FALSE),VLOOKUP($A141,'SegEnds_NonXtal_Prot#'!A:AL,10,FALSE)+9,1)</f>
        <v>L</v>
      </c>
      <c r="AA141" s="50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50" t="str">
        <f>MID(VLOOKUP($A141,Seqs!$A:$B,2,FALSE),VLOOKUP($A141,'SegEnds_NonXtal_Prot#'!$A:$AL,22,FALSE)+7,1)</f>
        <v>A</v>
      </c>
      <c r="AD141" s="50" t="str">
        <f>MID(VLOOKUP($A141,Seqs!$A:$B,2,FALSE),VLOOKUP($A141,'SegEnds_NonXtal_Prot#'!$A:$AL,22,FALSE)+8,1)</f>
        <v>G</v>
      </c>
      <c r="AE141" s="50" t="str">
        <f>MID(VLOOKUP($A141,Seqs!$A:$B,2,FALSE),VLOOKUP($A141,'SegEnds_NonXtal_Prot#'!$A:$AL,22,FALSE)+9,1)</f>
        <v>P</v>
      </c>
      <c r="AF141" s="50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50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50" t="str">
        <f>MID(VLOOKUP($A142,Seqs!$A:$B,2,FALSE),VLOOKUP($A142,'SegEnds_NonXtal_Prot#'!A:AL,10,FALSE)+6,1)</f>
        <v>F</v>
      </c>
      <c r="X142" s="50" t="str">
        <f>MID(VLOOKUP($A142,Seqs!$A:$B,2,FALSE),VLOOKUP($A142,'SegEnds_NonXtal_Prot#'!A:AL,10,FALSE)+7,1)</f>
        <v>I</v>
      </c>
      <c r="Y142" s="50" t="str">
        <f>MID(VLOOKUP($A142,Seqs!$A:$B,2,FALSE),VLOOKUP($A142,'SegEnds_NonXtal_Prot#'!A:AL,10,FALSE)+8,1)</f>
        <v>V</v>
      </c>
      <c r="Z142" s="50" t="str">
        <f>MID(VLOOKUP($A142,Seqs!$A:$B,2,FALSE),VLOOKUP($A142,'SegEnds_NonXtal_Prot#'!A:AL,10,FALSE)+9,1)</f>
        <v>F</v>
      </c>
      <c r="AA142" s="50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50" t="str">
        <f>MID(VLOOKUP($A142,Seqs!$A:$B,2,FALSE),VLOOKUP($A142,'SegEnds_NonXtal_Prot#'!$A:$AL,22,FALSE)+7,1)</f>
        <v>T</v>
      </c>
      <c r="AD142" s="50" t="str">
        <f>MID(VLOOKUP($A142,Seqs!$A:$B,2,FALSE),VLOOKUP($A142,'SegEnds_NonXtal_Prot#'!$A:$AL,22,FALSE)+8,1)</f>
        <v>S</v>
      </c>
      <c r="AE142" s="50" t="str">
        <f>MID(VLOOKUP($A142,Seqs!$A:$B,2,FALSE),VLOOKUP($A142,'SegEnds_NonXtal_Prot#'!$A:$AL,22,FALSE)+9,1)</f>
        <v>I</v>
      </c>
      <c r="AF142" s="50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50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50" t="str">
        <f>MID(VLOOKUP($A143,Seqs!$A:$B,2,FALSE),VLOOKUP($A143,'SegEnds_NonXtal_Prot#'!A:AL,10,FALSE)+6,1)</f>
        <v>A</v>
      </c>
      <c r="X143" s="50" t="str">
        <f>MID(VLOOKUP($A143,Seqs!$A:$B,2,FALSE),VLOOKUP($A143,'SegEnds_NonXtal_Prot#'!A:AL,10,FALSE)+7,1)</f>
        <v>A</v>
      </c>
      <c r="Y143" s="50" t="str">
        <f>MID(VLOOKUP($A143,Seqs!$A:$B,2,FALSE),VLOOKUP($A143,'SegEnds_NonXtal_Prot#'!A:AL,10,FALSE)+8,1)</f>
        <v>A</v>
      </c>
      <c r="Z143" s="50" t="str">
        <f>MID(VLOOKUP($A143,Seqs!$A:$B,2,FALSE),VLOOKUP($A143,'SegEnds_NonXtal_Prot#'!A:AL,10,FALSE)+9,1)</f>
        <v>F</v>
      </c>
      <c r="AA143" s="50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50" t="str">
        <f>MID(VLOOKUP($A143,Seqs!$A:$B,2,FALSE),VLOOKUP($A143,'SegEnds_NonXtal_Prot#'!$A:$AL,22,FALSE)+7,1)</f>
        <v>S</v>
      </c>
      <c r="AD143" s="50" t="str">
        <f>MID(VLOOKUP($A143,Seqs!$A:$B,2,FALSE),VLOOKUP($A143,'SegEnds_NonXtal_Prot#'!$A:$AL,22,FALSE)+8,1)</f>
        <v>V</v>
      </c>
      <c r="AE143" s="50" t="str">
        <f>MID(VLOOKUP($A143,Seqs!$A:$B,2,FALSE),VLOOKUP($A143,'SegEnds_NonXtal_Prot#'!$A:$AL,22,FALSE)+9,1)</f>
        <v>P</v>
      </c>
      <c r="AF143" s="50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50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50" t="str">
        <f>MID(VLOOKUP($A144,Seqs!$A:$B,2,FALSE),VLOOKUP($A144,'SegEnds_NonXtal_Prot#'!A:AL,10,FALSE)+6,1)</f>
        <v>I</v>
      </c>
      <c r="X144" s="50" t="str">
        <f>MID(VLOOKUP($A144,Seqs!$A:$B,2,FALSE),VLOOKUP($A144,'SegEnds_NonXtal_Prot#'!A:AL,10,FALSE)+7,1)</f>
        <v>G</v>
      </c>
      <c r="Y144" s="50" t="str">
        <f>MID(VLOOKUP($A144,Seqs!$A:$B,2,FALSE),VLOOKUP($A144,'SegEnds_NonXtal_Prot#'!A:AL,10,FALSE)+8,1)</f>
        <v>M</v>
      </c>
      <c r="Z144" s="50" t="str">
        <f>MID(VLOOKUP($A144,Seqs!$A:$B,2,FALSE),VLOOKUP($A144,'SegEnds_NonXtal_Prot#'!A:AL,10,FALSE)+9,1)</f>
        <v>P</v>
      </c>
      <c r="AA144" s="50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50" t="str">
        <f>MID(VLOOKUP($A144,Seqs!$A:$B,2,FALSE),VLOOKUP($A144,'SegEnds_NonXtal_Prot#'!$A:$AL,22,FALSE)+7,1)</f>
        <v>A</v>
      </c>
      <c r="AD144" s="50" t="str">
        <f>MID(VLOOKUP($A144,Seqs!$A:$B,2,FALSE),VLOOKUP($A144,'SegEnds_NonXtal_Prot#'!$A:$AL,22,FALSE)+8,1)</f>
        <v>L</v>
      </c>
      <c r="AE144" s="50" t="str">
        <f>MID(VLOOKUP($A144,Seqs!$A:$B,2,FALSE),VLOOKUP($A144,'SegEnds_NonXtal_Prot#'!$A:$AL,22,FALSE)+9,1)</f>
        <v>P</v>
      </c>
      <c r="AF144" s="50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50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50" t="str">
        <f>MID(VLOOKUP($A145,Seqs!$A:$B,2,FALSE),VLOOKUP($A145,'SegEnds_NonXtal_Prot#'!A:AL,10,FALSE)+6,1)</f>
        <v>G</v>
      </c>
      <c r="X145" s="50" t="str">
        <f>MID(VLOOKUP($A145,Seqs!$A:$B,2,FALSE),VLOOKUP($A145,'SegEnds_NonXtal_Prot#'!A:AL,10,FALSE)+7,1)</f>
        <v>L</v>
      </c>
      <c r="Y145" s="50" t="str">
        <f>MID(VLOOKUP($A145,Seqs!$A:$B,2,FALSE),VLOOKUP($A145,'SegEnds_NonXtal_Prot#'!A:AL,10,FALSE)+8,1)</f>
        <v>P</v>
      </c>
      <c r="Z145" s="50" t="str">
        <f>MID(VLOOKUP($A145,Seqs!$A:$B,2,FALSE),VLOOKUP($A145,'SegEnds_NonXtal_Prot#'!A:AL,10,FALSE)+9,1)</f>
        <v>F</v>
      </c>
      <c r="AA145" s="50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50" t="str">
        <f>MID(VLOOKUP($A145,Seqs!$A:$B,2,FALSE),VLOOKUP($A145,'SegEnds_NonXtal_Prot#'!$A:$AL,22,FALSE)+7,1)</f>
        <v>A</v>
      </c>
      <c r="AD145" s="50" t="str">
        <f>MID(VLOOKUP($A145,Seqs!$A:$B,2,FALSE),VLOOKUP($A145,'SegEnds_NonXtal_Prot#'!$A:$AL,22,FALSE)+8,1)</f>
        <v>G</v>
      </c>
      <c r="AE145" s="50" t="str">
        <f>MID(VLOOKUP($A145,Seqs!$A:$B,2,FALSE),VLOOKUP($A145,'SegEnds_NonXtal_Prot#'!$A:$AL,22,FALSE)+9,1)</f>
        <v>P</v>
      </c>
      <c r="AF145" s="50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50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50" t="str">
        <f>MID(VLOOKUP($A146,Seqs!$A:$B,2,FALSE),VLOOKUP($A146,'SegEnds_NonXtal_Prot#'!A:AL,10,FALSE)+6,1)</f>
        <v>V</v>
      </c>
      <c r="X146" s="50" t="str">
        <f>MID(VLOOKUP($A146,Seqs!$A:$B,2,FALSE),VLOOKUP($A146,'SegEnds_NonXtal_Prot#'!A:AL,10,FALSE)+7,1)</f>
        <v>G</v>
      </c>
      <c r="Y146" s="50" t="str">
        <f>MID(VLOOKUP($A146,Seqs!$A:$B,2,FALSE),VLOOKUP($A146,'SegEnds_NonXtal_Prot#'!A:AL,10,FALSE)+8,1)</f>
        <v>L</v>
      </c>
      <c r="Z146" s="50" t="str">
        <f>MID(VLOOKUP($A146,Seqs!$A:$B,2,FALSE),VLOOKUP($A146,'SegEnds_NonXtal_Prot#'!A:AL,10,FALSE)+9,1)</f>
        <v>P</v>
      </c>
      <c r="AA146" s="50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50" t="str">
        <f>MID(VLOOKUP($A146,Seqs!$A:$B,2,FALSE),VLOOKUP($A146,'SegEnds_NonXtal_Prot#'!$A:$AL,22,FALSE)+7,1)</f>
        <v>S</v>
      </c>
      <c r="AD146" s="50" t="str">
        <f>MID(VLOOKUP($A146,Seqs!$A:$B,2,FALSE),VLOOKUP($A146,'SegEnds_NonXtal_Prot#'!$A:$AL,22,FALSE)+8,1)</f>
        <v>L</v>
      </c>
      <c r="AE146" s="50" t="str">
        <f>MID(VLOOKUP($A146,Seqs!$A:$B,2,FALSE),VLOOKUP($A146,'SegEnds_NonXtal_Prot#'!$A:$AL,22,FALSE)+9,1)</f>
        <v>P</v>
      </c>
      <c r="AF146" s="50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50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50" t="str">
        <f>MID(VLOOKUP($A147,Seqs!$A:$B,2,FALSE),VLOOKUP($A147,'SegEnds_NonXtal_Prot#'!A:AL,10,FALSE)+6,1)</f>
        <v>L</v>
      </c>
      <c r="X147" s="50" t="str">
        <f>MID(VLOOKUP($A147,Seqs!$A:$B,2,FALSE),VLOOKUP($A147,'SegEnds_NonXtal_Prot#'!A:AL,10,FALSE)+7,1)</f>
        <v>G</v>
      </c>
      <c r="Y147" s="50" t="str">
        <f>MID(VLOOKUP($A147,Seqs!$A:$B,2,FALSE),VLOOKUP($A147,'SegEnds_NonXtal_Prot#'!A:AL,10,FALSE)+8,1)</f>
        <v>M</v>
      </c>
      <c r="Z147" s="50" t="str">
        <f>MID(VLOOKUP($A147,Seqs!$A:$B,2,FALSE),VLOOKUP($A147,'SegEnds_NonXtal_Prot#'!A:AL,10,FALSE)+9,1)</f>
        <v>P</v>
      </c>
      <c r="AA147" s="50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50" t="str">
        <f>MID(VLOOKUP($A147,Seqs!$A:$B,2,FALSE),VLOOKUP($A147,'SegEnds_NonXtal_Prot#'!$A:$AL,22,FALSE)+7,1)</f>
        <v>S</v>
      </c>
      <c r="AD147" s="50" t="str">
        <f>MID(VLOOKUP($A147,Seqs!$A:$B,2,FALSE),VLOOKUP($A147,'SegEnds_NonXtal_Prot#'!$A:$AL,22,FALSE)+8,1)</f>
        <v>L</v>
      </c>
      <c r="AE147" s="50" t="str">
        <f>MID(VLOOKUP($A147,Seqs!$A:$B,2,FALSE),VLOOKUP($A147,'SegEnds_NonXtal_Prot#'!$A:$AL,22,FALSE)+9,1)</f>
        <v>P</v>
      </c>
      <c r="AF147" s="50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50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50" t="str">
        <f>MID(VLOOKUP($A148,Seqs!$A:$B,2,FALSE),VLOOKUP($A148,'SegEnds_NonXtal_Prot#'!A:AL,10,FALSE)+6,1)</f>
        <v>L</v>
      </c>
      <c r="X148" s="50" t="str">
        <f>MID(VLOOKUP($A148,Seqs!$A:$B,2,FALSE),VLOOKUP($A148,'SegEnds_NonXtal_Prot#'!A:AL,10,FALSE)+7,1)</f>
        <v>A</v>
      </c>
      <c r="Y148" s="50" t="str">
        <f>MID(VLOOKUP($A148,Seqs!$A:$B,2,FALSE),VLOOKUP($A148,'SegEnds_NonXtal_Prot#'!A:AL,10,FALSE)+8,1)</f>
        <v>M</v>
      </c>
      <c r="Z148" s="50" t="str">
        <f>MID(VLOOKUP($A148,Seqs!$A:$B,2,FALSE),VLOOKUP($A148,'SegEnds_NonXtal_Prot#'!A:AL,10,FALSE)+9,1)</f>
        <v>P</v>
      </c>
      <c r="AA148" s="50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50" t="str">
        <f>MID(VLOOKUP($A148,Seqs!$A:$B,2,FALSE),VLOOKUP($A148,'SegEnds_NonXtal_Prot#'!$A:$AL,22,FALSE)+7,1)</f>
        <v>A</v>
      </c>
      <c r="AD148" s="50" t="str">
        <f>MID(VLOOKUP($A148,Seqs!$A:$B,2,FALSE),VLOOKUP($A148,'SegEnds_NonXtal_Prot#'!$A:$AL,22,FALSE)+8,1)</f>
        <v>V</v>
      </c>
      <c r="AE148" s="50" t="str">
        <f>MID(VLOOKUP($A148,Seqs!$A:$B,2,FALSE),VLOOKUP($A148,'SegEnds_NonXtal_Prot#'!$A:$AL,22,FALSE)+9,1)</f>
        <v>P</v>
      </c>
      <c r="AF148" s="50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50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50" t="str">
        <f>MID(VLOOKUP($A149,Seqs!$A:$B,2,FALSE),VLOOKUP($A149,'SegEnds_NonXtal_Prot#'!A:AL,10,FALSE)+6,1)</f>
        <v>L</v>
      </c>
      <c r="X149" s="50" t="str">
        <f>MID(VLOOKUP($A149,Seqs!$A:$B,2,FALSE),VLOOKUP($A149,'SegEnds_NonXtal_Prot#'!A:AL,10,FALSE)+7,1)</f>
        <v>A</v>
      </c>
      <c r="Y149" s="50" t="str">
        <f>MID(VLOOKUP($A149,Seqs!$A:$B,2,FALSE),VLOOKUP($A149,'SegEnds_NonXtal_Prot#'!A:AL,10,FALSE)+8,1)</f>
        <v>M</v>
      </c>
      <c r="Z149" s="50" t="str">
        <f>MID(VLOOKUP($A149,Seqs!$A:$B,2,FALSE),VLOOKUP($A149,'SegEnds_NonXtal_Prot#'!A:AL,10,FALSE)+9,1)</f>
        <v>P</v>
      </c>
      <c r="AA149" s="50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50" t="str">
        <f>MID(VLOOKUP($A149,Seqs!$A:$B,2,FALSE),VLOOKUP($A149,'SegEnds_NonXtal_Prot#'!$A:$AL,22,FALSE)+7,1)</f>
        <v>A</v>
      </c>
      <c r="AD149" s="50" t="str">
        <f>MID(VLOOKUP($A149,Seqs!$A:$B,2,FALSE),VLOOKUP($A149,'SegEnds_NonXtal_Prot#'!$A:$AL,22,FALSE)+8,1)</f>
        <v>I</v>
      </c>
      <c r="AE149" s="50" t="str">
        <f>MID(VLOOKUP($A149,Seqs!$A:$B,2,FALSE),VLOOKUP($A149,'SegEnds_NonXtal_Prot#'!$A:$AL,22,FALSE)+9,1)</f>
        <v>P</v>
      </c>
      <c r="AF149" s="50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50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50" t="str">
        <f>MID(VLOOKUP($A150,Seqs!$A:$B,2,FALSE),VLOOKUP($A150,'SegEnds_NonXtal_Prot#'!A:AL,10,FALSE)+6,1)</f>
        <v>V</v>
      </c>
      <c r="X150" s="50" t="str">
        <f>MID(VLOOKUP($A150,Seqs!$A:$B,2,FALSE),VLOOKUP($A150,'SegEnds_NonXtal_Prot#'!A:AL,10,FALSE)+7,1)</f>
        <v>G</v>
      </c>
      <c r="Y150" s="50" t="str">
        <f>MID(VLOOKUP($A150,Seqs!$A:$B,2,FALSE),VLOOKUP($A150,'SegEnds_NonXtal_Prot#'!A:AL,10,FALSE)+8,1)</f>
        <v>V</v>
      </c>
      <c r="Z150" s="50" t="str">
        <f>MID(VLOOKUP($A150,Seqs!$A:$B,2,FALSE),VLOOKUP($A150,'SegEnds_NonXtal_Prot#'!A:AL,10,FALSE)+9,1)</f>
        <v>P</v>
      </c>
      <c r="AA150" s="50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50" t="str">
        <f>MID(VLOOKUP($A150,Seqs!$A:$B,2,FALSE),VLOOKUP($A150,'SegEnds_NonXtal_Prot#'!$A:$AL,22,FALSE)+7,1)</f>
        <v>A</v>
      </c>
      <c r="AD150" s="50" t="str">
        <f>MID(VLOOKUP($A150,Seqs!$A:$B,2,FALSE),VLOOKUP($A150,'SegEnds_NonXtal_Prot#'!$A:$AL,22,FALSE)+8,1)</f>
        <v>L</v>
      </c>
      <c r="AE150" s="50" t="str">
        <f>MID(VLOOKUP($A150,Seqs!$A:$B,2,FALSE),VLOOKUP($A150,'SegEnds_NonXtal_Prot#'!$A:$AL,22,FALSE)+9,1)</f>
        <v>P</v>
      </c>
      <c r="AF150" s="50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50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50" t="str">
        <f>MID(VLOOKUP($A151,Seqs!$A:$B,2,FALSE),VLOOKUP($A151,'SegEnds_NonXtal_Prot#'!A:AL,10,FALSE)+6,1)</f>
        <v>L</v>
      </c>
      <c r="X151" s="50" t="str">
        <f>MID(VLOOKUP($A151,Seqs!$A:$B,2,FALSE),VLOOKUP($A151,'SegEnds_NonXtal_Prot#'!A:AL,10,FALSE)+7,1)</f>
        <v>I</v>
      </c>
      <c r="Y151" s="50" t="str">
        <f>MID(VLOOKUP($A151,Seqs!$A:$B,2,FALSE),VLOOKUP($A151,'SegEnds_NonXtal_Prot#'!A:AL,10,FALSE)+8,1)</f>
        <v>S</v>
      </c>
      <c r="Z151" s="50" t="str">
        <f>MID(VLOOKUP($A151,Seqs!$A:$B,2,FALSE),VLOOKUP($A151,'SegEnds_NonXtal_Prot#'!A:AL,10,FALSE)+9,1)</f>
        <v>P</v>
      </c>
      <c r="AA151" s="50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50" t="str">
        <f>MID(VLOOKUP($A151,Seqs!$A:$B,2,FALSE),VLOOKUP($A151,'SegEnds_NonXtal_Prot#'!$A:$AL,22,FALSE)+7,1)</f>
        <v>C</v>
      </c>
      <c r="AD151" s="50" t="str">
        <f>MID(VLOOKUP($A151,Seqs!$A:$B,2,FALSE),VLOOKUP($A151,'SegEnds_NonXtal_Prot#'!$A:$AL,22,FALSE)+8,1)</f>
        <v>S</v>
      </c>
      <c r="AE151" s="50" t="str">
        <f>MID(VLOOKUP($A151,Seqs!$A:$B,2,FALSE),VLOOKUP($A151,'SegEnds_NonXtal_Prot#'!$A:$AL,22,FALSE)+9,1)</f>
        <v>L</v>
      </c>
      <c r="AF151" s="50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50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50" t="str">
        <f>MID(VLOOKUP($A152,Seqs!$A:$B,2,FALSE),VLOOKUP($A152,'SegEnds_NonXtal_Prot#'!A:AL,10,FALSE)+6,1)</f>
        <v>T</v>
      </c>
      <c r="X152" s="50" t="str">
        <f>MID(VLOOKUP($A152,Seqs!$A:$B,2,FALSE),VLOOKUP($A152,'SegEnds_NonXtal_Prot#'!A:AL,10,FALSE)+7,1)</f>
        <v>L</v>
      </c>
      <c r="Y152" s="50" t="str">
        <f>MID(VLOOKUP($A152,Seqs!$A:$B,2,FALSE),VLOOKUP($A152,'SegEnds_NonXtal_Prot#'!A:AL,10,FALSE)+8,1)</f>
        <v>P</v>
      </c>
      <c r="Z152" s="50" t="str">
        <f>MID(VLOOKUP($A152,Seqs!$A:$B,2,FALSE),VLOOKUP($A152,'SegEnds_NonXtal_Prot#'!A:AL,10,FALSE)+9,1)</f>
        <v>F</v>
      </c>
      <c r="AA152" s="50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50" t="str">
        <f>MID(VLOOKUP($A152,Seqs!$A:$B,2,FALSE),VLOOKUP($A152,'SegEnds_NonXtal_Prot#'!$A:$AL,22,FALSE)+7,1)</f>
        <v>G</v>
      </c>
      <c r="AD152" s="50" t="str">
        <f>MID(VLOOKUP($A152,Seqs!$A:$B,2,FALSE),VLOOKUP($A152,'SegEnds_NonXtal_Prot#'!$A:$AL,22,FALSE)+8,1)</f>
        <v>V</v>
      </c>
      <c r="AE152" s="50" t="str">
        <f>MID(VLOOKUP($A152,Seqs!$A:$B,2,FALSE),VLOOKUP($A152,'SegEnds_NonXtal_Prot#'!$A:$AL,22,FALSE)+9,1)</f>
        <v>P</v>
      </c>
      <c r="AF152" s="50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50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50" t="str">
        <f>MID(VLOOKUP($A153,Seqs!$A:$B,2,FALSE),VLOOKUP($A153,'SegEnds_NonXtal_Prot#'!A:AL,10,FALSE)+6,1)</f>
        <v>A</v>
      </c>
      <c r="X153" s="50" t="str">
        <f>MID(VLOOKUP($A153,Seqs!$A:$B,2,FALSE),VLOOKUP($A153,'SegEnds_NonXtal_Prot#'!A:AL,10,FALSE)+7,1)</f>
        <v>M</v>
      </c>
      <c r="Y153" s="50" t="str">
        <f>MID(VLOOKUP($A153,Seqs!$A:$B,2,FALSE),VLOOKUP($A153,'SegEnds_NonXtal_Prot#'!A:AL,10,FALSE)+8,1)</f>
        <v>P</v>
      </c>
      <c r="Z153" s="50" t="str">
        <f>MID(VLOOKUP($A153,Seqs!$A:$B,2,FALSE),VLOOKUP($A153,'SegEnds_NonXtal_Prot#'!A:AL,10,FALSE)+9,1)</f>
        <v>F</v>
      </c>
      <c r="AA153" s="50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50" t="str">
        <f>MID(VLOOKUP($A153,Seqs!$A:$B,2,FALSE),VLOOKUP($A153,'SegEnds_NonXtal_Prot#'!$A:$AL,22,FALSE)+7,1)</f>
        <v>I</v>
      </c>
      <c r="AD153" s="50" t="str">
        <f>MID(VLOOKUP($A153,Seqs!$A:$B,2,FALSE),VLOOKUP($A153,'SegEnds_NonXtal_Prot#'!$A:$AL,22,FALSE)+8,1)</f>
        <v>I</v>
      </c>
      <c r="AE153" s="50" t="str">
        <f>MID(VLOOKUP($A153,Seqs!$A:$B,2,FALSE),VLOOKUP($A153,'SegEnds_NonXtal_Prot#'!$A:$AL,22,FALSE)+9,1)</f>
        <v>P</v>
      </c>
      <c r="AF153" s="50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50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50" t="str">
        <f>MID(VLOOKUP($A154,Seqs!$A:$B,2,FALSE),VLOOKUP($A154,'SegEnds_NonXtal_Prot#'!A:AL,10,FALSE)+6,1)</f>
        <v>G</v>
      </c>
      <c r="X154" s="50" t="str">
        <f>MID(VLOOKUP($A154,Seqs!$A:$B,2,FALSE),VLOOKUP($A154,'SegEnds_NonXtal_Prot#'!A:AL,10,FALSE)+7,1)</f>
        <v>M</v>
      </c>
      <c r="Y154" s="50" t="str">
        <f>MID(VLOOKUP($A154,Seqs!$A:$B,2,FALSE),VLOOKUP($A154,'SegEnds_NonXtal_Prot#'!A:AL,10,FALSE)+8,1)</f>
        <v>P</v>
      </c>
      <c r="Z154" s="50" t="str">
        <f>MID(VLOOKUP($A154,Seqs!$A:$B,2,FALSE),VLOOKUP($A154,'SegEnds_NonXtal_Prot#'!A:AL,10,FALSE)+9,1)</f>
        <v>F</v>
      </c>
      <c r="AA154" s="50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50" t="str">
        <f>MID(VLOOKUP($A154,Seqs!$A:$B,2,FALSE),VLOOKUP($A154,'SegEnds_NonXtal_Prot#'!$A:$AL,22,FALSE)+7,1)</f>
        <v>A</v>
      </c>
      <c r="AD154" s="50" t="str">
        <f>MID(VLOOKUP($A154,Seqs!$A:$B,2,FALSE),VLOOKUP($A154,'SegEnds_NonXtal_Prot#'!$A:$AL,22,FALSE)+8,1)</f>
        <v>L</v>
      </c>
      <c r="AE154" s="50" t="str">
        <f>MID(VLOOKUP($A154,Seqs!$A:$B,2,FALSE),VLOOKUP($A154,'SegEnds_NonXtal_Prot#'!$A:$AL,22,FALSE)+9,1)</f>
        <v>P</v>
      </c>
      <c r="AF154" s="50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50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50" t="str">
        <f>MID(VLOOKUP($A155,Seqs!$A:$B,2,FALSE),VLOOKUP($A155,'SegEnds_NonXtal_Prot#'!A:AL,10,FALSE)+6,1)</f>
        <v>V</v>
      </c>
      <c r="X155" s="50" t="str">
        <f>MID(VLOOKUP($A155,Seqs!$A:$B,2,FALSE),VLOOKUP($A155,'SegEnds_NonXtal_Prot#'!A:AL,10,FALSE)+7,1)</f>
        <v>L</v>
      </c>
      <c r="Y155" s="50" t="str">
        <f>MID(VLOOKUP($A155,Seqs!$A:$B,2,FALSE),VLOOKUP($A155,'SegEnds_NonXtal_Prot#'!A:AL,10,FALSE)+8,1)</f>
        <v>P</v>
      </c>
      <c r="Z155" s="50" t="str">
        <f>MID(VLOOKUP($A155,Seqs!$A:$B,2,FALSE),VLOOKUP($A155,'SegEnds_NonXtal_Prot#'!A:AL,10,FALSE)+9,1)</f>
        <v>V</v>
      </c>
      <c r="AA155" s="50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50" t="str">
        <f>MID(VLOOKUP($A155,Seqs!$A:$B,2,FALSE),VLOOKUP($A155,'SegEnds_NonXtal_Prot#'!$A:$AL,22,FALSE)+7,1)</f>
        <v>V</v>
      </c>
      <c r="AD155" s="50" t="str">
        <f>MID(VLOOKUP($A155,Seqs!$A:$B,2,FALSE),VLOOKUP($A155,'SegEnds_NonXtal_Prot#'!$A:$AL,22,FALSE)+8,1)</f>
        <v>L</v>
      </c>
      <c r="AE155" s="50" t="str">
        <f>MID(VLOOKUP($A155,Seqs!$A:$B,2,FALSE),VLOOKUP($A155,'SegEnds_NonXtal_Prot#'!$A:$AL,22,FALSE)+9,1)</f>
        <v>P</v>
      </c>
      <c r="AF155" s="50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50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50" t="str">
        <f>MID(VLOOKUP($A156,Seqs!$A:$B,2,FALSE),VLOOKUP($A156,'SegEnds_NonXtal_Prot#'!A:AL,10,FALSE)+6,1)</f>
        <v>T</v>
      </c>
      <c r="X156" s="50" t="str">
        <f>MID(VLOOKUP($A156,Seqs!$A:$B,2,FALSE),VLOOKUP($A156,'SegEnds_NonXtal_Prot#'!A:AL,10,FALSE)+7,1)</f>
        <v>L</v>
      </c>
      <c r="Y156" s="50" t="str">
        <f>MID(VLOOKUP($A156,Seqs!$A:$B,2,FALSE),VLOOKUP($A156,'SegEnds_NonXtal_Prot#'!A:AL,10,FALSE)+8,1)</f>
        <v>P</v>
      </c>
      <c r="Z156" s="50" t="str">
        <f>MID(VLOOKUP($A156,Seqs!$A:$B,2,FALSE),VLOOKUP($A156,'SegEnds_NonXtal_Prot#'!A:AL,10,FALSE)+9,1)</f>
        <v>F</v>
      </c>
      <c r="AA156" s="50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50" t="str">
        <f>MID(VLOOKUP($A156,Seqs!$A:$B,2,FALSE),VLOOKUP($A156,'SegEnds_NonXtal_Prot#'!$A:$AL,22,FALSE)+7,1)</f>
        <v>G</v>
      </c>
      <c r="AD156" s="50" t="str">
        <f>MID(VLOOKUP($A156,Seqs!$A:$B,2,FALSE),VLOOKUP($A156,'SegEnds_NonXtal_Prot#'!$A:$AL,22,FALSE)+8,1)</f>
        <v>V</v>
      </c>
      <c r="AE156" s="50" t="str">
        <f>MID(VLOOKUP($A156,Seqs!$A:$B,2,FALSE),VLOOKUP($A156,'SegEnds_NonXtal_Prot#'!$A:$AL,22,FALSE)+9,1)</f>
        <v>P</v>
      </c>
      <c r="AF156" s="50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50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50" t="str">
        <f>MID(VLOOKUP($A157,Seqs!$A:$B,2,FALSE),VLOOKUP($A157,'SegEnds_NonXtal_Prot#'!A:AL,10,FALSE)+6,1)</f>
        <v>S</v>
      </c>
      <c r="X157" s="50" t="str">
        <f>MID(VLOOKUP($A157,Seqs!$A:$B,2,FALSE),VLOOKUP($A157,'SegEnds_NonXtal_Prot#'!A:AL,10,FALSE)+7,1)</f>
        <v>L</v>
      </c>
      <c r="Y157" s="50" t="str">
        <f>MID(VLOOKUP($A157,Seqs!$A:$B,2,FALSE),VLOOKUP($A157,'SegEnds_NonXtal_Prot#'!A:AL,10,FALSE)+8,1)</f>
        <v>P</v>
      </c>
      <c r="Z157" s="50" t="str">
        <f>MID(VLOOKUP($A157,Seqs!$A:$B,2,FALSE),VLOOKUP($A157,'SegEnds_NonXtal_Prot#'!A:AL,10,FALSE)+9,1)</f>
        <v>F</v>
      </c>
      <c r="AA157" s="50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50" t="str">
        <f>MID(VLOOKUP($A157,Seqs!$A:$B,2,FALSE),VLOOKUP($A157,'SegEnds_NonXtal_Prot#'!$A:$AL,22,FALSE)+7,1)</f>
        <v>T</v>
      </c>
      <c r="AD157" s="50" t="str">
        <f>MID(VLOOKUP($A157,Seqs!$A:$B,2,FALSE),VLOOKUP($A157,'SegEnds_NonXtal_Prot#'!$A:$AL,22,FALSE)+8,1)</f>
        <v>V</v>
      </c>
      <c r="AE157" s="50" t="str">
        <f>MID(VLOOKUP($A157,Seqs!$A:$B,2,FALSE),VLOOKUP($A157,'SegEnds_NonXtal_Prot#'!$A:$AL,22,FALSE)+9,1)</f>
        <v>P</v>
      </c>
      <c r="AF157" s="50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50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50" t="str">
        <f>MID(VLOOKUP($A158,Seqs!$A:$B,2,FALSE),VLOOKUP($A158,'SegEnds_NonXtal_Prot#'!A:AL,10,FALSE)+6,1)</f>
        <v>S</v>
      </c>
      <c r="X158" s="50" t="str">
        <f>MID(VLOOKUP($A158,Seqs!$A:$B,2,FALSE),VLOOKUP($A158,'SegEnds_NonXtal_Prot#'!A:AL,10,FALSE)+7,1)</f>
        <v>V</v>
      </c>
      <c r="Y158" s="50" t="str">
        <f>MID(VLOOKUP($A158,Seqs!$A:$B,2,FALSE),VLOOKUP($A158,'SegEnds_NonXtal_Prot#'!A:AL,10,FALSE)+8,1)</f>
        <v>P</v>
      </c>
      <c r="Z158" s="50" t="str">
        <f>MID(VLOOKUP($A158,Seqs!$A:$B,2,FALSE),VLOOKUP($A158,'SegEnds_NonXtal_Prot#'!A:AL,10,FALSE)+9,1)</f>
        <v>F</v>
      </c>
      <c r="AA158" s="50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50" t="str">
        <f>MID(VLOOKUP($A158,Seqs!$A:$B,2,FALSE),VLOOKUP($A158,'SegEnds_NonXtal_Prot#'!$A:$AL,22,FALSE)+7,1)</f>
        <v>T</v>
      </c>
      <c r="AD158" s="50" t="str">
        <f>MID(VLOOKUP($A158,Seqs!$A:$B,2,FALSE),VLOOKUP($A158,'SegEnds_NonXtal_Prot#'!$A:$AL,22,FALSE)+8,1)</f>
        <v>L</v>
      </c>
      <c r="AE158" s="50" t="str">
        <f>MID(VLOOKUP($A158,Seqs!$A:$B,2,FALSE),VLOOKUP($A158,'SegEnds_NonXtal_Prot#'!$A:$AL,22,FALSE)+9,1)</f>
        <v>P</v>
      </c>
      <c r="AF158" s="50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50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50" t="str">
        <f>MID(VLOOKUP($A159,Seqs!$A:$B,2,FALSE),VLOOKUP($A159,'SegEnds_NonXtal_Prot#'!A:AL,10,FALSE)+6,1)</f>
        <v>S</v>
      </c>
      <c r="X159" s="50" t="str">
        <f>MID(VLOOKUP($A159,Seqs!$A:$B,2,FALSE),VLOOKUP($A159,'SegEnds_NonXtal_Prot#'!A:AL,10,FALSE)+7,1)</f>
        <v>L</v>
      </c>
      <c r="Y159" s="50" t="str">
        <f>MID(VLOOKUP($A159,Seqs!$A:$B,2,FALSE),VLOOKUP($A159,'SegEnds_NonXtal_Prot#'!A:AL,10,FALSE)+8,1)</f>
        <v>P</v>
      </c>
      <c r="Z159" s="50" t="str">
        <f>MID(VLOOKUP($A159,Seqs!$A:$B,2,FALSE),VLOOKUP($A159,'SegEnds_NonXtal_Prot#'!A:AL,10,FALSE)+9,1)</f>
        <v>F</v>
      </c>
      <c r="AA159" s="50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50" t="str">
        <f>MID(VLOOKUP($A159,Seqs!$A:$B,2,FALSE),VLOOKUP($A159,'SegEnds_NonXtal_Prot#'!$A:$AL,22,FALSE)+7,1)</f>
        <v>C</v>
      </c>
      <c r="AD159" s="50" t="str">
        <f>MID(VLOOKUP($A159,Seqs!$A:$B,2,FALSE),VLOOKUP($A159,'SegEnds_NonXtal_Prot#'!$A:$AL,22,FALSE)+8,1)</f>
        <v>I</v>
      </c>
      <c r="AE159" s="50" t="str">
        <f>MID(VLOOKUP($A159,Seqs!$A:$B,2,FALSE),VLOOKUP($A159,'SegEnds_NonXtal_Prot#'!$A:$AL,22,FALSE)+9,1)</f>
        <v>P</v>
      </c>
      <c r="AF159" s="50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50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50" t="str">
        <f>MID(VLOOKUP($A160,Seqs!$A:$B,2,FALSE),VLOOKUP($A160,'SegEnds_NonXtal_Prot#'!A:AL,10,FALSE)+6,1)</f>
        <v>A</v>
      </c>
      <c r="X160" s="50" t="str">
        <f>MID(VLOOKUP($A160,Seqs!$A:$B,2,FALSE),VLOOKUP($A160,'SegEnds_NonXtal_Prot#'!A:AL,10,FALSE)+7,1)</f>
        <v>I</v>
      </c>
      <c r="Y160" s="50" t="str">
        <f>MID(VLOOKUP($A160,Seqs!$A:$B,2,FALSE),VLOOKUP($A160,'SegEnds_NonXtal_Prot#'!A:AL,10,FALSE)+8,1)</f>
        <v>P</v>
      </c>
      <c r="Z160" s="50" t="str">
        <f>MID(VLOOKUP($A160,Seqs!$A:$B,2,FALSE),VLOOKUP($A160,'SegEnds_NonXtal_Prot#'!A:AL,10,FALSE)+9,1)</f>
        <v>L</v>
      </c>
      <c r="AA160" s="50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50" t="str">
        <f>MID(VLOOKUP($A160,Seqs!$A:$B,2,FALSE),VLOOKUP($A160,'SegEnds_NonXtal_Prot#'!$A:$AL,22,FALSE)+7,1)</f>
        <v>A</v>
      </c>
      <c r="AD160" s="50" t="str">
        <f>MID(VLOOKUP($A160,Seqs!$A:$B,2,FALSE),VLOOKUP($A160,'SegEnds_NonXtal_Prot#'!$A:$AL,22,FALSE)+8,1)</f>
        <v>L</v>
      </c>
      <c r="AE160" s="50" t="str">
        <f>MID(VLOOKUP($A160,Seqs!$A:$B,2,FALSE),VLOOKUP($A160,'SegEnds_NonXtal_Prot#'!$A:$AL,22,FALSE)+9,1)</f>
        <v>P</v>
      </c>
      <c r="AF160" s="50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50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50" t="str">
        <f>MID(VLOOKUP($A161,Seqs!$A:$B,2,FALSE),VLOOKUP($A161,'SegEnds_NonXtal_Prot#'!A:AL,10,FALSE)+6,1)</f>
        <v>S</v>
      </c>
      <c r="X161" s="50" t="str">
        <f>MID(VLOOKUP($A161,Seqs!$A:$B,2,FALSE),VLOOKUP($A161,'SegEnds_NonXtal_Prot#'!A:AL,10,FALSE)+7,1)</f>
        <v>L</v>
      </c>
      <c r="Y161" s="50" t="str">
        <f>MID(VLOOKUP($A161,Seqs!$A:$B,2,FALSE),VLOOKUP($A161,'SegEnds_NonXtal_Prot#'!A:AL,10,FALSE)+8,1)</f>
        <v>P</v>
      </c>
      <c r="Z161" s="50" t="str">
        <f>MID(VLOOKUP($A161,Seqs!$A:$B,2,FALSE),VLOOKUP($A161,'SegEnds_NonXtal_Prot#'!A:AL,10,FALSE)+9,1)</f>
        <v>I</v>
      </c>
      <c r="AA161" s="50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50" t="str">
        <f>MID(VLOOKUP($A161,Seqs!$A:$B,2,FALSE),VLOOKUP($A161,'SegEnds_NonXtal_Prot#'!$A:$AL,22,FALSE)+7,1)</f>
        <v>C</v>
      </c>
      <c r="AD161" s="50" t="str">
        <f>MID(VLOOKUP($A161,Seqs!$A:$B,2,FALSE),VLOOKUP($A161,'SegEnds_NonXtal_Prot#'!$A:$AL,22,FALSE)+8,1)</f>
        <v>S</v>
      </c>
      <c r="AE161" s="50" t="str">
        <f>MID(VLOOKUP($A161,Seqs!$A:$B,2,FALSE),VLOOKUP($A161,'SegEnds_NonXtal_Prot#'!$A:$AL,22,FALSE)+9,1)</f>
        <v>A</v>
      </c>
      <c r="AF161" s="50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50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50" t="str">
        <f>MID(VLOOKUP($A162,Seqs!$A:$B,2,FALSE),VLOOKUP($A162,'SegEnds_NonXtal_Prot#'!A:AL,10,FALSE)+6,1)</f>
        <v>F</v>
      </c>
      <c r="X162" s="50" t="str">
        <f>MID(VLOOKUP($A162,Seqs!$A:$B,2,FALSE),VLOOKUP($A162,'SegEnds_NonXtal_Prot#'!A:AL,10,FALSE)+7,1)</f>
        <v>Q</v>
      </c>
      <c r="Y162" s="50" t="str">
        <f>MID(VLOOKUP($A162,Seqs!$A:$B,2,FALSE),VLOOKUP($A162,'SegEnds_NonXtal_Prot#'!A:AL,10,FALSE)+8,1)</f>
        <v>I</v>
      </c>
      <c r="Z162" s="50" t="str">
        <f>MID(VLOOKUP($A162,Seqs!$A:$B,2,FALSE),VLOOKUP($A162,'SegEnds_NonXtal_Prot#'!A:AL,10,FALSE)+9,1)</f>
        <v>I</v>
      </c>
      <c r="AA162" s="50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50" t="str">
        <f>MID(VLOOKUP($A162,Seqs!$A:$B,2,FALSE),VLOOKUP($A162,'SegEnds_NonXtal_Prot#'!$A:$AL,22,FALSE)+7,1)</f>
        <v>S</v>
      </c>
      <c r="AD162" s="50" t="str">
        <f>MID(VLOOKUP($A162,Seqs!$A:$B,2,FALSE),VLOOKUP($A162,'SegEnds_NonXtal_Prot#'!$A:$AL,22,FALSE)+8,1)</f>
        <v>M</v>
      </c>
      <c r="AE162" s="50" t="str">
        <f>MID(VLOOKUP($A162,Seqs!$A:$B,2,FALSE),VLOOKUP($A162,'SegEnds_NonXtal_Prot#'!$A:$AL,22,FALSE)+9,1)</f>
        <v>L</v>
      </c>
      <c r="AF162" s="50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50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50" t="str">
        <f>MID(VLOOKUP($A163,Seqs!$A:$B,2,FALSE),VLOOKUP($A163,'SegEnds_NonXtal_Prot#'!A:AL,10,FALSE)+6,1)</f>
        <v>T</v>
      </c>
      <c r="X163" s="50" t="str">
        <f>MID(VLOOKUP($A163,Seqs!$A:$B,2,FALSE),VLOOKUP($A163,'SegEnds_NonXtal_Prot#'!A:AL,10,FALSE)+7,1)</f>
        <v>M</v>
      </c>
      <c r="Y163" s="50" t="str">
        <f>MID(VLOOKUP($A163,Seqs!$A:$B,2,FALSE),VLOOKUP($A163,'SegEnds_NonXtal_Prot#'!A:AL,10,FALSE)+8,1)</f>
        <v>P</v>
      </c>
      <c r="Z163" s="50" t="str">
        <f>MID(VLOOKUP($A163,Seqs!$A:$B,2,FALSE),VLOOKUP($A163,'SegEnds_NonXtal_Prot#'!A:AL,10,FALSE)+9,1)</f>
        <v>F</v>
      </c>
      <c r="AA163" s="50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50" t="str">
        <f>MID(VLOOKUP($A163,Seqs!$A:$B,2,FALSE),VLOOKUP($A163,'SegEnds_NonXtal_Prot#'!$A:$AL,22,FALSE)+7,1)</f>
        <v>G</v>
      </c>
      <c r="AD163" s="50" t="str">
        <f>MID(VLOOKUP($A163,Seqs!$A:$B,2,FALSE),VLOOKUP($A163,'SegEnds_NonXtal_Prot#'!$A:$AL,22,FALSE)+8,1)</f>
        <v>I</v>
      </c>
      <c r="AE163" s="50" t="str">
        <f>MID(VLOOKUP($A163,Seqs!$A:$B,2,FALSE),VLOOKUP($A163,'SegEnds_NonXtal_Prot#'!$A:$AL,22,FALSE)+9,1)</f>
        <v>S</v>
      </c>
      <c r="AF163" s="50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50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50" t="str">
        <f>MID(VLOOKUP($A164,Seqs!$A:$B,2,FALSE),VLOOKUP($A164,'SegEnds_NonXtal_Prot#'!A:AL,10,FALSE)+6,1)</f>
        <v>N</v>
      </c>
      <c r="X164" s="50" t="str">
        <f>MID(VLOOKUP($A164,Seqs!$A:$B,2,FALSE),VLOOKUP($A164,'SegEnds_NonXtal_Prot#'!A:AL,10,FALSE)+7,1)</f>
        <v>L</v>
      </c>
      <c r="Y164" s="50" t="str">
        <f>MID(VLOOKUP($A164,Seqs!$A:$B,2,FALSE),VLOOKUP($A164,'SegEnds_NonXtal_Prot#'!A:AL,10,FALSE)+8,1)</f>
        <v>P</v>
      </c>
      <c r="Z164" s="50" t="str">
        <f>MID(VLOOKUP($A164,Seqs!$A:$B,2,FALSE),VLOOKUP($A164,'SegEnds_NonXtal_Prot#'!A:AL,10,FALSE)+9,1)</f>
        <v>L</v>
      </c>
      <c r="AA164" s="50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50" t="str">
        <f>MID(VLOOKUP($A164,Seqs!$A:$B,2,FALSE),VLOOKUP($A164,'SegEnds_NonXtal_Prot#'!$A:$AL,22,FALSE)+7,1)</f>
        <v>N</v>
      </c>
      <c r="AD164" s="50" t="str">
        <f>MID(VLOOKUP($A164,Seqs!$A:$B,2,FALSE),VLOOKUP($A164,'SegEnds_NonXtal_Prot#'!$A:$AL,22,FALSE)+8,1)</f>
        <v>G</v>
      </c>
      <c r="AE164" s="50" t="str">
        <f>MID(VLOOKUP($A164,Seqs!$A:$B,2,FALSE),VLOOKUP($A164,'SegEnds_NonXtal_Prot#'!$A:$AL,22,FALSE)+9,1)</f>
        <v>H</v>
      </c>
      <c r="AF164" s="50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50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ox1r_human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50" t="str">
        <f>MID(VLOOKUP($A165,Seqs!$A:$B,2,FALSE),VLOOKUP($A165,'SegEnds_NonXtal_Prot#'!A:AL,10,FALSE)+6,1)</f>
        <v>F</v>
      </c>
      <c r="X165" s="50" t="str">
        <f>MID(VLOOKUP($A165,Seqs!$A:$B,2,FALSE),VLOOKUP($A165,'SegEnds_NonXtal_Prot#'!A:AL,10,FALSE)+7,1)</f>
        <v>C</v>
      </c>
      <c r="Y165" s="50" t="str">
        <f>MID(VLOOKUP($A165,Seqs!$A:$B,2,FALSE),VLOOKUP($A165,'SegEnds_NonXtal_Prot#'!A:AL,10,FALSE)+8,1)</f>
        <v>I</v>
      </c>
      <c r="Z165" s="50" t="str">
        <f>MID(VLOOKUP($A165,Seqs!$A:$B,2,FALSE),VLOOKUP($A165,'SegEnds_NonXtal_Prot#'!A:AL,10,FALSE)+9,1)</f>
        <v>P</v>
      </c>
      <c r="AA165" s="50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50" t="str">
        <f>MID(VLOOKUP($A165,Seqs!$A:$B,2,FALSE),VLOOKUP($A165,'SegEnds_NonXtal_Prot#'!$A:$AL,22,FALSE)+7,1)</f>
        <v>A</v>
      </c>
      <c r="AD165" s="50" t="str">
        <f>MID(VLOOKUP($A165,Seqs!$A:$B,2,FALSE),VLOOKUP($A165,'SegEnds_NonXtal_Prot#'!$A:$AL,22,FALSE)+8,1)</f>
        <v>S</v>
      </c>
      <c r="AE165" s="50" t="str">
        <f>MID(VLOOKUP($A165,Seqs!$A:$B,2,FALSE),VLOOKUP($A165,'SegEnds_NonXtal_Prot#'!$A:$AL,22,FALSE)+9,1)</f>
        <v>P</v>
      </c>
      <c r="AF165" s="50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50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50" t="str">
        <f>MID(VLOOKUP($A166,Seqs!$A:$B,2,FALSE),VLOOKUP($A166,'SegEnds_NonXtal_Prot#'!A:AL,10,FALSE)+6,1)</f>
        <v>C</v>
      </c>
      <c r="X166" s="50" t="str">
        <f>MID(VLOOKUP($A166,Seqs!$A:$B,2,FALSE),VLOOKUP($A166,'SegEnds_NonXtal_Prot#'!A:AL,10,FALSE)+7,1)</f>
        <v>C</v>
      </c>
      <c r="Y166" s="50" t="str">
        <f>MID(VLOOKUP($A166,Seqs!$A:$B,2,FALSE),VLOOKUP($A166,'SegEnds_NonXtal_Prot#'!A:AL,10,FALSE)+8,1)</f>
        <v>V</v>
      </c>
      <c r="Z166" s="50" t="str">
        <f>MID(VLOOKUP($A166,Seqs!$A:$B,2,FALSE),VLOOKUP($A166,'SegEnds_NonXtal_Prot#'!A:AL,10,FALSE)+9,1)</f>
        <v>P</v>
      </c>
      <c r="AA166" s="50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50" t="str">
        <f>MID(VLOOKUP($A166,Seqs!$A:$B,2,FALSE),VLOOKUP($A166,'SegEnds_NonXtal_Prot#'!$A:$AL,22,FALSE)+7,1)</f>
        <v>S</v>
      </c>
      <c r="AD166" s="50" t="str">
        <f>MID(VLOOKUP($A166,Seqs!$A:$B,2,FALSE),VLOOKUP($A166,'SegEnds_NonXtal_Prot#'!$A:$AL,22,FALSE)+8,1)</f>
        <v>G</v>
      </c>
      <c r="AE166" s="50" t="str">
        <f>MID(VLOOKUP($A166,Seqs!$A:$B,2,FALSE),VLOOKUP($A166,'SegEnds_NonXtal_Prot#'!$A:$AL,22,FALSE)+9,1)</f>
        <v>P</v>
      </c>
      <c r="AF166" s="50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50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50" t="str">
        <f>MID(VLOOKUP($A167,Seqs!$A:$B,2,FALSE),VLOOKUP($A167,'SegEnds_NonXtal_Prot#'!A:AL,10,FALSE)+6,1)</f>
        <v>C</v>
      </c>
      <c r="X167" s="50" t="str">
        <f>MID(VLOOKUP($A167,Seqs!$A:$B,2,FALSE),VLOOKUP($A167,'SegEnds_NonXtal_Prot#'!A:AL,10,FALSE)+7,1)</f>
        <v>C</v>
      </c>
      <c r="Y167" s="50" t="str">
        <f>MID(VLOOKUP($A167,Seqs!$A:$B,2,FALSE),VLOOKUP($A167,'SegEnds_NonXtal_Prot#'!A:AL,10,FALSE)+8,1)</f>
        <v>V</v>
      </c>
      <c r="Z167" s="50" t="str">
        <f>MID(VLOOKUP($A167,Seqs!$A:$B,2,FALSE),VLOOKUP($A167,'SegEnds_NonXtal_Prot#'!A:AL,10,FALSE)+9,1)</f>
        <v>P</v>
      </c>
      <c r="AA167" s="50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50" t="str">
        <f>MID(VLOOKUP($A167,Seqs!$A:$B,2,FALSE),VLOOKUP($A167,'SegEnds_NonXtal_Prot#'!$A:$AL,22,FALSE)+7,1)</f>
        <v>S</v>
      </c>
      <c r="AD167" s="50" t="str">
        <f>MID(VLOOKUP($A167,Seqs!$A:$B,2,FALSE),VLOOKUP($A167,'SegEnds_NonXtal_Prot#'!$A:$AL,22,FALSE)+8,1)</f>
        <v>A</v>
      </c>
      <c r="AE167" s="50" t="str">
        <f>MID(VLOOKUP($A167,Seqs!$A:$B,2,FALSE),VLOOKUP($A167,'SegEnds_NonXtal_Prot#'!$A:$AL,22,FALSE)+9,1)</f>
        <v>P</v>
      </c>
      <c r="AF167" s="50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50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8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50" t="str">
        <f>MID(VLOOKUP($A168,Seqs!$A:$B,2,FALSE),VLOOKUP($A168,'SegEnds_NonXtal_Prot#'!A:AL,10,FALSE)+6,1)</f>
        <v>I</v>
      </c>
      <c r="X168" s="50" t="str">
        <f>MID(VLOOKUP($A168,Seqs!$A:$B,2,FALSE),VLOOKUP($A168,'SegEnds_NonXtal_Prot#'!A:AL,10,FALSE)+7,1)</f>
        <v>V</v>
      </c>
      <c r="Y168" s="50" t="str">
        <f>MID(VLOOKUP($A168,Seqs!$A:$B,2,FALSE),VLOOKUP($A168,'SegEnds_NonXtal_Prot#'!A:AL,10,FALSE)+8,1)</f>
        <v>M</v>
      </c>
      <c r="Z168" s="50" t="str">
        <f>MID(VLOOKUP($A168,Seqs!$A:$B,2,FALSE),VLOOKUP($A168,'SegEnds_NonXtal_Prot#'!A:AL,10,FALSE)+9,1)</f>
        <v>P</v>
      </c>
      <c r="AA168" s="50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50" t="str">
        <f>MID(VLOOKUP($A168,Seqs!$A:$B,2,FALSE),VLOOKUP($A168,'SegEnds_NonXtal_Prot#'!$A:$AL,22,FALSE)+7,1)</f>
        <v>A</v>
      </c>
      <c r="AD168" s="50" t="str">
        <f>MID(VLOOKUP($A168,Seqs!$A:$B,2,FALSE),VLOOKUP($A168,'SegEnds_NonXtal_Prot#'!$A:$AL,22,FALSE)+8,1)</f>
        <v>G</v>
      </c>
      <c r="AE168" s="50" t="str">
        <f>MID(VLOOKUP($A168,Seqs!$A:$B,2,FALSE),VLOOKUP($A168,'SegEnds_NonXtal_Prot#'!$A:$AL,22,FALSE)+9,1)</f>
        <v>P</v>
      </c>
      <c r="AF168" s="50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50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50" t="str">
        <f>MID(VLOOKUP($A169,Seqs!$A:$B,2,FALSE),VLOOKUP($A169,'SegEnds_NonXtal_Prot#'!A:AL,10,FALSE)+6,1)</f>
        <v>T</v>
      </c>
      <c r="X169" s="50" t="str">
        <f>MID(VLOOKUP($A169,Seqs!$A:$B,2,FALSE),VLOOKUP($A169,'SegEnds_NonXtal_Prot#'!A:AL,10,FALSE)+7,1)</f>
        <v>L</v>
      </c>
      <c r="Y169" s="50" t="str">
        <f>MID(VLOOKUP($A169,Seqs!$A:$B,2,FALSE),VLOOKUP($A169,'SegEnds_NonXtal_Prot#'!A:AL,10,FALSE)+8,1)</f>
        <v>P</v>
      </c>
      <c r="Z169" s="50" t="str">
        <f>MID(VLOOKUP($A169,Seqs!$A:$B,2,FALSE),VLOOKUP($A169,'SegEnds_NonXtal_Prot#'!A:AL,10,FALSE)+9,1)</f>
        <v>F</v>
      </c>
      <c r="AA169" s="50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50" t="str">
        <f>MID(VLOOKUP($A169,Seqs!$A:$B,2,FALSE),VLOOKUP($A169,'SegEnds_NonXtal_Prot#'!$A:$AL,22,FALSE)+7,1)</f>
        <v>G</v>
      </c>
      <c r="AD169" s="50" t="str">
        <f>MID(VLOOKUP($A169,Seqs!$A:$B,2,FALSE),VLOOKUP($A169,'SegEnds_NonXtal_Prot#'!$A:$AL,22,FALSE)+8,1)</f>
        <v>L</v>
      </c>
      <c r="AE169" s="50" t="str">
        <f>MID(VLOOKUP($A169,Seqs!$A:$B,2,FALSE),VLOOKUP($A169,'SegEnds_NonXtal_Prot#'!$A:$AL,22,FALSE)+9,1)</f>
        <v>P</v>
      </c>
      <c r="AF169" s="50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50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50" t="str">
        <f>MID(VLOOKUP($A170,Seqs!$A:$B,2,FALSE),VLOOKUP($A170,'SegEnds_NonXtal_Prot#'!A:AL,10,FALSE)+6,1)</f>
        <v>T</v>
      </c>
      <c r="X170" s="50" t="str">
        <f>MID(VLOOKUP($A170,Seqs!$A:$B,2,FALSE),VLOOKUP($A170,'SegEnds_NonXtal_Prot#'!A:AL,10,FALSE)+7,1)</f>
        <v>L</v>
      </c>
      <c r="Y170" s="50" t="str">
        <f>MID(VLOOKUP($A170,Seqs!$A:$B,2,FALSE),VLOOKUP($A170,'SegEnds_NonXtal_Prot#'!A:AL,10,FALSE)+8,1)</f>
        <v>P</v>
      </c>
      <c r="Z170" s="50" t="str">
        <f>MID(VLOOKUP($A170,Seqs!$A:$B,2,FALSE),VLOOKUP($A170,'SegEnds_NonXtal_Prot#'!A:AL,10,FALSE)+9,1)</f>
        <v>F</v>
      </c>
      <c r="AA170" s="50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50" t="str">
        <f>MID(VLOOKUP($A170,Seqs!$A:$B,2,FALSE),VLOOKUP($A170,'SegEnds_NonXtal_Prot#'!$A:$AL,22,FALSE)+7,1)</f>
        <v>G</v>
      </c>
      <c r="AD170" s="50" t="str">
        <f>MID(VLOOKUP($A170,Seqs!$A:$B,2,FALSE),VLOOKUP($A170,'SegEnds_NonXtal_Prot#'!$A:$AL,22,FALSE)+8,1)</f>
        <v>L</v>
      </c>
      <c r="AE170" s="50" t="str">
        <f>MID(VLOOKUP($A170,Seqs!$A:$B,2,FALSE),VLOOKUP($A170,'SegEnds_NonXtal_Prot#'!$A:$AL,22,FALSE)+9,1)</f>
        <v>P</v>
      </c>
      <c r="AF170" s="50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50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50" t="str">
        <f>MID(VLOOKUP($A171,Seqs!$A:$B,2,FALSE),VLOOKUP($A171,'SegEnds_NonXtal_Prot#'!A:AL,10,FALSE)+6,1)</f>
        <v>S</v>
      </c>
      <c r="X171" s="50" t="str">
        <f>MID(VLOOKUP($A171,Seqs!$A:$B,2,FALSE),VLOOKUP($A171,'SegEnds_NonXtal_Prot#'!A:AL,10,FALSE)+7,1)</f>
        <v>V</v>
      </c>
      <c r="Y171" s="50" t="str">
        <f>MID(VLOOKUP($A171,Seqs!$A:$B,2,FALSE),VLOOKUP($A171,'SegEnds_NonXtal_Prot#'!A:AL,10,FALSE)+8,1)</f>
        <v>P</v>
      </c>
      <c r="Z171" s="50" t="str">
        <f>MID(VLOOKUP($A171,Seqs!$A:$B,2,FALSE),VLOOKUP($A171,'SegEnds_NonXtal_Prot#'!A:AL,10,FALSE)+9,1)</f>
        <v>F</v>
      </c>
      <c r="AA171" s="50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50" t="str">
        <f>MID(VLOOKUP($A171,Seqs!$A:$B,2,FALSE),VLOOKUP($A171,'SegEnds_NonXtal_Prot#'!$A:$AL,22,FALSE)+7,1)</f>
        <v>I</v>
      </c>
      <c r="AD171" s="50" t="str">
        <f>MID(VLOOKUP($A171,Seqs!$A:$B,2,FALSE),VLOOKUP($A171,'SegEnds_NonXtal_Prot#'!$A:$AL,22,FALSE)+8,1)</f>
        <v>L</v>
      </c>
      <c r="AE171" s="50" t="str">
        <f>MID(VLOOKUP($A171,Seqs!$A:$B,2,FALSE),VLOOKUP($A171,'SegEnds_NonXtal_Prot#'!$A:$AL,22,FALSE)+9,1)</f>
        <v>P</v>
      </c>
      <c r="AF171" s="50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50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50" t="str">
        <f>MID(VLOOKUP($A172,Seqs!$A:$B,2,FALSE),VLOOKUP($A172,'SegEnds_NonXtal_Prot#'!A:AL,10,FALSE)+6,1)</f>
        <v>G</v>
      </c>
      <c r="X172" s="50" t="str">
        <f>MID(VLOOKUP($A172,Seqs!$A:$B,2,FALSE),VLOOKUP($A172,'SegEnds_NonXtal_Prot#'!A:AL,10,FALSE)+7,1)</f>
        <v>L</v>
      </c>
      <c r="Y172" s="50" t="str">
        <f>MID(VLOOKUP($A172,Seqs!$A:$B,2,FALSE),VLOOKUP($A172,'SegEnds_NonXtal_Prot#'!A:AL,10,FALSE)+8,1)</f>
        <v>P</v>
      </c>
      <c r="Z172" s="50" t="str">
        <f>MID(VLOOKUP($A172,Seqs!$A:$B,2,FALSE),VLOOKUP($A172,'SegEnds_NonXtal_Prot#'!A:AL,10,FALSE)+9,1)</f>
        <v>F</v>
      </c>
      <c r="AA172" s="50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50" t="str">
        <f>MID(VLOOKUP($A172,Seqs!$A:$B,2,FALSE),VLOOKUP($A172,'SegEnds_NonXtal_Prot#'!$A:$AL,22,FALSE)+7,1)</f>
        <v>I</v>
      </c>
      <c r="AD172" s="50" t="str">
        <f>MID(VLOOKUP($A172,Seqs!$A:$B,2,FALSE),VLOOKUP($A172,'SegEnds_NonXtal_Prot#'!$A:$AL,22,FALSE)+8,1)</f>
        <v>L</v>
      </c>
      <c r="AE172" s="50" t="str">
        <f>MID(VLOOKUP($A172,Seqs!$A:$B,2,FALSE),VLOOKUP($A172,'SegEnds_NonXtal_Prot#'!$A:$AL,22,FALSE)+9,1)</f>
        <v>P</v>
      </c>
      <c r="AF172" s="50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50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50" t="str">
        <f>MID(VLOOKUP($A173,Seqs!$A:$B,2,FALSE),VLOOKUP($A173,'SegEnds_NonXtal_Prot#'!A:AL,10,FALSE)+6,1)</f>
        <v>G</v>
      </c>
      <c r="X173" s="50" t="str">
        <f>MID(VLOOKUP($A173,Seqs!$A:$B,2,FALSE),VLOOKUP($A173,'SegEnds_NonXtal_Prot#'!A:AL,10,FALSE)+7,1)</f>
        <v>L</v>
      </c>
      <c r="Y173" s="50" t="str">
        <f>MID(VLOOKUP($A173,Seqs!$A:$B,2,FALSE),VLOOKUP($A173,'SegEnds_NonXtal_Prot#'!A:AL,10,FALSE)+8,1)</f>
        <v>P</v>
      </c>
      <c r="Z173" s="50" t="str">
        <f>MID(VLOOKUP($A173,Seqs!$A:$B,2,FALSE),VLOOKUP($A173,'SegEnds_NonXtal_Prot#'!A:AL,10,FALSE)+9,1)</f>
        <v>F</v>
      </c>
      <c r="AA173" s="50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50" t="str">
        <f>MID(VLOOKUP($A173,Seqs!$A:$B,2,FALSE),VLOOKUP($A173,'SegEnds_NonXtal_Prot#'!$A:$AL,22,FALSE)+7,1)</f>
        <v>S</v>
      </c>
      <c r="AD173" s="50" t="str">
        <f>MID(VLOOKUP($A173,Seqs!$A:$B,2,FALSE),VLOOKUP($A173,'SegEnds_NonXtal_Prot#'!$A:$AL,22,FALSE)+8,1)</f>
        <v>L</v>
      </c>
      <c r="AE173" s="50" t="str">
        <f>MID(VLOOKUP($A173,Seqs!$A:$B,2,FALSE),VLOOKUP($A173,'SegEnds_NonXtal_Prot#'!$A:$AL,22,FALSE)+9,1)</f>
        <v>P</v>
      </c>
      <c r="AF173" s="50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50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50" t="str">
        <f>MID(VLOOKUP($A174,Seqs!$A:$B,2,FALSE),VLOOKUP($A174,'SegEnds_NonXtal_Prot#'!A:AL,10,FALSE)+6,1)</f>
        <v>F</v>
      </c>
      <c r="X174" s="50" t="str">
        <f>MID(VLOOKUP($A174,Seqs!$A:$B,2,FALSE),VLOOKUP($A174,'SegEnds_NonXtal_Prot#'!A:AL,10,FALSE)+7,1)</f>
        <v>Q</v>
      </c>
      <c r="Y174" s="50" t="str">
        <f>MID(VLOOKUP($A174,Seqs!$A:$B,2,FALSE),VLOOKUP($A174,'SegEnds_NonXtal_Prot#'!A:AL,10,FALSE)+8,1)</f>
        <v>V</v>
      </c>
      <c r="Z174" s="50" t="str">
        <f>MID(VLOOKUP($A174,Seqs!$A:$B,2,FALSE),VLOOKUP($A174,'SegEnds_NonXtal_Prot#'!A:AL,10,FALSE)+9,1)</f>
        <v>L</v>
      </c>
      <c r="AA174" s="50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50" t="str">
        <f>MID(VLOOKUP($A174,Seqs!$A:$B,2,FALSE),VLOOKUP($A174,'SegEnds_NonXtal_Prot#'!$A:$AL,22,FALSE)+7,1)</f>
        <v>S</v>
      </c>
      <c r="AD174" s="50" t="str">
        <f>MID(VLOOKUP($A174,Seqs!$A:$B,2,FALSE),VLOOKUP($A174,'SegEnds_NonXtal_Prot#'!$A:$AL,22,FALSE)+8,1)</f>
        <v>T</v>
      </c>
      <c r="AE174" s="50" t="str">
        <f>MID(VLOOKUP($A174,Seqs!$A:$B,2,FALSE),VLOOKUP($A174,'SegEnds_NonXtal_Prot#'!$A:$AL,22,FALSE)+9,1)</f>
        <v>P</v>
      </c>
      <c r="AF174" s="50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50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50" t="str">
        <f>MID(VLOOKUP($A175,Seqs!$A:$B,2,FALSE),VLOOKUP($A175,'SegEnds_NonXtal_Prot#'!A:AL,10,FALSE)+6,1)</f>
        <v>T</v>
      </c>
      <c r="X175" s="50" t="str">
        <f>MID(VLOOKUP($A175,Seqs!$A:$B,2,FALSE),VLOOKUP($A175,'SegEnds_NonXtal_Prot#'!A:AL,10,FALSE)+7,1)</f>
        <v>V</v>
      </c>
      <c r="Y175" s="50" t="str">
        <f>MID(VLOOKUP($A175,Seqs!$A:$B,2,FALSE),VLOOKUP($A175,'SegEnds_NonXtal_Prot#'!A:AL,10,FALSE)+8,1)</f>
        <v>P</v>
      </c>
      <c r="Z175" s="50" t="str">
        <f>MID(VLOOKUP($A175,Seqs!$A:$B,2,FALSE),VLOOKUP($A175,'SegEnds_NonXtal_Prot#'!A:AL,10,FALSE)+9,1)</f>
        <v>F</v>
      </c>
      <c r="AA175" s="50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50" t="str">
        <f>MID(VLOOKUP($A175,Seqs!$A:$B,2,FALSE),VLOOKUP($A175,'SegEnds_NonXtal_Prot#'!$A:$AL,22,FALSE)+7,1)</f>
        <v>V</v>
      </c>
      <c r="AD175" s="50" t="str">
        <f>MID(VLOOKUP($A175,Seqs!$A:$B,2,FALSE),VLOOKUP($A175,'SegEnds_NonXtal_Prot#'!$A:$AL,22,FALSE)+8,1)</f>
        <v>V</v>
      </c>
      <c r="AE175" s="50" t="str">
        <f>MID(VLOOKUP($A175,Seqs!$A:$B,2,FALSE),VLOOKUP($A175,'SegEnds_NonXtal_Prot#'!$A:$AL,22,FALSE)+9,1)</f>
        <v>P</v>
      </c>
      <c r="AF175" s="50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50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5ht2b_human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50" t="str">
        <f>MID(VLOOKUP($A176,Seqs!$A:$B,2,FALSE),VLOOKUP($A176,'SegEnds_NonXtal_Prot#'!A:AL,10,FALSE)+6,1)</f>
        <v>V</v>
      </c>
      <c r="X176" s="50" t="str">
        <f>MID(VLOOKUP($A176,Seqs!$A:$B,2,FALSE),VLOOKUP($A176,'SegEnds_NonXtal_Prot#'!A:AL,10,FALSE)+7,1)</f>
        <v>I</v>
      </c>
      <c r="Y176" s="50" t="str">
        <f>MID(VLOOKUP($A176,Seqs!$A:$B,2,FALSE),VLOOKUP($A176,'SegEnds_NonXtal_Prot#'!A:AL,10,FALSE)+8,1)</f>
        <v>V</v>
      </c>
      <c r="Z176" s="50" t="str">
        <f>MID(VLOOKUP($A176,Seqs!$A:$B,2,FALSE),VLOOKUP($A176,'SegEnds_NonXtal_Prot#'!A:AL,10,FALSE)+9,1)</f>
        <v>F</v>
      </c>
      <c r="AA176" s="50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50" t="str">
        <f>MID(VLOOKUP($A176,Seqs!$A:$B,2,FALSE),VLOOKUP($A176,'SegEnds_NonXtal_Prot#'!$A:$AL,22,FALSE)+7,1)</f>
        <v>T</v>
      </c>
      <c r="AD176" s="50" t="str">
        <f>MID(VLOOKUP($A176,Seqs!$A:$B,2,FALSE),VLOOKUP($A176,'SegEnds_NonXtal_Prot#'!$A:$AL,22,FALSE)+8,1)</f>
        <v>G</v>
      </c>
      <c r="AE176" s="50" t="str">
        <f>MID(VLOOKUP($A176,Seqs!$A:$B,2,FALSE),VLOOKUP($A176,'SegEnds_NonXtal_Prot#'!$A:$AL,22,FALSE)+9,1)</f>
        <v>I</v>
      </c>
      <c r="AF176" s="50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50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50" t="str">
        <f>MID(VLOOKUP($A177,Seqs!$A:$B,2,FALSE),VLOOKUP($A177,'SegEnds_NonXtal_Prot#'!A:AL,10,FALSE)+6,1)</f>
        <v>C</v>
      </c>
      <c r="X177" s="50" t="str">
        <f>MID(VLOOKUP($A177,Seqs!$A:$B,2,FALSE),VLOOKUP($A177,'SegEnds_NonXtal_Prot#'!A:AL,10,FALSE)+7,1)</f>
        <v>C</v>
      </c>
      <c r="Y177" s="50" t="str">
        <f>MID(VLOOKUP($A177,Seqs!$A:$B,2,FALSE),VLOOKUP($A177,'SegEnds_NonXtal_Prot#'!A:AL,10,FALSE)+8,1)</f>
        <v>V</v>
      </c>
      <c r="Z177" s="50" t="str">
        <f>MID(VLOOKUP($A177,Seqs!$A:$B,2,FALSE),VLOOKUP($A177,'SegEnds_NonXtal_Prot#'!A:AL,10,FALSE)+9,1)</f>
        <v>P</v>
      </c>
      <c r="AA177" s="50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50" t="str">
        <f>MID(VLOOKUP($A177,Seqs!$A:$B,2,FALSE),VLOOKUP($A177,'SegEnds_NonXtal_Prot#'!$A:$AL,22,FALSE)+7,1)</f>
        <v>S</v>
      </c>
      <c r="AD177" s="50" t="str">
        <f>MID(VLOOKUP($A177,Seqs!$A:$B,2,FALSE),VLOOKUP($A177,'SegEnds_NonXtal_Prot#'!$A:$AL,22,FALSE)+8,1)</f>
        <v>A</v>
      </c>
      <c r="AE177" s="50" t="str">
        <f>MID(VLOOKUP($A177,Seqs!$A:$B,2,FALSE),VLOOKUP($A177,'SegEnds_NonXtal_Prot#'!$A:$AL,22,FALSE)+9,1)</f>
        <v>P</v>
      </c>
      <c r="AF177" s="50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50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50" t="str">
        <f>MID(VLOOKUP($A178,Seqs!$A:$B,2,FALSE),VLOOKUP($A178,'SegEnds_NonXtal_Prot#'!A:AL,10,FALSE)+6,1)</f>
        <v>G</v>
      </c>
      <c r="X178" s="50" t="str">
        <f>MID(VLOOKUP($A178,Seqs!$A:$B,2,FALSE),VLOOKUP($A178,'SegEnds_NonXtal_Prot#'!A:AL,10,FALSE)+7,1)</f>
        <v>M</v>
      </c>
      <c r="Y178" s="50" t="str">
        <f>MID(VLOOKUP($A178,Seqs!$A:$B,2,FALSE),VLOOKUP($A178,'SegEnds_NonXtal_Prot#'!A:AL,10,FALSE)+8,1)</f>
        <v>P</v>
      </c>
      <c r="Z178" s="50" t="str">
        <f>MID(VLOOKUP($A178,Seqs!$A:$B,2,FALSE),VLOOKUP($A178,'SegEnds_NonXtal_Prot#'!A:AL,10,FALSE)+9,1)</f>
        <v>F</v>
      </c>
      <c r="AA178" s="50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50" t="str">
        <f>MID(VLOOKUP($A178,Seqs!$A:$B,2,FALSE),VLOOKUP($A178,'SegEnds_NonXtal_Prot#'!$A:$AL,22,FALSE)+7,1)</f>
        <v>I</v>
      </c>
      <c r="AD178" s="50" t="str">
        <f>MID(VLOOKUP($A178,Seqs!$A:$B,2,FALSE),VLOOKUP($A178,'SegEnds_NonXtal_Prot#'!$A:$AL,22,FALSE)+8,1)</f>
        <v>T</v>
      </c>
      <c r="AE178" s="50" t="str">
        <f>MID(VLOOKUP($A178,Seqs!$A:$B,2,FALSE),VLOOKUP($A178,'SegEnds_NonXtal_Prot#'!$A:$AL,22,FALSE)+9,1)</f>
        <v>P</v>
      </c>
      <c r="AF178" s="50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50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50" t="str">
        <f>MID(VLOOKUP($A179,Seqs!$A:$B,2,FALSE),VLOOKUP($A179,'SegEnds_NonXtal_Prot#'!A:AL,10,FALSE)+6,1)</f>
        <v>V</v>
      </c>
      <c r="X179" s="50" t="str">
        <f>MID(VLOOKUP($A179,Seqs!$A:$B,2,FALSE),VLOOKUP($A179,'SegEnds_NonXtal_Prot#'!A:AL,10,FALSE)+7,1)</f>
        <v>L</v>
      </c>
      <c r="Y179" s="50" t="str">
        <f>MID(VLOOKUP($A179,Seqs!$A:$B,2,FALSE),VLOOKUP($A179,'SegEnds_NonXtal_Prot#'!A:AL,10,FALSE)+8,1)</f>
        <v>P</v>
      </c>
      <c r="Z179" s="50" t="str">
        <f>MID(VLOOKUP($A179,Seqs!$A:$B,2,FALSE),VLOOKUP($A179,'SegEnds_NonXtal_Prot#'!A:AL,10,FALSE)+9,1)</f>
        <v>I</v>
      </c>
      <c r="AA179" s="50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50" t="str">
        <f>MID(VLOOKUP($A179,Seqs!$A:$B,2,FALSE),VLOOKUP($A179,'SegEnds_NonXtal_Prot#'!$A:$AL,22,FALSE)+7,1)</f>
        <v>V</v>
      </c>
      <c r="AD179" s="50" t="str">
        <f>MID(VLOOKUP($A179,Seqs!$A:$B,2,FALSE),VLOOKUP($A179,'SegEnds_NonXtal_Prot#'!$A:$AL,22,FALSE)+8,1)</f>
        <v>L</v>
      </c>
      <c r="AE179" s="50" t="str">
        <f>MID(VLOOKUP($A179,Seqs!$A:$B,2,FALSE),VLOOKUP($A179,'SegEnds_NonXtal_Prot#'!$A:$AL,22,FALSE)+9,1)</f>
        <v>P</v>
      </c>
      <c r="AF179" s="50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50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50" t="str">
        <f>MID(VLOOKUP($A180,Seqs!$A:$B,2,FALSE),VLOOKUP($A180,'SegEnds_NonXtal_Prot#'!A:AL,10,FALSE)+6,1)</f>
        <v>T</v>
      </c>
      <c r="X180" s="50" t="str">
        <f>MID(VLOOKUP($A180,Seqs!$A:$B,2,FALSE),VLOOKUP($A180,'SegEnds_NonXtal_Prot#'!A:AL,10,FALSE)+7,1)</f>
        <v>L</v>
      </c>
      <c r="Y180" s="50" t="str">
        <f>MID(VLOOKUP($A180,Seqs!$A:$B,2,FALSE),VLOOKUP($A180,'SegEnds_NonXtal_Prot#'!A:AL,10,FALSE)+8,1)</f>
        <v>P</v>
      </c>
      <c r="Z180" s="50" t="str">
        <f>MID(VLOOKUP($A180,Seqs!$A:$B,2,FALSE),VLOOKUP($A180,'SegEnds_NonXtal_Prot#'!A:AL,10,FALSE)+9,1)</f>
        <v>F</v>
      </c>
      <c r="AA180" s="50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50" t="str">
        <f>MID(VLOOKUP($A180,Seqs!$A:$B,2,FALSE),VLOOKUP($A180,'SegEnds_NonXtal_Prot#'!$A:$AL,22,FALSE)+7,1)</f>
        <v>G</v>
      </c>
      <c r="AD180" s="50" t="str">
        <f>MID(VLOOKUP($A180,Seqs!$A:$B,2,FALSE),VLOOKUP($A180,'SegEnds_NonXtal_Prot#'!$A:$AL,22,FALSE)+8,1)</f>
        <v>V</v>
      </c>
      <c r="AE180" s="50" t="str">
        <f>MID(VLOOKUP($A180,Seqs!$A:$B,2,FALSE),VLOOKUP($A180,'SegEnds_NonXtal_Prot#'!$A:$AL,22,FALSE)+9,1)</f>
        <v>P</v>
      </c>
      <c r="AF180" s="50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50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50" t="str">
        <f>MID(VLOOKUP($A181,Seqs!$A:$B,2,FALSE),VLOOKUP($A181,'SegEnds_NonXtal_Prot#'!A:AL,10,FALSE)+6,1)</f>
        <v>G</v>
      </c>
      <c r="X181" s="50" t="str">
        <f>MID(VLOOKUP($A181,Seqs!$A:$B,2,FALSE),VLOOKUP($A181,'SegEnds_NonXtal_Prot#'!A:AL,10,FALSE)+7,1)</f>
        <v>L</v>
      </c>
      <c r="Y181" s="50" t="str">
        <f>MID(VLOOKUP($A181,Seqs!$A:$B,2,FALSE),VLOOKUP($A181,'SegEnds_NonXtal_Prot#'!A:AL,10,FALSE)+8,1)</f>
        <v>P</v>
      </c>
      <c r="Z181" s="50" t="str">
        <f>MID(VLOOKUP($A181,Seqs!$A:$B,2,FALSE),VLOOKUP($A181,'SegEnds_NonXtal_Prot#'!A:AL,10,FALSE)+9,1)</f>
        <v>F</v>
      </c>
      <c r="AA181" s="50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50" t="str">
        <f>MID(VLOOKUP($A181,Seqs!$A:$B,2,FALSE),VLOOKUP($A181,'SegEnds_NonXtal_Prot#'!$A:$AL,22,FALSE)+7,1)</f>
        <v>V</v>
      </c>
      <c r="AD181" s="50" t="str">
        <f>MID(VLOOKUP($A181,Seqs!$A:$B,2,FALSE),VLOOKUP($A181,'SegEnds_NonXtal_Prot#'!$A:$AL,22,FALSE)+8,1)</f>
        <v>L</v>
      </c>
      <c r="AE181" s="50" t="str">
        <f>MID(VLOOKUP($A181,Seqs!$A:$B,2,FALSE),VLOOKUP($A181,'SegEnds_NonXtal_Prot#'!$A:$AL,22,FALSE)+9,1)</f>
        <v>P</v>
      </c>
      <c r="AF181" s="50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50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50" t="str">
        <f>MID(VLOOKUP($A182,Seqs!$A:$B,2,FALSE),VLOOKUP($A182,'SegEnds_NonXtal_Prot#'!A:AL,10,FALSE)+6,1)</f>
        <v>A</v>
      </c>
      <c r="X182" s="50" t="str">
        <f>MID(VLOOKUP($A182,Seqs!$A:$B,2,FALSE),VLOOKUP($A182,'SegEnds_NonXtal_Prot#'!A:AL,10,FALSE)+7,1)</f>
        <v>A</v>
      </c>
      <c r="Y182" s="50" t="str">
        <f>MID(VLOOKUP($A182,Seqs!$A:$B,2,FALSE),VLOOKUP($A182,'SegEnds_NonXtal_Prot#'!A:AL,10,FALSE)+8,1)</f>
        <v>G</v>
      </c>
      <c r="Z182" s="50" t="str">
        <f>MID(VLOOKUP($A182,Seqs!$A:$B,2,FALSE),VLOOKUP($A182,'SegEnds_NonXtal_Prot#'!A:AL,10,FALSE)+9,1)</f>
        <v>L</v>
      </c>
      <c r="AA182" s="50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50" t="str">
        <f>MID(VLOOKUP($A182,Seqs!$A:$B,2,FALSE),VLOOKUP($A182,'SegEnds_NonXtal_Prot#'!$A:$AL,22,FALSE)+7,1)</f>
        <v>C</v>
      </c>
      <c r="AD182" s="50" t="str">
        <f>MID(VLOOKUP($A182,Seqs!$A:$B,2,FALSE),VLOOKUP($A182,'SegEnds_NonXtal_Prot#'!$A:$AL,22,FALSE)+8,1)</f>
        <v>M</v>
      </c>
      <c r="AE182" s="50" t="str">
        <f>MID(VLOOKUP($A182,Seqs!$A:$B,2,FALSE),VLOOKUP($A182,'SegEnds_NonXtal_Prot#'!$A:$AL,22,FALSE)+9,1)</f>
        <v>L</v>
      </c>
      <c r="AF182" s="50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50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50" t="str">
        <f>MID(VLOOKUP($A183,Seqs!$A:$B,2,FALSE),VLOOKUP($A183,'SegEnds_NonXtal_Prot#'!A:AL,10,FALSE)+6,1)</f>
        <v>S</v>
      </c>
      <c r="X183" s="50" t="str">
        <f>MID(VLOOKUP($A183,Seqs!$A:$B,2,FALSE),VLOOKUP($A183,'SegEnds_NonXtal_Prot#'!A:AL,10,FALSE)+7,1)</f>
        <v>I</v>
      </c>
      <c r="Y183" s="50" t="str">
        <f>MID(VLOOKUP($A183,Seqs!$A:$B,2,FALSE),VLOOKUP($A183,'SegEnds_NonXtal_Prot#'!A:AL,10,FALSE)+8,1)</f>
        <v>P</v>
      </c>
      <c r="Z183" s="50" t="str">
        <f>MID(VLOOKUP($A183,Seqs!$A:$B,2,FALSE),VLOOKUP($A183,'SegEnds_NonXtal_Prot#'!A:AL,10,FALSE)+9,1)</f>
        <v>F</v>
      </c>
      <c r="AA183" s="50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50" t="str">
        <f>MID(VLOOKUP($A183,Seqs!$A:$B,2,FALSE),VLOOKUP($A183,'SegEnds_NonXtal_Prot#'!$A:$AL,22,FALSE)+7,1)</f>
        <v>T</v>
      </c>
      <c r="AD183" s="50" t="str">
        <f>MID(VLOOKUP($A183,Seqs!$A:$B,2,FALSE),VLOOKUP($A183,'SegEnds_NonXtal_Prot#'!$A:$AL,22,FALSE)+8,1)</f>
        <v>L</v>
      </c>
      <c r="AE183" s="50" t="str">
        <f>MID(VLOOKUP($A183,Seqs!$A:$B,2,FALSE),VLOOKUP($A183,'SegEnds_NonXtal_Prot#'!$A:$AL,22,FALSE)+9,1)</f>
        <v>P</v>
      </c>
      <c r="AF183" s="50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50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50" t="str">
        <f>MID(VLOOKUP($A184,Seqs!$A:$B,2,FALSE),VLOOKUP($A184,'SegEnds_NonXtal_Prot#'!A:AL,10,FALSE)+6,1)</f>
        <v>F</v>
      </c>
      <c r="X184" s="50" t="str">
        <f>MID(VLOOKUP($A184,Seqs!$A:$B,2,FALSE),VLOOKUP($A184,'SegEnds_NonXtal_Prot#'!A:AL,10,FALSE)+7,1)</f>
        <v>Q</v>
      </c>
      <c r="Y184" s="50" t="str">
        <f>MID(VLOOKUP($A184,Seqs!$A:$B,2,FALSE),VLOOKUP($A184,'SegEnds_NonXtal_Prot#'!A:AL,10,FALSE)+8,1)</f>
        <v>V</v>
      </c>
      <c r="Z184" s="50" t="str">
        <f>MID(VLOOKUP($A184,Seqs!$A:$B,2,FALSE),VLOOKUP($A184,'SegEnds_NonXtal_Prot#'!A:AL,10,FALSE)+9,1)</f>
        <v>L</v>
      </c>
      <c r="AA184" s="50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50" t="str">
        <f>MID(VLOOKUP($A184,Seqs!$A:$B,2,FALSE),VLOOKUP($A184,'SegEnds_NonXtal_Prot#'!$A:$AL,22,FALSE)+7,1)</f>
        <v>S</v>
      </c>
      <c r="AD184" s="50" t="str">
        <f>MID(VLOOKUP($A184,Seqs!$A:$B,2,FALSE),VLOOKUP($A184,'SegEnds_NonXtal_Prot#'!$A:$AL,22,FALSE)+8,1)</f>
        <v>L</v>
      </c>
      <c r="AE184" s="50" t="str">
        <f>MID(VLOOKUP($A184,Seqs!$A:$B,2,FALSE),VLOOKUP($A184,'SegEnds_NonXtal_Prot#'!$A:$AL,22,FALSE)+9,1)</f>
        <v>P</v>
      </c>
      <c r="AF184" s="50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50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50" t="str">
        <f>MID(VLOOKUP($A185,Seqs!$A:$B,2,FALSE),VLOOKUP($A185,'SegEnds_NonXtal_Prot#'!A:AL,10,FALSE)+6,1)</f>
        <v>F</v>
      </c>
      <c r="X185" s="50" t="str">
        <f>MID(VLOOKUP($A185,Seqs!$A:$B,2,FALSE),VLOOKUP($A185,'SegEnds_NonXtal_Prot#'!A:AL,10,FALSE)+7,1)</f>
        <v>Q</v>
      </c>
      <c r="Y185" s="50" t="str">
        <f>MID(VLOOKUP($A185,Seqs!$A:$B,2,FALSE),VLOOKUP($A185,'SegEnds_NonXtal_Prot#'!A:AL,10,FALSE)+8,1)</f>
        <v>V</v>
      </c>
      <c r="Z185" s="50" t="str">
        <f>MID(VLOOKUP($A185,Seqs!$A:$B,2,FALSE),VLOOKUP($A185,'SegEnds_NonXtal_Prot#'!A:AL,10,FALSE)+9,1)</f>
        <v>L</v>
      </c>
      <c r="AA185" s="50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50" t="str">
        <f>MID(VLOOKUP($A185,Seqs!$A:$B,2,FALSE),VLOOKUP($A185,'SegEnds_NonXtal_Prot#'!$A:$AL,22,FALSE)+7,1)</f>
        <v>S</v>
      </c>
      <c r="AD185" s="50" t="str">
        <f>MID(VLOOKUP($A185,Seqs!$A:$B,2,FALSE),VLOOKUP($A185,'SegEnds_NonXtal_Prot#'!$A:$AL,22,FALSE)+8,1)</f>
        <v>L</v>
      </c>
      <c r="AE185" s="50" t="str">
        <f>MID(VLOOKUP($A185,Seqs!$A:$B,2,FALSE),VLOOKUP($A185,'SegEnds_NonXtal_Prot#'!$A:$AL,22,FALSE)+9,1)</f>
        <v>P</v>
      </c>
      <c r="AF185" s="50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50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50" t="str">
        <f>MID(VLOOKUP($A186,Seqs!$A:$B,2,FALSE),VLOOKUP($A186,'SegEnds_NonXtal_Prot#'!A:AL,10,FALSE)+6,1)</f>
        <v>F</v>
      </c>
      <c r="X186" s="50" t="str">
        <f>MID(VLOOKUP($A186,Seqs!$A:$B,2,FALSE),VLOOKUP($A186,'SegEnds_NonXtal_Prot#'!A:AL,10,FALSE)+7,1)</f>
        <v>G</v>
      </c>
      <c r="Y186" s="50" t="str">
        <f>MID(VLOOKUP($A186,Seqs!$A:$B,2,FALSE),VLOOKUP($A186,'SegEnds_NonXtal_Prot#'!A:AL,10,FALSE)+8,1)</f>
        <v>V</v>
      </c>
      <c r="Z186" s="50" t="str">
        <f>MID(VLOOKUP($A186,Seqs!$A:$B,2,FALSE),VLOOKUP($A186,'SegEnds_NonXtal_Prot#'!A:AL,10,FALSE)+9,1)</f>
        <v>T</v>
      </c>
      <c r="AA186" s="50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50" t="str">
        <f>MID(VLOOKUP($A186,Seqs!$A:$B,2,FALSE),VLOOKUP($A186,'SegEnds_NonXtal_Prot#'!$A:$AL,22,FALSE)+7,1)</f>
        <v>A</v>
      </c>
      <c r="AD186" s="50" t="str">
        <f>MID(VLOOKUP($A186,Seqs!$A:$B,2,FALSE),VLOOKUP($A186,'SegEnds_NonXtal_Prot#'!$A:$AL,22,FALSE)+8,1)</f>
        <v>G</v>
      </c>
      <c r="AE186" s="50" t="str">
        <f>MID(VLOOKUP($A186,Seqs!$A:$B,2,FALSE),VLOOKUP($A186,'SegEnds_NonXtal_Prot#'!$A:$AL,22,FALSE)+9,1)</f>
        <v>A</v>
      </c>
      <c r="AF186" s="50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50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50" t="str">
        <f>MID(VLOOKUP($A187,Seqs!$A:$B,2,FALSE),VLOOKUP($A187,'SegEnds_NonXtal_Prot#'!A:AL,10,FALSE)+6,1)</f>
        <v>T</v>
      </c>
      <c r="X187" s="50" t="str">
        <f>MID(VLOOKUP($A187,Seqs!$A:$B,2,FALSE),VLOOKUP($A187,'SegEnds_NonXtal_Prot#'!A:AL,10,FALSE)+7,1)</f>
        <v>Q</v>
      </c>
      <c r="Y187" s="50" t="str">
        <f>MID(VLOOKUP($A187,Seqs!$A:$B,2,FALSE),VLOOKUP($A187,'SegEnds_NonXtal_Prot#'!A:AL,10,FALSE)+8,1)</f>
        <v>A</v>
      </c>
      <c r="Z187" s="50" t="str">
        <f>MID(VLOOKUP($A187,Seqs!$A:$B,2,FALSE),VLOOKUP($A187,'SegEnds_NonXtal_Prot#'!A:AL,10,FALSE)+9,1)</f>
        <v>P</v>
      </c>
      <c r="AA187" s="50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50" t="str">
        <f>MID(VLOOKUP($A187,Seqs!$A:$B,2,FALSE),VLOOKUP($A187,'SegEnds_NonXtal_Prot#'!$A:$AL,22,FALSE)+7,1)</f>
        <v>S</v>
      </c>
      <c r="AD187" s="50" t="str">
        <f>MID(VLOOKUP($A187,Seqs!$A:$B,2,FALSE),VLOOKUP($A187,'SegEnds_NonXtal_Prot#'!$A:$AL,22,FALSE)+8,1)</f>
        <v>L</v>
      </c>
      <c r="AE187" s="50" t="str">
        <f>MID(VLOOKUP($A187,Seqs!$A:$B,2,FALSE),VLOOKUP($A187,'SegEnds_NonXtal_Prot#'!$A:$AL,22,FALSE)+9,1)</f>
        <v>P</v>
      </c>
      <c r="AF187" s="50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50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50" t="str">
        <f>MID(VLOOKUP($A188,Seqs!$A:$B,2,FALSE),VLOOKUP($A188,'SegEnds_NonXtal_Prot#'!A:AL,10,FALSE)+6,1)</f>
        <v>V</v>
      </c>
      <c r="X188" s="50" t="str">
        <f>MID(VLOOKUP($A188,Seqs!$A:$B,2,FALSE),VLOOKUP($A188,'SegEnds_NonXtal_Prot#'!A:AL,10,FALSE)+7,1)</f>
        <v>G</v>
      </c>
      <c r="Y188" s="50" t="str">
        <f>MID(VLOOKUP($A188,Seqs!$A:$B,2,FALSE),VLOOKUP($A188,'SegEnds_NonXtal_Prot#'!A:AL,10,FALSE)+8,1)</f>
        <v>K</v>
      </c>
      <c r="Z188" s="50" t="str">
        <f>MID(VLOOKUP($A188,Seqs!$A:$B,2,FALSE),VLOOKUP($A188,'SegEnds_NonXtal_Prot#'!A:AL,10,FALSE)+9,1)</f>
        <v>P</v>
      </c>
      <c r="AA188" s="50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50" t="str">
        <f>MID(VLOOKUP($A188,Seqs!$A:$B,2,FALSE),VLOOKUP($A188,'SegEnds_NonXtal_Prot#'!$A:$AL,22,FALSE)+7,1)</f>
        <v>T</v>
      </c>
      <c r="AD188" s="50" t="str">
        <f>MID(VLOOKUP($A188,Seqs!$A:$B,2,FALSE),VLOOKUP($A188,'SegEnds_NonXtal_Prot#'!$A:$AL,22,FALSE)+8,1)</f>
        <v>T</v>
      </c>
      <c r="AE188" s="50" t="str">
        <f>MID(VLOOKUP($A188,Seqs!$A:$B,2,FALSE),VLOOKUP($A188,'SegEnds_NonXtal_Prot#'!$A:$AL,22,FALSE)+9,1)</f>
        <v>M</v>
      </c>
      <c r="AF188" s="50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50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50" t="str">
        <f>MID(VLOOKUP($A189,Seqs!$A:$B,2,FALSE),VLOOKUP($A189,'SegEnds_NonXtal_Prot#'!A:AL,10,FALSE)+6,1)</f>
        <v>G</v>
      </c>
      <c r="X189" s="50" t="str">
        <f>MID(VLOOKUP($A189,Seqs!$A:$B,2,FALSE),VLOOKUP($A189,'SegEnds_NonXtal_Prot#'!A:AL,10,FALSE)+7,1)</f>
        <v>G</v>
      </c>
      <c r="Y189" s="50" t="str">
        <f>MID(VLOOKUP($A189,Seqs!$A:$B,2,FALSE),VLOOKUP($A189,'SegEnds_NonXtal_Prot#'!A:AL,10,FALSE)+8,1)</f>
        <v>F</v>
      </c>
      <c r="Z189" s="50" t="str">
        <f>MID(VLOOKUP($A189,Seqs!$A:$B,2,FALSE),VLOOKUP($A189,'SegEnds_NonXtal_Prot#'!A:AL,10,FALSE)+9,1)</f>
        <v>T</v>
      </c>
      <c r="AA189" s="50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50" t="str">
        <f>MID(VLOOKUP($A189,Seqs!$A:$B,2,FALSE),VLOOKUP($A189,'SegEnds_NonXtal_Prot#'!$A:$AL,22,FALSE)+7,1)</f>
        <v>A</v>
      </c>
      <c r="AD189" s="50" t="str">
        <f>MID(VLOOKUP($A189,Seqs!$A:$B,2,FALSE),VLOOKUP($A189,'SegEnds_NonXtal_Prot#'!$A:$AL,22,FALSE)+8,1)</f>
        <v>A</v>
      </c>
      <c r="AE189" s="50" t="str">
        <f>MID(VLOOKUP($A189,Seqs!$A:$B,2,FALSE),VLOOKUP($A189,'SegEnds_NonXtal_Prot#'!$A:$AL,22,FALSE)+9,1)</f>
        <v>P</v>
      </c>
      <c r="AF189" s="50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50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50" t="str">
        <f>MID(VLOOKUP($A190,Seqs!$A:$B,2,FALSE),VLOOKUP($A190,'SegEnds_NonXtal_Prot#'!A:AL,10,FALSE)+6,1)</f>
        <v>S</v>
      </c>
      <c r="X190" s="50" t="str">
        <f>MID(VLOOKUP($A190,Seqs!$A:$B,2,FALSE),VLOOKUP($A190,'SegEnds_NonXtal_Prot#'!A:AL,10,FALSE)+7,1)</f>
        <v>C</v>
      </c>
      <c r="Y190" s="50" t="str">
        <f>MID(VLOOKUP($A190,Seqs!$A:$B,2,FALSE),VLOOKUP($A190,'SegEnds_NonXtal_Prot#'!A:AL,10,FALSE)+8,1)</f>
        <v>G</v>
      </c>
      <c r="Z190" s="50" t="str">
        <f>MID(VLOOKUP($A190,Seqs!$A:$B,2,FALSE),VLOOKUP($A190,'SegEnds_NonXtal_Prot#'!A:AL,10,FALSE)+9,1)</f>
        <v>L</v>
      </c>
      <c r="AA190" s="50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50" t="str">
        <f>MID(VLOOKUP($A190,Seqs!$A:$B,2,FALSE),VLOOKUP($A190,'SegEnds_NonXtal_Prot#'!$A:$AL,22,FALSE)+7,1)</f>
        <v>A</v>
      </c>
      <c r="AD190" s="50" t="str">
        <f>MID(VLOOKUP($A190,Seqs!$A:$B,2,FALSE),VLOOKUP($A190,'SegEnds_NonXtal_Prot#'!$A:$AL,22,FALSE)+8,1)</f>
        <v>A</v>
      </c>
      <c r="AE190" s="50" t="str">
        <f>MID(VLOOKUP($A190,Seqs!$A:$B,2,FALSE),VLOOKUP($A190,'SegEnds_NonXtal_Prot#'!$A:$AL,22,FALSE)+9,1)</f>
        <v>L</v>
      </c>
      <c r="AF190" s="50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50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50" t="str">
        <f>MID(VLOOKUP($A191,Seqs!$A:$B,2,FALSE),VLOOKUP($A191,'SegEnds_NonXtal_Prot#'!A:AL,10,FALSE)+6,1)</f>
        <v>F</v>
      </c>
      <c r="X191" s="50" t="str">
        <f>MID(VLOOKUP($A191,Seqs!$A:$B,2,FALSE),VLOOKUP($A191,'SegEnds_NonXtal_Prot#'!A:AL,10,FALSE)+7,1)</f>
        <v>S</v>
      </c>
      <c r="Y191" s="50" t="str">
        <f>MID(VLOOKUP($A191,Seqs!$A:$B,2,FALSE),VLOOKUP($A191,'SegEnds_NonXtal_Prot#'!A:AL,10,FALSE)+8,1)</f>
        <v>V</v>
      </c>
      <c r="Z191" s="50" t="str">
        <f>MID(VLOOKUP($A191,Seqs!$A:$B,2,FALSE),VLOOKUP($A191,'SegEnds_NonXtal_Prot#'!A:AL,10,FALSE)+9,1)</f>
        <v>F</v>
      </c>
      <c r="AA191" s="50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50" t="str">
        <f>MID(VLOOKUP($A191,Seqs!$A:$B,2,FALSE),VLOOKUP($A191,'SegEnds_NonXtal_Prot#'!$A:$AL,22,FALSE)+7,1)</f>
        <v>S</v>
      </c>
      <c r="AD191" s="50" t="str">
        <f>MID(VLOOKUP($A191,Seqs!$A:$B,2,FALSE),VLOOKUP($A191,'SegEnds_NonXtal_Prot#'!$A:$AL,22,FALSE)+8,1)</f>
        <v>I</v>
      </c>
      <c r="AE191" s="50" t="str">
        <f>MID(VLOOKUP($A191,Seqs!$A:$B,2,FALSE),VLOOKUP($A191,'SegEnds_NonXtal_Prot#'!$A:$AL,22,FALSE)+9,1)</f>
        <v>P</v>
      </c>
      <c r="AF191" s="50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50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50" t="str">
        <f>MID(VLOOKUP($A192,Seqs!$A:$B,2,FALSE),VLOOKUP($A192,'SegEnds_NonXtal_Prot#'!A:AL,10,FALSE)+6,1)</f>
        <v>G</v>
      </c>
      <c r="X192" s="50" t="str">
        <f>MID(VLOOKUP($A192,Seqs!$A:$B,2,FALSE),VLOOKUP($A192,'SegEnds_NonXtal_Prot#'!A:AL,10,FALSE)+7,1)</f>
        <v>G</v>
      </c>
      <c r="Y192" s="50" t="str">
        <f>MID(VLOOKUP($A192,Seqs!$A:$B,2,FALSE),VLOOKUP($A192,'SegEnds_NonXtal_Prot#'!A:AL,10,FALSE)+8,1)</f>
        <v>F</v>
      </c>
      <c r="Z192" s="50" t="str">
        <f>MID(VLOOKUP($A192,Seqs!$A:$B,2,FALSE),VLOOKUP($A192,'SegEnds_NonXtal_Prot#'!A:AL,10,FALSE)+9,1)</f>
        <v>T</v>
      </c>
      <c r="AA192" s="50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50" t="str">
        <f>MID(VLOOKUP($A192,Seqs!$A:$B,2,FALSE),VLOOKUP($A192,'SegEnds_NonXtal_Prot#'!$A:$AL,22,FALSE)+7,1)</f>
        <v>A</v>
      </c>
      <c r="AD192" s="50" t="str">
        <f>MID(VLOOKUP($A192,Seqs!$A:$B,2,FALSE),VLOOKUP($A192,'SegEnds_NonXtal_Prot#'!$A:$AL,22,FALSE)+8,1)</f>
        <v>A</v>
      </c>
      <c r="AE192" s="50" t="str">
        <f>MID(VLOOKUP($A192,Seqs!$A:$B,2,FALSE),VLOOKUP($A192,'SegEnds_NonXtal_Prot#'!$A:$AL,22,FALSE)+9,1)</f>
        <v>P</v>
      </c>
      <c r="AF192" s="50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50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50" t="str">
        <f>MID(VLOOKUP($A193,Seqs!$A:$B,2,FALSE),VLOOKUP($A193,'SegEnds_NonXtal_Prot#'!A:AL,10,FALSE)+6,1)</f>
        <v>I</v>
      </c>
      <c r="X193" s="50" t="str">
        <f>MID(VLOOKUP($A193,Seqs!$A:$B,2,FALSE),VLOOKUP($A193,'SegEnds_NonXtal_Prot#'!A:AL,10,FALSE)+7,1)</f>
        <v>A</v>
      </c>
      <c r="Y193" s="50" t="str">
        <f>MID(VLOOKUP($A193,Seqs!$A:$B,2,FALSE),VLOOKUP($A193,'SegEnds_NonXtal_Prot#'!A:AL,10,FALSE)+8,1)</f>
        <v>S</v>
      </c>
      <c r="Z193" s="50" t="str">
        <f>MID(VLOOKUP($A193,Seqs!$A:$B,2,FALSE),VLOOKUP($A193,'SegEnds_NonXtal_Prot#'!A:AL,10,FALSE)+9,1)</f>
        <v>T</v>
      </c>
      <c r="AA193" s="50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50" t="str">
        <f>MID(VLOOKUP($A193,Seqs!$A:$B,2,FALSE),VLOOKUP($A193,'SegEnds_NonXtal_Prot#'!$A:$AL,22,FALSE)+7,1)</f>
        <v>T</v>
      </c>
      <c r="AD193" s="50" t="str">
        <f>MID(VLOOKUP($A193,Seqs!$A:$B,2,FALSE),VLOOKUP($A193,'SegEnds_NonXtal_Prot#'!$A:$AL,22,FALSE)+8,1)</f>
        <v>A</v>
      </c>
      <c r="AE193" s="50" t="str">
        <f>MID(VLOOKUP($A193,Seqs!$A:$B,2,FALSE),VLOOKUP($A193,'SegEnds_NonXtal_Prot#'!$A:$AL,22,FALSE)+9,1)</f>
        <v>P</v>
      </c>
      <c r="AF193" s="50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50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50" t="str">
        <f>MID(VLOOKUP($A194,Seqs!$A:$B,2,FALSE),VLOOKUP($A194,'SegEnds_NonXtal_Prot#'!A:AL,10,FALSE)+6,1)</f>
        <v>I</v>
      </c>
      <c r="X194" s="50" t="str">
        <f>MID(VLOOKUP($A194,Seqs!$A:$B,2,FALSE),VLOOKUP($A194,'SegEnds_NonXtal_Prot#'!A:AL,10,FALSE)+7,1)</f>
        <v>A</v>
      </c>
      <c r="Y194" s="50" t="str">
        <f>MID(VLOOKUP($A194,Seqs!$A:$B,2,FALSE),VLOOKUP($A194,'SegEnds_NonXtal_Prot#'!A:AL,10,FALSE)+8,1)</f>
        <v>S</v>
      </c>
      <c r="Z194" s="50" t="str">
        <f>MID(VLOOKUP($A194,Seqs!$A:$B,2,FALSE),VLOOKUP($A194,'SegEnds_NonXtal_Prot#'!A:AL,10,FALSE)+9,1)</f>
        <v>T</v>
      </c>
      <c r="AA194" s="50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50" t="str">
        <f>MID(VLOOKUP($A194,Seqs!$A:$B,2,FALSE),VLOOKUP($A194,'SegEnds_NonXtal_Prot#'!$A:$AL,22,FALSE)+7,1)</f>
        <v>T</v>
      </c>
      <c r="AD194" s="50" t="str">
        <f>MID(VLOOKUP($A194,Seqs!$A:$B,2,FALSE),VLOOKUP($A194,'SegEnds_NonXtal_Prot#'!$A:$AL,22,FALSE)+8,1)</f>
        <v>A</v>
      </c>
      <c r="AE194" s="50" t="str">
        <f>MID(VLOOKUP($A194,Seqs!$A:$B,2,FALSE),VLOOKUP($A194,'SegEnds_NonXtal_Prot#'!$A:$AL,22,FALSE)+9,1)</f>
        <v>P</v>
      </c>
      <c r="AF194" s="50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50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50" t="str">
        <f>MID(VLOOKUP($A195,Seqs!$A:$B,2,FALSE),VLOOKUP($A195,'SegEnds_NonXtal_Prot#'!A:AL,10,FALSE)+6,1)</f>
        <v>V</v>
      </c>
      <c r="X195" s="50" t="str">
        <f>MID(VLOOKUP($A195,Seqs!$A:$B,2,FALSE),VLOOKUP($A195,'SegEnds_NonXtal_Prot#'!A:AL,10,FALSE)+7,1)</f>
        <v>N</v>
      </c>
      <c r="Y195" s="50" t="str">
        <f>MID(VLOOKUP($A195,Seqs!$A:$B,2,FALSE),VLOOKUP($A195,'SegEnds_NonXtal_Prot#'!A:AL,10,FALSE)+8,1)</f>
        <v>G</v>
      </c>
      <c r="Z195" s="50" t="str">
        <f>MID(VLOOKUP($A195,Seqs!$A:$B,2,FALSE),VLOOKUP($A195,'SegEnds_NonXtal_Prot#'!A:AL,10,FALSE)+9,1)</f>
        <v>F</v>
      </c>
      <c r="AA195" s="50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50" t="str">
        <f>MID(VLOOKUP($A195,Seqs!$A:$B,2,FALSE),VLOOKUP($A195,'SegEnds_NonXtal_Prot#'!$A:$AL,22,FALSE)+7,1)</f>
        <v>A</v>
      </c>
      <c r="AD195" s="50" t="str">
        <f>MID(VLOOKUP($A195,Seqs!$A:$B,2,FALSE),VLOOKUP($A195,'SegEnds_NonXtal_Prot#'!$A:$AL,22,FALSE)+8,1)</f>
        <v>I</v>
      </c>
      <c r="AE195" s="50" t="str">
        <f>MID(VLOOKUP($A195,Seqs!$A:$B,2,FALSE),VLOOKUP($A195,'SegEnds_NonXtal_Prot#'!$A:$AL,22,FALSE)+9,1)</f>
        <v>G</v>
      </c>
      <c r="AF195" s="50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50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5ht1b_human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50" t="str">
        <f>MID(VLOOKUP($A196,Seqs!$A:$B,2,FALSE),VLOOKUP($A196,'SegEnds_NonXtal_Prot#'!A:AL,10,FALSE)+6,1)</f>
        <v>L</v>
      </c>
      <c r="X196" s="50" t="str">
        <f>MID(VLOOKUP($A196,Seqs!$A:$B,2,FALSE),VLOOKUP($A196,'SegEnds_NonXtal_Prot#'!A:AL,10,FALSE)+7,1)</f>
        <v>C</v>
      </c>
      <c r="Y196" s="50" t="str">
        <f>MID(VLOOKUP($A196,Seqs!$A:$B,2,FALSE),VLOOKUP($A196,'SegEnds_NonXtal_Prot#'!A:AL,10,FALSE)+8,1)</f>
        <v>L</v>
      </c>
      <c r="Z196" s="50" t="str">
        <f>MID(VLOOKUP($A196,Seqs!$A:$B,2,FALSE),VLOOKUP($A196,'SegEnds_NonXtal_Prot#'!A:AL,10,FALSE)+9,1)</f>
        <v>P</v>
      </c>
      <c r="AA196" s="50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50" t="str">
        <f>MID(VLOOKUP($A196,Seqs!$A:$B,2,FALSE),VLOOKUP($A196,'SegEnds_NonXtal_Prot#'!$A:$AL,22,FALSE)+7,1)</f>
        <v>S</v>
      </c>
      <c r="AD196" s="50" t="str">
        <f>MID(VLOOKUP($A196,Seqs!$A:$B,2,FALSE),VLOOKUP($A196,'SegEnds_NonXtal_Prot#'!$A:$AL,22,FALSE)+8,1)</f>
        <v>L</v>
      </c>
      <c r="AE196" s="50" t="str">
        <f>MID(VLOOKUP($A196,Seqs!$A:$B,2,FALSE),VLOOKUP($A196,'SegEnds_NonXtal_Prot#'!$A:$AL,22,FALSE)+9,1)</f>
        <v>P</v>
      </c>
      <c r="AF196" s="50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50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50" t="str">
        <f>MID(VLOOKUP($A197,Seqs!$A:$B,2,FALSE),VLOOKUP($A197,'SegEnds_NonXtal_Prot#'!A:AL,10,FALSE)+6,1)</f>
        <v>G</v>
      </c>
      <c r="X197" s="50" t="str">
        <f>MID(VLOOKUP($A197,Seqs!$A:$B,2,FALSE),VLOOKUP($A197,'SegEnds_NonXtal_Prot#'!A:AL,10,FALSE)+7,1)</f>
        <v>T</v>
      </c>
      <c r="Y197" s="50" t="str">
        <f>MID(VLOOKUP($A197,Seqs!$A:$B,2,FALSE),VLOOKUP($A197,'SegEnds_NonXtal_Prot#'!A:AL,10,FALSE)+8,1)</f>
        <v>A</v>
      </c>
      <c r="Z197" s="50" t="str">
        <f>MID(VLOOKUP($A197,Seqs!$A:$B,2,FALSE),VLOOKUP($A197,'SegEnds_NonXtal_Prot#'!A:AL,10,FALSE)+9,1)</f>
        <v>L</v>
      </c>
      <c r="AA197" s="50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50" t="str">
        <f>MID(VLOOKUP($A197,Seqs!$A:$B,2,FALSE),VLOOKUP($A197,'SegEnds_NonXtal_Prot#'!$A:$AL,22,FALSE)+7,1)</f>
        <v>A</v>
      </c>
      <c r="AD197" s="50" t="str">
        <f>MID(VLOOKUP($A197,Seqs!$A:$B,2,FALSE),VLOOKUP($A197,'SegEnds_NonXtal_Prot#'!$A:$AL,22,FALSE)+8,1)</f>
        <v>L</v>
      </c>
      <c r="AE197" s="50" t="str">
        <f>MID(VLOOKUP($A197,Seqs!$A:$B,2,FALSE),VLOOKUP($A197,'SegEnds_NonXtal_Prot#'!$A:$AL,22,FALSE)+9,1)</f>
        <v>P</v>
      </c>
      <c r="AF197" s="50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50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50" t="str">
        <f>MID(VLOOKUP($A198,Seqs!$A:$B,2,FALSE),VLOOKUP($A198,'SegEnds_NonXtal_Prot#'!A:AL,10,FALSE)+6,1)</f>
        <v>V</v>
      </c>
      <c r="X198" s="50" t="str">
        <f>MID(VLOOKUP($A198,Seqs!$A:$B,2,FALSE),VLOOKUP($A198,'SegEnds_NonXtal_Prot#'!A:AL,10,FALSE)+7,1)</f>
        <v>C</v>
      </c>
      <c r="Y198" s="50" t="str">
        <f>MID(VLOOKUP($A198,Seqs!$A:$B,2,FALSE),VLOOKUP($A198,'SegEnds_NonXtal_Prot#'!A:AL,10,FALSE)+8,1)</f>
        <v>V</v>
      </c>
      <c r="Z198" s="50" t="str">
        <f>MID(VLOOKUP($A198,Seqs!$A:$B,2,FALSE),VLOOKUP($A198,'SegEnds_NonXtal_Prot#'!A:AL,10,FALSE)+9,1)</f>
        <v>P</v>
      </c>
      <c r="AA198" s="50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50" t="str">
        <f>MID(VLOOKUP($A198,Seqs!$A:$B,2,FALSE),VLOOKUP($A198,'SegEnds_NonXtal_Prot#'!$A:$AL,22,FALSE)+7,1)</f>
        <v>S</v>
      </c>
      <c r="AD198" s="50" t="str">
        <f>MID(VLOOKUP($A198,Seqs!$A:$B,2,FALSE),VLOOKUP($A198,'SegEnds_NonXtal_Prot#'!$A:$AL,22,FALSE)+8,1)</f>
        <v>V</v>
      </c>
      <c r="AE198" s="50" t="str">
        <f>MID(VLOOKUP($A198,Seqs!$A:$B,2,FALSE),VLOOKUP($A198,'SegEnds_NonXtal_Prot#'!$A:$AL,22,FALSE)+9,1)</f>
        <v>P</v>
      </c>
      <c r="AF198" s="50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50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50" t="str">
        <f>MID(VLOOKUP($A199,Seqs!$A:$B,2,FALSE),VLOOKUP($A199,'SegEnds_NonXtal_Prot#'!A:AL,10,FALSE)+6,1)</f>
        <v>L</v>
      </c>
      <c r="X199" s="50" t="str">
        <f>MID(VLOOKUP($A199,Seqs!$A:$B,2,FALSE),VLOOKUP($A199,'SegEnds_NonXtal_Prot#'!A:AL,10,FALSE)+7,1)</f>
        <v>D</v>
      </c>
      <c r="Y199" s="50" t="str">
        <f>MID(VLOOKUP($A199,Seqs!$A:$B,2,FALSE),VLOOKUP($A199,'SegEnds_NonXtal_Prot#'!A:AL,10,FALSE)+8,1)</f>
        <v>M</v>
      </c>
      <c r="Z199" s="50" t="str">
        <f>MID(VLOOKUP($A199,Seqs!$A:$B,2,FALSE),VLOOKUP($A199,'SegEnds_NonXtal_Prot#'!A:AL,10,FALSE)+9,1)</f>
        <v>P</v>
      </c>
      <c r="AA199" s="50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50" t="str">
        <f>MID(VLOOKUP($A199,Seqs!$A:$B,2,FALSE),VLOOKUP($A199,'SegEnds_NonXtal_Prot#'!$A:$AL,22,FALSE)+7,1)</f>
        <v>S</v>
      </c>
      <c r="AD199" s="50" t="str">
        <f>MID(VLOOKUP($A199,Seqs!$A:$B,2,FALSE),VLOOKUP($A199,'SegEnds_NonXtal_Prot#'!$A:$AL,22,FALSE)+8,1)</f>
        <v>G</v>
      </c>
      <c r="AE199" s="50" t="str">
        <f>MID(VLOOKUP($A199,Seqs!$A:$B,2,FALSE),VLOOKUP($A199,'SegEnds_NonXtal_Prot#'!$A:$AL,22,FALSE)+9,1)</f>
        <v>A</v>
      </c>
      <c r="AF199" s="50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50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50" t="str">
        <f>MID(VLOOKUP($A200,Seqs!$A:$B,2,FALSE),VLOOKUP($A200,'SegEnds_NonXtal_Prot#'!A:AL,10,FALSE)+6,1)</f>
        <v>L</v>
      </c>
      <c r="X200" s="50" t="str">
        <f>MID(VLOOKUP($A200,Seqs!$A:$B,2,FALSE),VLOOKUP($A200,'SegEnds_NonXtal_Prot#'!A:AL,10,FALSE)+7,1)</f>
        <v>L</v>
      </c>
      <c r="Y200" s="50" t="str">
        <f>MID(VLOOKUP($A200,Seqs!$A:$B,2,FALSE),VLOOKUP($A200,'SegEnds_NonXtal_Prot#'!A:AL,10,FALSE)+8,1)</f>
        <v>Q</v>
      </c>
      <c r="Z200" s="50" t="str">
        <f>MID(VLOOKUP($A200,Seqs!$A:$B,2,FALSE),VLOOKUP($A200,'SegEnds_NonXtal_Prot#'!A:AL,10,FALSE)+9,1)</f>
        <v>P</v>
      </c>
      <c r="AA200" s="50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50" t="str">
        <f>MID(VLOOKUP($A200,Seqs!$A:$B,2,FALSE),VLOOKUP($A200,'SegEnds_NonXtal_Prot#'!$A:$AL,22,FALSE)+7,1)</f>
        <v>F</v>
      </c>
      <c r="AD200" s="50" t="str">
        <f>MID(VLOOKUP($A200,Seqs!$A:$B,2,FALSE),VLOOKUP($A200,'SegEnds_NonXtal_Prot#'!$A:$AL,22,FALSE)+8,1)</f>
        <v>A</v>
      </c>
      <c r="AE200" s="50" t="str">
        <f>MID(VLOOKUP($A200,Seqs!$A:$B,2,FALSE),VLOOKUP($A200,'SegEnds_NonXtal_Prot#'!$A:$AL,22,FALSE)+9,1)</f>
        <v>P</v>
      </c>
      <c r="AF200" s="50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50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50" t="str">
        <f>MID(VLOOKUP($A201,Seqs!$A:$B,2,FALSE),VLOOKUP($A201,'SegEnds_NonXtal_Prot#'!A:AL,10,FALSE)+6,1)</f>
        <v>F</v>
      </c>
      <c r="X201" s="50" t="str">
        <f>MID(VLOOKUP($A201,Seqs!$A:$B,2,FALSE),VLOOKUP($A201,'SegEnds_NonXtal_Prot#'!A:AL,10,FALSE)+7,1)</f>
        <v>N</v>
      </c>
      <c r="Y201" s="50" t="str">
        <f>MID(VLOOKUP($A201,Seqs!$A:$B,2,FALSE),VLOOKUP($A201,'SegEnds_NonXtal_Prot#'!A:AL,10,FALSE)+8,1)</f>
        <v>A</v>
      </c>
      <c r="Z201" s="50" t="str">
        <f>MID(VLOOKUP($A201,Seqs!$A:$B,2,FALSE),VLOOKUP($A201,'SegEnds_NonXtal_Prot#'!A:AL,10,FALSE)+9,1)</f>
        <v>A</v>
      </c>
      <c r="AA201" s="50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50" t="str">
        <f>MID(VLOOKUP($A201,Seqs!$A:$B,2,FALSE),VLOOKUP($A201,'SegEnds_NonXtal_Prot#'!$A:$AL,22,FALSE)+7,1)</f>
        <v>A</v>
      </c>
      <c r="AD201" s="50" t="str">
        <f>MID(VLOOKUP($A201,Seqs!$A:$B,2,FALSE),VLOOKUP($A201,'SegEnds_NonXtal_Prot#'!$A:$AL,22,FALSE)+8,1)</f>
        <v>S</v>
      </c>
      <c r="AE201" s="50" t="str">
        <f>MID(VLOOKUP($A201,Seqs!$A:$B,2,FALSE),VLOOKUP($A201,'SegEnds_NonXtal_Prot#'!$A:$AL,22,FALSE)+9,1)</f>
        <v>P</v>
      </c>
      <c r="AF201" s="50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50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50" t="str">
        <f>MID(VLOOKUP($A202,Seqs!$A:$B,2,FALSE),VLOOKUP($A202,'SegEnds_NonXtal_Prot#'!A:AL,10,FALSE)+6,1)</f>
        <v>F</v>
      </c>
      <c r="X202" s="50" t="str">
        <f>MID(VLOOKUP($A202,Seqs!$A:$B,2,FALSE),VLOOKUP($A202,'SegEnds_NonXtal_Prot#'!A:AL,10,FALSE)+7,1)</f>
        <v>C</v>
      </c>
      <c r="Y202" s="50" t="str">
        <f>MID(VLOOKUP($A202,Seqs!$A:$B,2,FALSE),VLOOKUP($A202,'SegEnds_NonXtal_Prot#'!A:AL,10,FALSE)+8,1)</f>
        <v>M</v>
      </c>
      <c r="Z202" s="50" t="str">
        <f>MID(VLOOKUP($A202,Seqs!$A:$B,2,FALSE),VLOOKUP($A202,'SegEnds_NonXtal_Prot#'!A:AL,10,FALSE)+9,1)</f>
        <v>P</v>
      </c>
      <c r="AA202" s="50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50" t="str">
        <f>MID(VLOOKUP($A202,Seqs!$A:$B,2,FALSE),VLOOKUP($A202,'SegEnds_NonXtal_Prot#'!$A:$AL,22,FALSE)+7,1)</f>
        <v>M</v>
      </c>
      <c r="AD202" s="50" t="str">
        <f>MID(VLOOKUP($A202,Seqs!$A:$B,2,FALSE),VLOOKUP($A202,'SegEnds_NonXtal_Prot#'!$A:$AL,22,FALSE)+8,1)</f>
        <v>S</v>
      </c>
      <c r="AE202" s="50" t="str">
        <f>MID(VLOOKUP($A202,Seqs!$A:$B,2,FALSE),VLOOKUP($A202,'SegEnds_NonXtal_Prot#'!$A:$AL,22,FALSE)+9,1)</f>
        <v>P</v>
      </c>
      <c r="AF202" s="50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50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50" t="str">
        <f>MID(VLOOKUP($A203,Seqs!$A:$B,2,FALSE),VLOOKUP($A203,'SegEnds_NonXtal_Prot#'!A:AL,10,FALSE)+6,1)</f>
        <v>L</v>
      </c>
      <c r="X203" s="50" t="str">
        <f>MID(VLOOKUP($A203,Seqs!$A:$B,2,FALSE),VLOOKUP($A203,'SegEnds_NonXtal_Prot#'!A:AL,10,FALSE)+7,1)</f>
        <v>C</v>
      </c>
      <c r="Y203" s="50" t="str">
        <f>MID(VLOOKUP($A203,Seqs!$A:$B,2,FALSE),VLOOKUP($A203,'SegEnds_NonXtal_Prot#'!A:AL,10,FALSE)+8,1)</f>
        <v>L</v>
      </c>
      <c r="Z203" s="50" t="str">
        <f>MID(VLOOKUP($A203,Seqs!$A:$B,2,FALSE),VLOOKUP($A203,'SegEnds_NonXtal_Prot#'!A:AL,10,FALSE)+9,1)</f>
        <v>P</v>
      </c>
      <c r="AA203" s="50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50" t="str">
        <f>MID(VLOOKUP($A203,Seqs!$A:$B,2,FALSE),VLOOKUP($A203,'SegEnds_NonXtal_Prot#'!$A:$AL,22,FALSE)+7,1)</f>
        <v>A</v>
      </c>
      <c r="AD203" s="50" t="str">
        <f>MID(VLOOKUP($A203,Seqs!$A:$B,2,FALSE),VLOOKUP($A203,'SegEnds_NonXtal_Prot#'!$A:$AL,22,FALSE)+8,1)</f>
        <v>S</v>
      </c>
      <c r="AE203" s="50" t="str">
        <f>MID(VLOOKUP($A203,Seqs!$A:$B,2,FALSE),VLOOKUP($A203,'SegEnds_NonXtal_Prot#'!$A:$AL,22,FALSE)+9,1)</f>
        <v>P</v>
      </c>
      <c r="AF203" s="50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50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50" t="str">
        <f>MID(VLOOKUP($A204,Seqs!$A:$B,2,FALSE),VLOOKUP($A204,'SegEnds_NonXtal_Prot#'!A:AL,10,FALSE)+6,1)</f>
        <v>I</v>
      </c>
      <c r="X204" s="50" t="str">
        <f>MID(VLOOKUP($A204,Seqs!$A:$B,2,FALSE),VLOOKUP($A204,'SegEnds_NonXtal_Prot#'!A:AL,10,FALSE)+7,1)</f>
        <v>C</v>
      </c>
      <c r="Y204" s="50" t="str">
        <f>MID(VLOOKUP($A204,Seqs!$A:$B,2,FALSE),VLOOKUP($A204,'SegEnds_NonXtal_Prot#'!A:AL,10,FALSE)+8,1)</f>
        <v>L</v>
      </c>
      <c r="Z204" s="50" t="str">
        <f>MID(VLOOKUP($A204,Seqs!$A:$B,2,FALSE),VLOOKUP($A204,'SegEnds_NonXtal_Prot#'!A:AL,10,FALSE)+9,1)</f>
        <v>P</v>
      </c>
      <c r="AA204" s="50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50" t="str">
        <f>MID(VLOOKUP($A204,Seqs!$A:$B,2,FALSE),VLOOKUP($A204,'SegEnds_NonXtal_Prot#'!$A:$AL,22,FALSE)+7,1)</f>
        <v>M</v>
      </c>
      <c r="AD204" s="50" t="str">
        <f>MID(VLOOKUP($A204,Seqs!$A:$B,2,FALSE),VLOOKUP($A204,'SegEnds_NonXtal_Prot#'!$A:$AL,22,FALSE)+8,1)</f>
        <v>V</v>
      </c>
      <c r="AE204" s="50" t="str">
        <f>MID(VLOOKUP($A204,Seqs!$A:$B,2,FALSE),VLOOKUP($A204,'SegEnds_NonXtal_Prot#'!$A:$AL,22,FALSE)+9,1)</f>
        <v>P</v>
      </c>
      <c r="AF204" s="50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50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50" t="str">
        <f>MID(VLOOKUP($A205,Seqs!$A:$B,2,FALSE),VLOOKUP($A205,'SegEnds_NonXtal_Prot#'!A:AL,10,FALSE)+6,1)</f>
        <v>F</v>
      </c>
      <c r="X205" s="50" t="str">
        <f>MID(VLOOKUP($A205,Seqs!$A:$B,2,FALSE),VLOOKUP($A205,'SegEnds_NonXtal_Prot#'!A:AL,10,FALSE)+7,1)</f>
        <v>Q</v>
      </c>
      <c r="Y205" s="50" t="str">
        <f>MID(VLOOKUP($A205,Seqs!$A:$B,2,FALSE),VLOOKUP($A205,'SegEnds_NonXtal_Prot#'!A:AL,10,FALSE)+8,1)</f>
        <v>V</v>
      </c>
      <c r="Z205" s="50" t="str">
        <f>MID(VLOOKUP($A205,Seqs!$A:$B,2,FALSE),VLOOKUP($A205,'SegEnds_NonXtal_Prot#'!A:AL,10,FALSE)+9,1)</f>
        <v>L</v>
      </c>
      <c r="AA205" s="50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50" t="str">
        <f>MID(VLOOKUP($A205,Seqs!$A:$B,2,FALSE),VLOOKUP($A205,'SegEnds_NonXtal_Prot#'!$A:$AL,22,FALSE)+7,1)</f>
        <v>S</v>
      </c>
      <c r="AD205" s="50" t="str">
        <f>MID(VLOOKUP($A205,Seqs!$A:$B,2,FALSE),VLOOKUP($A205,'SegEnds_NonXtal_Prot#'!$A:$AL,22,FALSE)+8,1)</f>
        <v>A</v>
      </c>
      <c r="AE205" s="50" t="str">
        <f>MID(VLOOKUP($A205,Seqs!$A:$B,2,FALSE),VLOOKUP($A205,'SegEnds_NonXtal_Prot#'!$A:$AL,22,FALSE)+9,1)</f>
        <v>P</v>
      </c>
      <c r="AF205" s="50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50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50" t="str">
        <f>MID(VLOOKUP($A206,Seqs!$A:$B,2,FALSE),VLOOKUP($A206,'SegEnds_NonXtal_Prot#'!A:AL,10,FALSE)+6,1)</f>
        <v>T</v>
      </c>
      <c r="X206" s="50" t="str">
        <f>MID(VLOOKUP($A206,Seqs!$A:$B,2,FALSE),VLOOKUP($A206,'SegEnds_NonXtal_Prot#'!A:AL,10,FALSE)+7,1)</f>
        <v>C</v>
      </c>
      <c r="Y206" s="50" t="str">
        <f>MID(VLOOKUP($A206,Seqs!$A:$B,2,FALSE),VLOOKUP($A206,'SegEnds_NonXtal_Prot#'!A:AL,10,FALSE)+8,1)</f>
        <v>V</v>
      </c>
      <c r="Z206" s="50" t="str">
        <f>MID(VLOOKUP($A206,Seqs!$A:$B,2,FALSE),VLOOKUP($A206,'SegEnds_NonXtal_Prot#'!A:AL,10,FALSE)+9,1)</f>
        <v>P</v>
      </c>
      <c r="AA206" s="50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50" t="str">
        <f>MID(VLOOKUP($A206,Seqs!$A:$B,2,FALSE),VLOOKUP($A206,'SegEnds_NonXtal_Prot#'!$A:$AL,22,FALSE)+7,1)</f>
        <v>A</v>
      </c>
      <c r="AD206" s="50" t="str">
        <f>MID(VLOOKUP($A206,Seqs!$A:$B,2,FALSE),VLOOKUP($A206,'SegEnds_NonXtal_Prot#'!$A:$AL,22,FALSE)+8,1)</f>
        <v>L</v>
      </c>
      <c r="AE206" s="50" t="str">
        <f>MID(VLOOKUP($A206,Seqs!$A:$B,2,FALSE),VLOOKUP($A206,'SegEnds_NonXtal_Prot#'!$A:$AL,22,FALSE)+9,1)</f>
        <v>P</v>
      </c>
      <c r="AF206" s="50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50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50" t="str">
        <f>MID(VLOOKUP($A207,Seqs!$A:$B,2,FALSE),VLOOKUP($A207,'SegEnds_NonXtal_Prot#'!A:AL,10,FALSE)+6,1)</f>
        <v>F</v>
      </c>
      <c r="X207" s="50" t="str">
        <f>MID(VLOOKUP($A207,Seqs!$A:$B,2,FALSE),VLOOKUP($A207,'SegEnds_NonXtal_Prot#'!A:AL,10,FALSE)+7,1)</f>
        <v>C</v>
      </c>
      <c r="Y207" s="50" t="str">
        <f>MID(VLOOKUP($A207,Seqs!$A:$B,2,FALSE),VLOOKUP($A207,'SegEnds_NonXtal_Prot#'!A:AL,10,FALSE)+8,1)</f>
        <v>M</v>
      </c>
      <c r="Z207" s="50" t="str">
        <f>MID(VLOOKUP($A207,Seqs!$A:$B,2,FALSE),VLOOKUP($A207,'SegEnds_NonXtal_Prot#'!A:AL,10,FALSE)+9,1)</f>
        <v>P</v>
      </c>
      <c r="AA207" s="50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50" t="str">
        <f>MID(VLOOKUP($A207,Seqs!$A:$B,2,FALSE),VLOOKUP($A207,'SegEnds_NonXtal_Prot#'!$A:$AL,22,FALSE)+7,1)</f>
        <v>M</v>
      </c>
      <c r="AD207" s="50" t="str">
        <f>MID(VLOOKUP($A207,Seqs!$A:$B,2,FALSE),VLOOKUP($A207,'SegEnds_NonXtal_Prot#'!$A:$AL,22,FALSE)+8,1)</f>
        <v>T</v>
      </c>
      <c r="AE207" s="50" t="str">
        <f>MID(VLOOKUP($A207,Seqs!$A:$B,2,FALSE),VLOOKUP($A207,'SegEnds_NonXtal_Prot#'!$A:$AL,22,FALSE)+9,1)</f>
        <v>P</v>
      </c>
      <c r="AF207" s="50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50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50" t="str">
        <f>MID(VLOOKUP($A208,Seqs!$A:$B,2,FALSE),VLOOKUP($A208,'SegEnds_NonXtal_Prot#'!A:AL,10,FALSE)+6,1)</f>
        <v>A</v>
      </c>
      <c r="X208" s="50" t="str">
        <f>MID(VLOOKUP($A208,Seqs!$A:$B,2,FALSE),VLOOKUP($A208,'SegEnds_NonXtal_Prot#'!A:AL,10,FALSE)+7,1)</f>
        <v>C</v>
      </c>
      <c r="Y208" s="50" t="str">
        <f>MID(VLOOKUP($A208,Seqs!$A:$B,2,FALSE),VLOOKUP($A208,'SegEnds_NonXtal_Prot#'!A:AL,10,FALSE)+8,1)</f>
        <v>M</v>
      </c>
      <c r="Z208" s="50" t="str">
        <f>MID(VLOOKUP($A208,Seqs!$A:$B,2,FALSE),VLOOKUP($A208,'SegEnds_NonXtal_Prot#'!A:AL,10,FALSE)+9,1)</f>
        <v>P</v>
      </c>
      <c r="AA208" s="50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50" t="str">
        <f>MID(VLOOKUP($A208,Seqs!$A:$B,2,FALSE),VLOOKUP($A208,'SegEnds_NonXtal_Prot#'!$A:$AL,22,FALSE)+7,1)</f>
        <v>M</v>
      </c>
      <c r="AD208" s="50" t="str">
        <f>MID(VLOOKUP($A208,Seqs!$A:$B,2,FALSE),VLOOKUP($A208,'SegEnds_NonXtal_Prot#'!$A:$AL,22,FALSE)+8,1)</f>
        <v>V</v>
      </c>
      <c r="AE208" s="50" t="str">
        <f>MID(VLOOKUP($A208,Seqs!$A:$B,2,FALSE),VLOOKUP($A208,'SegEnds_NonXtal_Prot#'!$A:$AL,22,FALSE)+9,1)</f>
        <v>P</v>
      </c>
      <c r="AF208" s="50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50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50" t="str">
        <f>MID(VLOOKUP($A209,Seqs!$A:$B,2,FALSE),VLOOKUP($A209,'SegEnds_NonXtal_Prot#'!A:AL,10,FALSE)+6,1)</f>
        <v>F</v>
      </c>
      <c r="X209" s="50" t="str">
        <f>MID(VLOOKUP($A209,Seqs!$A:$B,2,FALSE),VLOOKUP($A209,'SegEnds_NonXtal_Prot#'!A:AL,10,FALSE)+7,1)</f>
        <v>S</v>
      </c>
      <c r="Y209" s="50" t="str">
        <f>MID(VLOOKUP($A209,Seqs!$A:$B,2,FALSE),VLOOKUP($A209,'SegEnds_NonXtal_Prot#'!A:AL,10,FALSE)+8,1)</f>
        <v>A</v>
      </c>
      <c r="Z209" s="50" t="str">
        <f>MID(VLOOKUP($A209,Seqs!$A:$B,2,FALSE),VLOOKUP($A209,'SegEnds_NonXtal_Prot#'!A:AL,10,FALSE)+9,1)</f>
        <v>P</v>
      </c>
      <c r="AA209" s="50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50" t="str">
        <f>MID(VLOOKUP($A209,Seqs!$A:$B,2,FALSE),VLOOKUP($A209,'SegEnds_NonXtal_Prot#'!$A:$AL,22,FALSE)+7,1)</f>
        <v>P</v>
      </c>
      <c r="AD209" s="50" t="str">
        <f>MID(VLOOKUP($A209,Seqs!$A:$B,2,FALSE),VLOOKUP($A209,'SegEnds_NonXtal_Prot#'!$A:$AL,22,FALSE)+8,1)</f>
        <v>L</v>
      </c>
      <c r="AE209" s="50" t="str">
        <f>MID(VLOOKUP($A209,Seqs!$A:$B,2,FALSE),VLOOKUP($A209,'SegEnds_NonXtal_Prot#'!$A:$AL,22,FALSE)+9,1)</f>
        <v>P</v>
      </c>
      <c r="AF209" s="50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50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50" t="str">
        <f>MID(VLOOKUP($A210,Seqs!$A:$B,2,FALSE),VLOOKUP($A210,'SegEnds_NonXtal_Prot#'!A:AL,10,FALSE)+6,1)</f>
        <v>A</v>
      </c>
      <c r="X210" s="50" t="str">
        <f>MID(VLOOKUP($A210,Seqs!$A:$B,2,FALSE),VLOOKUP($A210,'SegEnds_NonXtal_Prot#'!A:AL,10,FALSE)+7,1)</f>
        <v>V</v>
      </c>
      <c r="Y210" s="50" t="str">
        <f>MID(VLOOKUP($A210,Seqs!$A:$B,2,FALSE),VLOOKUP($A210,'SegEnds_NonXtal_Prot#'!A:AL,10,FALSE)+8,1)</f>
        <v>P</v>
      </c>
      <c r="Z210" s="50" t="str">
        <f>MID(VLOOKUP($A210,Seqs!$A:$B,2,FALSE),VLOOKUP($A210,'SegEnds_NonXtal_Prot#'!A:AL,10,FALSE)+9,1)</f>
        <v>I</v>
      </c>
      <c r="AA210" s="50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50" t="str">
        <f>MID(VLOOKUP($A210,Seqs!$A:$B,2,FALSE),VLOOKUP($A210,'SegEnds_NonXtal_Prot#'!$A:$AL,22,FALSE)+7,1)</f>
        <v>S</v>
      </c>
      <c r="AD210" s="50" t="str">
        <f>MID(VLOOKUP($A210,Seqs!$A:$B,2,FALSE),VLOOKUP($A210,'SegEnds_NonXtal_Prot#'!$A:$AL,22,FALSE)+8,1)</f>
        <v>A</v>
      </c>
      <c r="AE210" s="50" t="str">
        <f>MID(VLOOKUP($A210,Seqs!$A:$B,2,FALSE),VLOOKUP($A210,'SegEnds_NonXtal_Prot#'!$A:$AL,22,FALSE)+9,1)</f>
        <v>L</v>
      </c>
      <c r="AF210" s="50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50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50" t="str">
        <f>MID(VLOOKUP($A211,Seqs!$A:$B,2,FALSE),VLOOKUP($A211,'SegEnds_NonXtal_Prot#'!A:AL,10,FALSE)+6,1)</f>
        <v>A</v>
      </c>
      <c r="X211" s="50" t="str">
        <f>MID(VLOOKUP($A211,Seqs!$A:$B,2,FALSE),VLOOKUP($A211,'SegEnds_NonXtal_Prot#'!A:AL,10,FALSE)+7,1)</f>
        <v>S</v>
      </c>
      <c r="Y211" s="50" t="str">
        <f>MID(VLOOKUP($A211,Seqs!$A:$B,2,FALSE),VLOOKUP($A211,'SegEnds_NonXtal_Prot#'!A:AL,10,FALSE)+8,1)</f>
        <v>T</v>
      </c>
      <c r="Z211" s="50" t="str">
        <f>MID(VLOOKUP($A211,Seqs!$A:$B,2,FALSE),VLOOKUP($A211,'SegEnds_NonXtal_Prot#'!A:AL,10,FALSE)+9,1)</f>
        <v>P</v>
      </c>
      <c r="AA211" s="50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50" t="str">
        <f>MID(VLOOKUP($A211,Seqs!$A:$B,2,FALSE),VLOOKUP($A211,'SegEnds_NonXtal_Prot#'!$A:$AL,22,FALSE)+7,1)</f>
        <v>V</v>
      </c>
      <c r="AD211" s="50" t="str">
        <f>MID(VLOOKUP($A211,Seqs!$A:$B,2,FALSE),VLOOKUP($A211,'SegEnds_NonXtal_Prot#'!$A:$AL,22,FALSE)+8,1)</f>
        <v>T</v>
      </c>
      <c r="AE211" s="50" t="str">
        <f>MID(VLOOKUP($A211,Seqs!$A:$B,2,FALSE),VLOOKUP($A211,'SegEnds_NonXtal_Prot#'!$A:$AL,22,FALSE)+9,1)</f>
        <v>P</v>
      </c>
      <c r="AF211" s="50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50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50" t="str">
        <f>MID(VLOOKUP($A212,Seqs!$A:$B,2,FALSE),VLOOKUP($A212,'SegEnds_NonXtal_Prot#'!A:AL,10,FALSE)+6,1)</f>
        <v>S</v>
      </c>
      <c r="X212" s="50" t="str">
        <f>MID(VLOOKUP($A212,Seqs!$A:$B,2,FALSE),VLOOKUP($A212,'SegEnds_NonXtal_Prot#'!A:AL,10,FALSE)+7,1)</f>
        <v>C</v>
      </c>
      <c r="Y212" s="50" t="str">
        <f>MID(VLOOKUP($A212,Seqs!$A:$B,2,FALSE),VLOOKUP($A212,'SegEnds_NonXtal_Prot#'!A:AL,10,FALSE)+8,1)</f>
        <v>V</v>
      </c>
      <c r="Z212" s="50" t="str">
        <f>MID(VLOOKUP($A212,Seqs!$A:$B,2,FALSE),VLOOKUP($A212,'SegEnds_NonXtal_Prot#'!A:AL,10,FALSE)+9,1)</f>
        <v>V</v>
      </c>
      <c r="AA212" s="50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50" t="str">
        <f>MID(VLOOKUP($A212,Seqs!$A:$B,2,FALSE),VLOOKUP($A212,'SegEnds_NonXtal_Prot#'!$A:$AL,22,FALSE)+7,1)</f>
        <v>F</v>
      </c>
      <c r="AD212" s="50" t="str">
        <f>MID(VLOOKUP($A212,Seqs!$A:$B,2,FALSE),VLOOKUP($A212,'SegEnds_NonXtal_Prot#'!$A:$AL,22,FALSE)+8,1)</f>
        <v>L</v>
      </c>
      <c r="AE212" s="50" t="str">
        <f>MID(VLOOKUP($A212,Seqs!$A:$B,2,FALSE),VLOOKUP($A212,'SegEnds_NonXtal_Prot#'!$A:$AL,22,FALSE)+9,1)</f>
        <v>P</v>
      </c>
      <c r="AF212" s="50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50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50" t="str">
        <f>MID(VLOOKUP($A213,Seqs!$A:$B,2,FALSE),VLOOKUP($A213,'SegEnds_NonXtal_Prot#'!A:AL,10,FALSE)+6,1)</f>
        <v>V</v>
      </c>
      <c r="X213" s="50" t="str">
        <f>MID(VLOOKUP($A213,Seqs!$A:$B,2,FALSE),VLOOKUP($A213,'SegEnds_NonXtal_Prot#'!A:AL,10,FALSE)+7,1)</f>
        <v>N</v>
      </c>
      <c r="Y213" s="50" t="str">
        <f>MID(VLOOKUP($A213,Seqs!$A:$B,2,FALSE),VLOOKUP($A213,'SegEnds_NonXtal_Prot#'!A:AL,10,FALSE)+8,1)</f>
        <v>M</v>
      </c>
      <c r="Z213" s="50" t="str">
        <f>MID(VLOOKUP($A213,Seqs!$A:$B,2,FALSE),VLOOKUP($A213,'SegEnds_NonXtal_Prot#'!A:AL,10,FALSE)+9,1)</f>
        <v>P</v>
      </c>
      <c r="AA213" s="50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50" t="str">
        <f>MID(VLOOKUP($A213,Seqs!$A:$B,2,FALSE),VLOOKUP($A213,'SegEnds_NonXtal_Prot#'!$A:$AL,22,FALSE)+7,1)</f>
        <v>P</v>
      </c>
      <c r="AD213" s="50" t="str">
        <f>MID(VLOOKUP($A213,Seqs!$A:$B,2,FALSE),VLOOKUP($A213,'SegEnds_NonXtal_Prot#'!$A:$AL,22,FALSE)+8,1)</f>
        <v>A</v>
      </c>
      <c r="AE213" s="50" t="str">
        <f>MID(VLOOKUP($A213,Seqs!$A:$B,2,FALSE),VLOOKUP($A213,'SegEnds_NonXtal_Prot#'!$A:$AL,22,FALSE)+9,1)</f>
        <v>A</v>
      </c>
      <c r="AF213" s="50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50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50" t="str">
        <f>MID(VLOOKUP($A214,Seqs!$A:$B,2,FALSE),VLOOKUP($A214,'SegEnds_NonXtal_Prot#'!A:AL,10,FALSE)+6,1)</f>
        <v>S</v>
      </c>
      <c r="X214" s="50" t="str">
        <f>MID(VLOOKUP($A214,Seqs!$A:$B,2,FALSE),VLOOKUP($A214,'SegEnds_NonXtal_Prot#'!A:AL,10,FALSE)+7,1)</f>
        <v>C</v>
      </c>
      <c r="Y214" s="50" t="str">
        <f>MID(VLOOKUP($A214,Seqs!$A:$B,2,FALSE),VLOOKUP($A214,'SegEnds_NonXtal_Prot#'!A:AL,10,FALSE)+8,1)</f>
        <v>L</v>
      </c>
      <c r="Z214" s="50" t="str">
        <f>MID(VLOOKUP($A214,Seqs!$A:$B,2,FALSE),VLOOKUP($A214,'SegEnds_NonXtal_Prot#'!A:AL,10,FALSE)+9,1)</f>
        <v>V</v>
      </c>
      <c r="AA214" s="50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50" t="str">
        <f>MID(VLOOKUP($A214,Seqs!$A:$B,2,FALSE),VLOOKUP($A214,'SegEnds_NonXtal_Prot#'!$A:$AL,22,FALSE)+7,1)</f>
        <v>F</v>
      </c>
      <c r="AD214" s="50" t="str">
        <f>MID(VLOOKUP($A214,Seqs!$A:$B,2,FALSE),VLOOKUP($A214,'SegEnds_NonXtal_Prot#'!$A:$AL,22,FALSE)+8,1)</f>
        <v>L</v>
      </c>
      <c r="AE214" s="50" t="str">
        <f>MID(VLOOKUP($A214,Seqs!$A:$B,2,FALSE),VLOOKUP($A214,'SegEnds_NonXtal_Prot#'!$A:$AL,22,FALSE)+9,1)</f>
        <v>P</v>
      </c>
      <c r="AF214" s="50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50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50" t="str">
        <f>MID(VLOOKUP($A215,Seqs!$A:$B,2,FALSE),VLOOKUP($A215,'SegEnds_NonXtal_Prot#'!A:AL,10,FALSE)+6,1)</f>
        <v>L</v>
      </c>
      <c r="X215" s="50" t="str">
        <f>MID(VLOOKUP($A215,Seqs!$A:$B,2,FALSE),VLOOKUP($A215,'SegEnds_NonXtal_Prot#'!A:AL,10,FALSE)+7,1)</f>
        <v>N</v>
      </c>
      <c r="Y215" s="50" t="str">
        <f>MID(VLOOKUP($A215,Seqs!$A:$B,2,FALSE),VLOOKUP($A215,'SegEnds_NonXtal_Prot#'!A:AL,10,FALSE)+8,1)</f>
        <v>T</v>
      </c>
      <c r="Z215" s="50" t="str">
        <f>MID(VLOOKUP($A215,Seqs!$A:$B,2,FALSE),VLOOKUP($A215,'SegEnds_NonXtal_Prot#'!A:AL,10,FALSE)+9,1)</f>
        <v>P</v>
      </c>
      <c r="AA215" s="50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50" t="str">
        <f>MID(VLOOKUP($A215,Seqs!$A:$B,2,FALSE),VLOOKUP($A215,'SegEnds_NonXtal_Prot#'!$A:$AL,22,FALSE)+7,1)</f>
        <v>S</v>
      </c>
      <c r="AD215" s="50" t="str">
        <f>MID(VLOOKUP($A215,Seqs!$A:$B,2,FALSE),VLOOKUP($A215,'SegEnds_NonXtal_Prot#'!$A:$AL,22,FALSE)+8,1)</f>
        <v>L</v>
      </c>
      <c r="AE215" s="50" t="str">
        <f>MID(VLOOKUP($A215,Seqs!$A:$B,2,FALSE),VLOOKUP($A215,'SegEnds_NonXtal_Prot#'!$A:$AL,22,FALSE)+9,1)</f>
        <v>P</v>
      </c>
      <c r="AF215" s="50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50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50" t="str">
        <f>MID(VLOOKUP($A216,Seqs!$A:$B,2,FALSE),VLOOKUP($A216,'SegEnds_NonXtal_Prot#'!A:AL,10,FALSE)+6,1)</f>
        <v>Y</v>
      </c>
      <c r="X216" s="50" t="str">
        <f>MID(VLOOKUP($A216,Seqs!$A:$B,2,FALSE),VLOOKUP($A216,'SegEnds_NonXtal_Prot#'!A:AL,10,FALSE)+7,1)</f>
        <v>P</v>
      </c>
      <c r="Y216" s="50" t="str">
        <f>MID(VLOOKUP($A216,Seqs!$A:$B,2,FALSE),VLOOKUP($A216,'SegEnds_NonXtal_Prot#'!A:AL,10,FALSE)+8,1)</f>
        <v>Y</v>
      </c>
      <c r="Z216" s="50" t="str">
        <f>MID(VLOOKUP($A216,Seqs!$A:$B,2,FALSE),VLOOKUP($A216,'SegEnds_NonXtal_Prot#'!A:AL,10,FALSE)+9,1)</f>
        <v>P</v>
      </c>
      <c r="AA216" s="50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50" t="str">
        <f>MID(VLOOKUP($A216,Seqs!$A:$B,2,FALSE),VLOOKUP($A216,'SegEnds_NonXtal_Prot#'!$A:$AL,22,FALSE)+7,1)</f>
        <v>L</v>
      </c>
      <c r="AD216" s="50" t="str">
        <f>MID(VLOOKUP($A216,Seqs!$A:$B,2,FALSE),VLOOKUP($A216,'SegEnds_NonXtal_Prot#'!$A:$AL,22,FALSE)+8,1)</f>
        <v>L</v>
      </c>
      <c r="AE216" s="50" t="str">
        <f>MID(VLOOKUP($A216,Seqs!$A:$B,2,FALSE),VLOOKUP($A216,'SegEnds_NonXtal_Prot#'!$A:$AL,22,FALSE)+9,1)</f>
        <v>P</v>
      </c>
      <c r="AF216" s="50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50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50" t="str">
        <f>MID(VLOOKUP($A217,Seqs!$A:$B,2,FALSE),VLOOKUP($A217,'SegEnds_NonXtal_Prot#'!A:AL,10,FALSE)+6,1)</f>
        <v>Y</v>
      </c>
      <c r="X217" s="50" t="str">
        <f>MID(VLOOKUP($A217,Seqs!$A:$B,2,FALSE),VLOOKUP($A217,'SegEnds_NonXtal_Prot#'!A:AL,10,FALSE)+7,1)</f>
        <v>P</v>
      </c>
      <c r="Y217" s="50" t="str">
        <f>MID(VLOOKUP($A217,Seqs!$A:$B,2,FALSE),VLOOKUP($A217,'SegEnds_NonXtal_Prot#'!A:AL,10,FALSE)+8,1)</f>
        <v>Y</v>
      </c>
      <c r="Z217" s="50" t="str">
        <f>MID(VLOOKUP($A217,Seqs!$A:$B,2,FALSE),VLOOKUP($A217,'SegEnds_NonXtal_Prot#'!A:AL,10,FALSE)+9,1)</f>
        <v>P</v>
      </c>
      <c r="AA217" s="50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50" t="str">
        <f>MID(VLOOKUP($A217,Seqs!$A:$B,2,FALSE),VLOOKUP($A217,'SegEnds_NonXtal_Prot#'!$A:$AL,22,FALSE)+7,1)</f>
        <v>V</v>
      </c>
      <c r="AD217" s="50" t="str">
        <f>MID(VLOOKUP($A217,Seqs!$A:$B,2,FALSE),VLOOKUP($A217,'SegEnds_NonXtal_Prot#'!$A:$AL,22,FALSE)+8,1)</f>
        <v>L</v>
      </c>
      <c r="AE217" s="50" t="str">
        <f>MID(VLOOKUP($A217,Seqs!$A:$B,2,FALSE),VLOOKUP($A217,'SegEnds_NonXtal_Prot#'!$A:$AL,22,FALSE)+9,1)</f>
        <v>P</v>
      </c>
      <c r="AF217" s="50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50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50" t="str">
        <f>MID(VLOOKUP($A218,Seqs!$A:$B,2,FALSE),VLOOKUP($A218,'SegEnds_NonXtal_Prot#'!A:AL,10,FALSE)+6,1)</f>
        <v>F</v>
      </c>
      <c r="X218" s="50" t="str">
        <f>MID(VLOOKUP($A218,Seqs!$A:$B,2,FALSE),VLOOKUP($A218,'SegEnds_NonXtal_Prot#'!A:AL,10,FALSE)+7,1)</f>
        <v>N</v>
      </c>
      <c r="Y218" s="50" t="str">
        <f>MID(VLOOKUP($A218,Seqs!$A:$B,2,FALSE),VLOOKUP($A218,'SegEnds_NonXtal_Prot#'!A:AL,10,FALSE)+8,1)</f>
        <v>T</v>
      </c>
      <c r="Z218" s="50" t="str">
        <f>MID(VLOOKUP($A218,Seqs!$A:$B,2,FALSE),VLOOKUP($A218,'SegEnds_NonXtal_Prot#'!A:AL,10,FALSE)+9,1)</f>
        <v>V</v>
      </c>
      <c r="AA218" s="50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50" t="str">
        <f>MID(VLOOKUP($A218,Seqs!$A:$B,2,FALSE),VLOOKUP($A218,'SegEnds_NonXtal_Prot#'!$A:$AL,22,FALSE)+7,1)</f>
        <v>A</v>
      </c>
      <c r="AD218" s="50" t="str">
        <f>MID(VLOOKUP($A218,Seqs!$A:$B,2,FALSE),VLOOKUP($A218,'SegEnds_NonXtal_Prot#'!$A:$AL,22,FALSE)+8,1)</f>
        <v>F</v>
      </c>
      <c r="AE218" s="50" t="str">
        <f>MID(VLOOKUP($A218,Seqs!$A:$B,2,FALSE),VLOOKUP($A218,'SegEnds_NonXtal_Prot#'!$A:$AL,22,FALSE)+9,1)</f>
        <v>P</v>
      </c>
      <c r="AF218" s="50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50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50" t="str">
        <f>MID(VLOOKUP($A219,Seqs!$A:$B,2,FALSE),VLOOKUP($A219,'SegEnds_NonXtal_Prot#'!A:AL,10,FALSE)+6,1)</f>
        <v>F</v>
      </c>
      <c r="X219" s="50" t="str">
        <f>MID(VLOOKUP($A219,Seqs!$A:$B,2,FALSE),VLOOKUP($A219,'SegEnds_NonXtal_Prot#'!A:AL,10,FALSE)+7,1)</f>
        <v>N</v>
      </c>
      <c r="Y219" s="50" t="str">
        <f>MID(VLOOKUP($A219,Seqs!$A:$B,2,FALSE),VLOOKUP($A219,'SegEnds_NonXtal_Prot#'!A:AL,10,FALSE)+8,1)</f>
        <v>T</v>
      </c>
      <c r="Z219" s="50" t="str">
        <f>MID(VLOOKUP($A219,Seqs!$A:$B,2,FALSE),VLOOKUP($A219,'SegEnds_NonXtal_Prot#'!A:AL,10,FALSE)+9,1)</f>
        <v>L</v>
      </c>
      <c r="AA219" s="50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50" t="str">
        <f>MID(VLOOKUP($A219,Seqs!$A:$B,2,FALSE),VLOOKUP($A219,'SegEnds_NonXtal_Prot#'!$A:$AL,22,FALSE)+7,1)</f>
        <v>A</v>
      </c>
      <c r="AD219" s="50" t="str">
        <f>MID(VLOOKUP($A219,Seqs!$A:$B,2,FALSE),VLOOKUP($A219,'SegEnds_NonXtal_Prot#'!$A:$AL,22,FALSE)+8,1)</f>
        <v>F</v>
      </c>
      <c r="AE219" s="50" t="str">
        <f>MID(VLOOKUP($A219,Seqs!$A:$B,2,FALSE),VLOOKUP($A219,'SegEnds_NonXtal_Prot#'!$A:$AL,22,FALSE)+9,1)</f>
        <v>P</v>
      </c>
      <c r="AF219" s="50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50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50" t="str">
        <f>MID(VLOOKUP($A220,Seqs!$A:$B,2,FALSE),VLOOKUP($A220,'SegEnds_NonXtal_Prot#'!A:AL,10,FALSE)+6,1)</f>
        <v>F</v>
      </c>
      <c r="X220" s="50" t="str">
        <f>MID(VLOOKUP($A220,Seqs!$A:$B,2,FALSE),VLOOKUP($A220,'SegEnds_NonXtal_Prot#'!A:AL,10,FALSE)+7,1)</f>
        <v>C</v>
      </c>
      <c r="Y220" s="50" t="str">
        <f>MID(VLOOKUP($A220,Seqs!$A:$B,2,FALSE),VLOOKUP($A220,'SegEnds_NonXtal_Prot#'!A:AL,10,FALSE)+8,1)</f>
        <v>M</v>
      </c>
      <c r="Z220" s="50" t="str">
        <f>MID(VLOOKUP($A220,Seqs!$A:$B,2,FALSE),VLOOKUP($A220,'SegEnds_NonXtal_Prot#'!A:AL,10,FALSE)+9,1)</f>
        <v>P</v>
      </c>
      <c r="AA220" s="50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50" t="str">
        <f>MID(VLOOKUP($A220,Seqs!$A:$B,2,FALSE),VLOOKUP($A220,'SegEnds_NonXtal_Prot#'!$A:$AL,22,FALSE)+7,1)</f>
        <v>M</v>
      </c>
      <c r="AD220" s="50" t="str">
        <f>MID(VLOOKUP($A220,Seqs!$A:$B,2,FALSE),VLOOKUP($A220,'SegEnds_NonXtal_Prot#'!$A:$AL,22,FALSE)+8,1)</f>
        <v>C</v>
      </c>
      <c r="AE220" s="50" t="str">
        <f>MID(VLOOKUP($A220,Seqs!$A:$B,2,FALSE),VLOOKUP($A220,'SegEnds_NonXtal_Prot#'!$A:$AL,22,FALSE)+9,1)</f>
        <v>P</v>
      </c>
      <c r="AF220" s="50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50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adrb2_human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50" t="str">
        <f>MID(VLOOKUP($A221,Seqs!$A:$B,2,FALSE),VLOOKUP($A221,'SegEnds_NonXtal_Prot#'!A:AL,10,FALSE)+6,1)</f>
        <v>V</v>
      </c>
      <c r="X221" s="50" t="str">
        <f>MID(VLOOKUP($A221,Seqs!$A:$B,2,FALSE),VLOOKUP($A221,'SegEnds_NonXtal_Prot#'!A:AL,10,FALSE)+7,1)</f>
        <v>N</v>
      </c>
      <c r="Y221" s="50" t="str">
        <f>MID(VLOOKUP($A221,Seqs!$A:$B,2,FALSE),VLOOKUP($A221,'SegEnds_NonXtal_Prot#'!A:AL,10,FALSE)+8,1)</f>
        <v>I</v>
      </c>
      <c r="Z221" s="50" t="str">
        <f>MID(VLOOKUP($A221,Seqs!$A:$B,2,FALSE),VLOOKUP($A221,'SegEnds_NonXtal_Prot#'!A:AL,10,FALSE)+9,1)</f>
        <v>L</v>
      </c>
      <c r="AA221" s="50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50" t="str">
        <f>MID(VLOOKUP($A221,Seqs!$A:$B,2,FALSE),VLOOKUP($A221,'SegEnds_NonXtal_Prot#'!$A:$AL,22,FALSE)+7,1)</f>
        <v>S</v>
      </c>
      <c r="AD221" s="50" t="str">
        <f>MID(VLOOKUP($A221,Seqs!$A:$B,2,FALSE),VLOOKUP($A221,'SegEnds_NonXtal_Prot#'!$A:$AL,22,FALSE)+8,1)</f>
        <v>I</v>
      </c>
      <c r="AE221" s="50" t="str">
        <f>MID(VLOOKUP($A221,Seqs!$A:$B,2,FALSE),VLOOKUP($A221,'SegEnds_NonXtal_Prot#'!$A:$AL,22,FALSE)+9,1)</f>
        <v>P</v>
      </c>
      <c r="AF221" s="50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50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50" t="str">
        <f>MID(VLOOKUP($A222,Seqs!$A:$B,2,FALSE),VLOOKUP($A222,'SegEnds_NonXtal_Prot#'!A:AL,10,FALSE)+6,1)</f>
        <v>M</v>
      </c>
      <c r="X222" s="50" t="str">
        <f>MID(VLOOKUP($A222,Seqs!$A:$B,2,FALSE),VLOOKUP($A222,'SegEnds_NonXtal_Prot#'!A:AL,10,FALSE)+7,1)</f>
        <v>C</v>
      </c>
      <c r="Y222" s="50" t="str">
        <f>MID(VLOOKUP($A222,Seqs!$A:$B,2,FALSE),VLOOKUP($A222,'SegEnds_NonXtal_Prot#'!A:AL,10,FALSE)+8,1)</f>
        <v>L</v>
      </c>
      <c r="Z222" s="50" t="str">
        <f>MID(VLOOKUP($A222,Seqs!$A:$B,2,FALSE),VLOOKUP($A222,'SegEnds_NonXtal_Prot#'!A:AL,10,FALSE)+9,1)</f>
        <v>P</v>
      </c>
      <c r="AA222" s="50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50" t="str">
        <f>MID(VLOOKUP($A222,Seqs!$A:$B,2,FALSE),VLOOKUP($A222,'SegEnds_NonXtal_Prot#'!$A:$AL,22,FALSE)+7,1)</f>
        <v>S</v>
      </c>
      <c r="AD222" s="50" t="str">
        <f>MID(VLOOKUP($A222,Seqs!$A:$B,2,FALSE),VLOOKUP($A222,'SegEnds_NonXtal_Prot#'!$A:$AL,22,FALSE)+8,1)</f>
        <v>L</v>
      </c>
      <c r="AE222" s="50" t="str">
        <f>MID(VLOOKUP($A222,Seqs!$A:$B,2,FALSE),VLOOKUP($A222,'SegEnds_NonXtal_Prot#'!$A:$AL,22,FALSE)+9,1)</f>
        <v>P</v>
      </c>
      <c r="AF222" s="50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50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50" t="str">
        <f>MID(VLOOKUP($A223,Seqs!$A:$B,2,FALSE),VLOOKUP($A223,'SegEnds_NonXtal_Prot#'!A:AL,10,FALSE)+6,1)</f>
        <v>L</v>
      </c>
      <c r="X223" s="50" t="str">
        <f>MID(VLOOKUP($A223,Seqs!$A:$B,2,FALSE),VLOOKUP($A223,'SegEnds_NonXtal_Prot#'!A:AL,10,FALSE)+7,1)</f>
        <v>C</v>
      </c>
      <c r="Y223" s="50" t="str">
        <f>MID(VLOOKUP($A223,Seqs!$A:$B,2,FALSE),VLOOKUP($A223,'SegEnds_NonXtal_Prot#'!A:AL,10,FALSE)+8,1)</f>
        <v>Q</v>
      </c>
      <c r="Z223" s="50" t="str">
        <f>MID(VLOOKUP($A223,Seqs!$A:$B,2,FALSE),VLOOKUP($A223,'SegEnds_NonXtal_Prot#'!A:AL,10,FALSE)+9,1)</f>
        <v>P</v>
      </c>
      <c r="AA223" s="50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50" t="str">
        <f>MID(VLOOKUP($A223,Seqs!$A:$B,2,FALSE),VLOOKUP($A223,'SegEnds_NonXtal_Prot#'!$A:$AL,22,FALSE)+7,1)</f>
        <v>S</v>
      </c>
      <c r="AD223" s="50" t="str">
        <f>MID(VLOOKUP($A223,Seqs!$A:$B,2,FALSE),VLOOKUP($A223,'SegEnds_NonXtal_Prot#'!$A:$AL,22,FALSE)+8,1)</f>
        <v>L</v>
      </c>
      <c r="AE223" s="50" t="str">
        <f>MID(VLOOKUP($A223,Seqs!$A:$B,2,FALSE),VLOOKUP($A223,'SegEnds_NonXtal_Prot#'!$A:$AL,22,FALSE)+9,1)</f>
        <v>P</v>
      </c>
      <c r="AF223" s="50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50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50" t="str">
        <f>MID(VLOOKUP($A224,Seqs!$A:$B,2,FALSE),VLOOKUP($A224,'SegEnds_NonXtal_Prot#'!A:AL,10,FALSE)+6,1)</f>
        <v>F</v>
      </c>
      <c r="X224" s="50" t="str">
        <f>MID(VLOOKUP($A224,Seqs!$A:$B,2,FALSE),VLOOKUP($A224,'SegEnds_NonXtal_Prot#'!A:AL,10,FALSE)+7,1)</f>
        <v>C</v>
      </c>
      <c r="Y224" s="50" t="str">
        <f>MID(VLOOKUP($A224,Seqs!$A:$B,2,FALSE),VLOOKUP($A224,'SegEnds_NonXtal_Prot#'!A:AL,10,FALSE)+8,1)</f>
        <v>S</v>
      </c>
      <c r="Z224" s="50" t="str">
        <f>MID(VLOOKUP($A224,Seqs!$A:$B,2,FALSE),VLOOKUP($A224,'SegEnds_NonXtal_Prot#'!A:AL,10,FALSE)+9,1)</f>
        <v>P</v>
      </c>
      <c r="AA224" s="50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50" t="str">
        <f>MID(VLOOKUP($A224,Seqs!$A:$B,2,FALSE),VLOOKUP($A224,'SegEnds_NonXtal_Prot#'!$A:$AL,22,FALSE)+7,1)</f>
        <v>C</v>
      </c>
      <c r="AD224" s="50" t="str">
        <f>MID(VLOOKUP($A224,Seqs!$A:$B,2,FALSE),VLOOKUP($A224,'SegEnds_NonXtal_Prot#'!$A:$AL,22,FALSE)+8,1)</f>
        <v>S</v>
      </c>
      <c r="AE224" s="50" t="str">
        <f>MID(VLOOKUP($A224,Seqs!$A:$B,2,FALSE),VLOOKUP($A224,'SegEnds_NonXtal_Prot#'!$A:$AL,22,FALSE)+9,1)</f>
        <v>P</v>
      </c>
      <c r="AF224" s="50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50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50" t="str">
        <f>MID(VLOOKUP($A225,Seqs!$A:$B,2,FALSE),VLOOKUP($A225,'SegEnds_NonXtal_Prot#'!A:AL,10,FALSE)+6,1)</f>
        <v>M</v>
      </c>
      <c r="X225" s="50" t="str">
        <f>MID(VLOOKUP($A225,Seqs!$A:$B,2,FALSE),VLOOKUP($A225,'SegEnds_NonXtal_Prot#'!A:AL,10,FALSE)+7,1)</f>
        <v>C</v>
      </c>
      <c r="Y225" s="50" t="str">
        <f>MID(VLOOKUP($A225,Seqs!$A:$B,2,FALSE),VLOOKUP($A225,'SegEnds_NonXtal_Prot#'!A:AL,10,FALSE)+8,1)</f>
        <v>I</v>
      </c>
      <c r="Z225" s="50" t="str">
        <f>MID(VLOOKUP($A225,Seqs!$A:$B,2,FALSE),VLOOKUP($A225,'SegEnds_NonXtal_Prot#'!A:AL,10,FALSE)+9,1)</f>
        <v>H</v>
      </c>
      <c r="AA225" s="50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50" t="str">
        <f>MID(VLOOKUP($A225,Seqs!$A:$B,2,FALSE),VLOOKUP($A225,'SegEnds_NonXtal_Prot#'!$A:$AL,22,FALSE)+7,1)</f>
        <v>S</v>
      </c>
      <c r="AD225" s="50" t="str">
        <f>MID(VLOOKUP($A225,Seqs!$A:$B,2,FALSE),VLOOKUP($A225,'SegEnds_NonXtal_Prot#'!$A:$AL,22,FALSE)+8,1)</f>
        <v>I</v>
      </c>
      <c r="AE225" s="50" t="str">
        <f>MID(VLOOKUP($A225,Seqs!$A:$B,2,FALSE),VLOOKUP($A225,'SegEnds_NonXtal_Prot#'!$A:$AL,22,FALSE)+9,1)</f>
        <v>P</v>
      </c>
      <c r="AF225" s="50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50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50" t="str">
        <f>MID(VLOOKUP($A226,Seqs!$A:$B,2,FALSE),VLOOKUP($A226,'SegEnds_NonXtal_Prot#'!A:AL,10,FALSE)+6,1)</f>
        <v>T</v>
      </c>
      <c r="X226" s="50" t="str">
        <f>MID(VLOOKUP($A226,Seqs!$A:$B,2,FALSE),VLOOKUP($A226,'SegEnds_NonXtal_Prot#'!A:AL,10,FALSE)+7,1)</f>
        <v>C</v>
      </c>
      <c r="Y226" s="50" t="str">
        <f>MID(VLOOKUP($A226,Seqs!$A:$B,2,FALSE),VLOOKUP($A226,'SegEnds_NonXtal_Prot#'!A:AL,10,FALSE)+8,1)</f>
        <v>L</v>
      </c>
      <c r="Z226" s="50" t="str">
        <f>MID(VLOOKUP($A226,Seqs!$A:$B,2,FALSE),VLOOKUP($A226,'SegEnds_NonXtal_Prot#'!A:AL,10,FALSE)+9,1)</f>
        <v>P</v>
      </c>
      <c r="AA226" s="50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50" t="str">
        <f>MID(VLOOKUP($A226,Seqs!$A:$B,2,FALSE),VLOOKUP($A226,'SegEnds_NonXtal_Prot#'!$A:$AL,22,FALSE)+7,1)</f>
        <v>M</v>
      </c>
      <c r="AD226" s="50" t="str">
        <f>MID(VLOOKUP($A226,Seqs!$A:$B,2,FALSE),VLOOKUP($A226,'SegEnds_NonXtal_Prot#'!$A:$AL,22,FALSE)+8,1)</f>
        <v>I</v>
      </c>
      <c r="AE226" s="50" t="str">
        <f>MID(VLOOKUP($A226,Seqs!$A:$B,2,FALSE),VLOOKUP($A226,'SegEnds_NonXtal_Prot#'!$A:$AL,22,FALSE)+9,1)</f>
        <v>P</v>
      </c>
      <c r="AF226" s="50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50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50" t="str">
        <f>MID(VLOOKUP($A227,Seqs!$A:$B,2,FALSE),VLOOKUP($A227,'SegEnds_NonXtal_Prot#'!A:AL,10,FALSE)+6,1)</f>
        <v>L</v>
      </c>
      <c r="X227" s="50" t="str">
        <f>MID(VLOOKUP($A227,Seqs!$A:$B,2,FALSE),VLOOKUP($A227,'SegEnds_NonXtal_Prot#'!A:AL,10,FALSE)+7,1)</f>
        <v>L</v>
      </c>
      <c r="Y227" s="50" t="str">
        <f>MID(VLOOKUP($A227,Seqs!$A:$B,2,FALSE),VLOOKUP($A227,'SegEnds_NonXtal_Prot#'!A:AL,10,FALSE)+8,1)</f>
        <v>S</v>
      </c>
      <c r="Z227" s="50" t="str">
        <f>MID(VLOOKUP($A227,Seqs!$A:$B,2,FALSE),VLOOKUP($A227,'SegEnds_NonXtal_Prot#'!A:AL,10,FALSE)+9,1)</f>
        <v>P</v>
      </c>
      <c r="AA227" s="50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50" t="str">
        <f>MID(VLOOKUP($A227,Seqs!$A:$B,2,FALSE),VLOOKUP($A227,'SegEnds_NonXtal_Prot#'!$A:$AL,22,FALSE)+7,1)</f>
        <v>C</v>
      </c>
      <c r="AD227" s="50" t="str">
        <f>MID(VLOOKUP($A227,Seqs!$A:$B,2,FALSE),VLOOKUP($A227,'SegEnds_NonXtal_Prot#'!$A:$AL,22,FALSE)+8,1)</f>
        <v>A</v>
      </c>
      <c r="AE227" s="50" t="str">
        <f>MID(VLOOKUP($A227,Seqs!$A:$B,2,FALSE),VLOOKUP($A227,'SegEnds_NonXtal_Prot#'!$A:$AL,22,FALSE)+9,1)</f>
        <v>L</v>
      </c>
      <c r="AF227" s="50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50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50" t="str">
        <f>MID(VLOOKUP($A228,Seqs!$A:$B,2,FALSE),VLOOKUP($A228,'SegEnds_NonXtal_Prot#'!A:AL,10,FALSE)+6,1)</f>
        <v>V</v>
      </c>
      <c r="X228" s="50" t="str">
        <f>MID(VLOOKUP($A228,Seqs!$A:$B,2,FALSE),VLOOKUP($A228,'SegEnds_NonXtal_Prot#'!A:AL,10,FALSE)+7,1)</f>
        <v>C</v>
      </c>
      <c r="Y228" s="50" t="str">
        <f>MID(VLOOKUP($A228,Seqs!$A:$B,2,FALSE),VLOOKUP($A228,'SegEnds_NonXtal_Prot#'!A:AL,10,FALSE)+8,1)</f>
        <v>C</v>
      </c>
      <c r="Z228" s="50" t="str">
        <f>MID(VLOOKUP($A228,Seqs!$A:$B,2,FALSE),VLOOKUP($A228,'SegEnds_NonXtal_Prot#'!A:AL,10,FALSE)+9,1)</f>
        <v>P</v>
      </c>
      <c r="AA228" s="50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50" t="str">
        <f>MID(VLOOKUP($A228,Seqs!$A:$B,2,FALSE),VLOOKUP($A228,'SegEnds_NonXtal_Prot#'!$A:$AL,22,FALSE)+7,1)</f>
        <v>A</v>
      </c>
      <c r="AD228" s="50" t="str">
        <f>MID(VLOOKUP($A228,Seqs!$A:$B,2,FALSE),VLOOKUP($A228,'SegEnds_NonXtal_Prot#'!$A:$AL,22,FALSE)+8,1)</f>
        <v>I</v>
      </c>
      <c r="AE228" s="50" t="str">
        <f>MID(VLOOKUP($A228,Seqs!$A:$B,2,FALSE),VLOOKUP($A228,'SegEnds_NonXtal_Prot#'!$A:$AL,22,FALSE)+9,1)</f>
        <v>P</v>
      </c>
      <c r="AF228" s="50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50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50" t="str">
        <f>MID(VLOOKUP($A229,Seqs!$A:$B,2,FALSE),VLOOKUP($A229,'SegEnds_NonXtal_Prot#'!A:AL,10,FALSE)+6,1)</f>
        <v>I</v>
      </c>
      <c r="X229" s="50" t="str">
        <f>MID(VLOOKUP($A229,Seqs!$A:$B,2,FALSE),VLOOKUP($A229,'SegEnds_NonXtal_Prot#'!A:AL,10,FALSE)+7,1)</f>
        <v>C</v>
      </c>
      <c r="Y229" s="50" t="str">
        <f>MID(VLOOKUP($A229,Seqs!$A:$B,2,FALSE),VLOOKUP($A229,'SegEnds_NonXtal_Prot#'!A:AL,10,FALSE)+8,1)</f>
        <v>C</v>
      </c>
      <c r="Z229" s="50" t="str">
        <f>MID(VLOOKUP($A229,Seqs!$A:$B,2,FALSE),VLOOKUP($A229,'SegEnds_NonXtal_Prot#'!A:AL,10,FALSE)+9,1)</f>
        <v>P</v>
      </c>
      <c r="AA229" s="50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50" t="str">
        <f>MID(VLOOKUP($A229,Seqs!$A:$B,2,FALSE),VLOOKUP($A229,'SegEnds_NonXtal_Prot#'!$A:$AL,22,FALSE)+7,1)</f>
        <v>A</v>
      </c>
      <c r="AD229" s="50" t="str">
        <f>MID(VLOOKUP($A229,Seqs!$A:$B,2,FALSE),VLOOKUP($A229,'SegEnds_NonXtal_Prot#'!$A:$AL,22,FALSE)+8,1)</f>
        <v>I</v>
      </c>
      <c r="AE229" s="50" t="str">
        <f>MID(VLOOKUP($A229,Seqs!$A:$B,2,FALSE),VLOOKUP($A229,'SegEnds_NonXtal_Prot#'!$A:$AL,22,FALSE)+9,1)</f>
        <v>P</v>
      </c>
      <c r="AF229" s="50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50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50" t="str">
        <f>MID(VLOOKUP($A230,Seqs!$A:$B,2,FALSE),VLOOKUP($A230,'SegEnds_NonXtal_Prot#'!A:AL,10,FALSE)+6,1)</f>
        <v>A</v>
      </c>
      <c r="X230" s="50" t="str">
        <f>MID(VLOOKUP($A230,Seqs!$A:$B,2,FALSE),VLOOKUP($A230,'SegEnds_NonXtal_Prot#'!A:AL,10,FALSE)+7,1)</f>
        <v>C</v>
      </c>
      <c r="Y230" s="50" t="str">
        <f>MID(VLOOKUP($A230,Seqs!$A:$B,2,FALSE),VLOOKUP($A230,'SegEnds_NonXtal_Prot#'!A:AL,10,FALSE)+8,1)</f>
        <v>V</v>
      </c>
      <c r="Z230" s="50" t="str">
        <f>MID(VLOOKUP($A230,Seqs!$A:$B,2,FALSE),VLOOKUP($A230,'SegEnds_NonXtal_Prot#'!A:AL,10,FALSE)+9,1)</f>
        <v>P</v>
      </c>
      <c r="AA230" s="50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50" t="str">
        <f>MID(VLOOKUP($A230,Seqs!$A:$B,2,FALSE),VLOOKUP($A230,'SegEnds_NonXtal_Prot#'!$A:$AL,22,FALSE)+7,1)</f>
        <v>A</v>
      </c>
      <c r="AD230" s="50" t="str">
        <f>MID(VLOOKUP($A230,Seqs!$A:$B,2,FALSE),VLOOKUP($A230,'SegEnds_NonXtal_Prot#'!$A:$AL,22,FALSE)+8,1)</f>
        <v>L</v>
      </c>
      <c r="AE230" s="50" t="str">
        <f>MID(VLOOKUP($A230,Seqs!$A:$B,2,FALSE),VLOOKUP($A230,'SegEnds_NonXtal_Prot#'!$A:$AL,22,FALSE)+9,1)</f>
        <v>P</v>
      </c>
      <c r="AF230" s="50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50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50" t="str">
        <f>MID(VLOOKUP($A231,Seqs!$A:$B,2,FALSE),VLOOKUP($A231,'SegEnds_NonXtal_Prot#'!A:AL,10,FALSE)+6,1)</f>
        <v>F</v>
      </c>
      <c r="X231" s="50" t="str">
        <f>MID(VLOOKUP($A231,Seqs!$A:$B,2,FALSE),VLOOKUP($A231,'SegEnds_NonXtal_Prot#'!A:AL,10,FALSE)+7,1)</f>
        <v>C</v>
      </c>
      <c r="Y231" s="50" t="str">
        <f>MID(VLOOKUP($A231,Seqs!$A:$B,2,FALSE),VLOOKUP($A231,'SegEnds_NonXtal_Prot#'!A:AL,10,FALSE)+8,1)</f>
        <v>I</v>
      </c>
      <c r="Z231" s="50" t="str">
        <f>MID(VLOOKUP($A231,Seqs!$A:$B,2,FALSE),VLOOKUP($A231,'SegEnds_NonXtal_Prot#'!A:AL,10,FALSE)+9,1)</f>
        <v>P</v>
      </c>
      <c r="AA231" s="50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50" t="str">
        <f>MID(VLOOKUP($A231,Seqs!$A:$B,2,FALSE),VLOOKUP($A231,'SegEnds_NonXtal_Prot#'!$A:$AL,22,FALSE)+7,1)</f>
        <v>G</v>
      </c>
      <c r="AD231" s="50" t="str">
        <f>MID(VLOOKUP($A231,Seqs!$A:$B,2,FALSE),VLOOKUP($A231,'SegEnds_NonXtal_Prot#'!$A:$AL,22,FALSE)+8,1)</f>
        <v>S</v>
      </c>
      <c r="AE231" s="50" t="str">
        <f>MID(VLOOKUP($A231,Seqs!$A:$B,2,FALSE),VLOOKUP($A231,'SegEnds_NonXtal_Prot#'!$A:$AL,22,FALSE)+9,1)</f>
        <v>P</v>
      </c>
      <c r="AF231" s="50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50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agtr1_human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50" t="str">
        <f>MID(VLOOKUP($A232,Seqs!$A:$B,2,FALSE),VLOOKUP($A232,'SegEnds_NonXtal_Prot#'!A:AL,10,FALSE)+6,1)</f>
        <v>T</v>
      </c>
      <c r="X232" s="50" t="str">
        <f>MID(VLOOKUP($A232,Seqs!$A:$B,2,FALSE),VLOOKUP($A232,'SegEnds_NonXtal_Prot#'!A:AL,10,FALSE)+7,1)</f>
        <v>L</v>
      </c>
      <c r="Y232" s="50" t="str">
        <f>MID(VLOOKUP($A232,Seqs!$A:$B,2,FALSE),VLOOKUP($A232,'SegEnds_NonXtal_Prot#'!A:AL,10,FALSE)+8,1)</f>
        <v>P</v>
      </c>
      <c r="Z232" s="50" t="str">
        <f>MID(VLOOKUP($A232,Seqs!$A:$B,2,FALSE),VLOOKUP($A232,'SegEnds_NonXtal_Prot#'!A:AL,10,FALSE)+9,1)</f>
        <v>L</v>
      </c>
      <c r="AA232" s="50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50" t="str">
        <f>MID(VLOOKUP($A232,Seqs!$A:$B,2,FALSE),VLOOKUP($A232,'SegEnds_NonXtal_Prot#'!$A:$AL,22,FALSE)+7,1)</f>
        <v>S</v>
      </c>
      <c r="AD232" s="50" t="str">
        <f>MID(VLOOKUP($A232,Seqs!$A:$B,2,FALSE),VLOOKUP($A232,'SegEnds_NonXtal_Prot#'!$A:$AL,22,FALSE)+8,1)</f>
        <v>S</v>
      </c>
      <c r="AE232" s="50" t="str">
        <f>MID(VLOOKUP($A232,Seqs!$A:$B,2,FALSE),VLOOKUP($A232,'SegEnds_NonXtal_Prot#'!$A:$AL,22,FALSE)+9,1)</f>
        <v>P</v>
      </c>
      <c r="AF232" s="50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50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50" t="str">
        <f>MID(VLOOKUP($A233,Seqs!$A:$B,2,FALSE),VLOOKUP($A233,'SegEnds_NonXtal_Prot#'!A:AL,10,FALSE)+6,1)</f>
        <v>T</v>
      </c>
      <c r="X233" s="50" t="str">
        <f>MID(VLOOKUP($A233,Seqs!$A:$B,2,FALSE),VLOOKUP($A233,'SegEnds_NonXtal_Prot#'!A:AL,10,FALSE)+7,1)</f>
        <v>L</v>
      </c>
      <c r="Y233" s="50" t="str">
        <f>MID(VLOOKUP($A233,Seqs!$A:$B,2,FALSE),VLOOKUP($A233,'SegEnds_NonXtal_Prot#'!A:AL,10,FALSE)+8,1)</f>
        <v>P</v>
      </c>
      <c r="Z233" s="50" t="str">
        <f>MID(VLOOKUP($A233,Seqs!$A:$B,2,FALSE),VLOOKUP($A233,'SegEnds_NonXtal_Prot#'!A:AL,10,FALSE)+9,1)</f>
        <v>F</v>
      </c>
      <c r="AA233" s="50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50" t="str">
        <f>MID(VLOOKUP($A233,Seqs!$A:$B,2,FALSE),VLOOKUP($A233,'SegEnds_NonXtal_Prot#'!$A:$AL,22,FALSE)+7,1)</f>
        <v>S</v>
      </c>
      <c r="AD233" s="50" t="str">
        <f>MID(VLOOKUP($A233,Seqs!$A:$B,2,FALSE),VLOOKUP($A233,'SegEnds_NonXtal_Prot#'!$A:$AL,22,FALSE)+8,1)</f>
        <v>I</v>
      </c>
      <c r="AE233" s="50" t="str">
        <f>MID(VLOOKUP($A233,Seqs!$A:$B,2,FALSE),VLOOKUP($A233,'SegEnds_NonXtal_Prot#'!$A:$AL,22,FALSE)+9,1)</f>
        <v>M</v>
      </c>
      <c r="AF233" s="50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50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50" t="str">
        <f>MID(VLOOKUP($A234,Seqs!$A:$B,2,FALSE),VLOOKUP($A234,'SegEnds_NonXtal_Prot#'!A:AL,10,FALSE)+6,1)</f>
        <v>T</v>
      </c>
      <c r="X234" s="50" t="str">
        <f>MID(VLOOKUP($A234,Seqs!$A:$B,2,FALSE),VLOOKUP($A234,'SegEnds_NonXtal_Prot#'!A:AL,10,FALSE)+7,1)</f>
        <v>L</v>
      </c>
      <c r="Y234" s="50" t="str">
        <f>MID(VLOOKUP($A234,Seqs!$A:$B,2,FALSE),VLOOKUP($A234,'SegEnds_NonXtal_Prot#'!A:AL,10,FALSE)+8,1)</f>
        <v>P</v>
      </c>
      <c r="Z234" s="50" t="str">
        <f>MID(VLOOKUP($A234,Seqs!$A:$B,2,FALSE),VLOOKUP($A234,'SegEnds_NonXtal_Prot#'!A:AL,10,FALSE)+9,1)</f>
        <v>L</v>
      </c>
      <c r="AA234" s="50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50" t="str">
        <f>MID(VLOOKUP($A234,Seqs!$A:$B,2,FALSE),VLOOKUP($A234,'SegEnds_NonXtal_Prot#'!$A:$AL,22,FALSE)+7,1)</f>
        <v>H</v>
      </c>
      <c r="AD234" s="50" t="str">
        <f>MID(VLOOKUP($A234,Seqs!$A:$B,2,FALSE),VLOOKUP($A234,'SegEnds_NonXtal_Prot#'!$A:$AL,22,FALSE)+8,1)</f>
        <v>Y</v>
      </c>
      <c r="AE234" s="50" t="str">
        <f>MID(VLOOKUP($A234,Seqs!$A:$B,2,FALSE),VLOOKUP($A234,'SegEnds_NonXtal_Prot#'!$A:$AL,22,FALSE)+9,1)</f>
        <v>P</v>
      </c>
      <c r="AF234" s="50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50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50" t="str">
        <f>MID(VLOOKUP($A235,Seqs!$A:$B,2,FALSE),VLOOKUP($A235,'SegEnds_NonXtal_Prot#'!A:AL,10,FALSE)+6,1)</f>
        <v>S</v>
      </c>
      <c r="X235" s="50" t="str">
        <f>MID(VLOOKUP($A235,Seqs!$A:$B,2,FALSE),VLOOKUP($A235,'SegEnds_NonXtal_Prot#'!A:AL,10,FALSE)+7,1)</f>
        <v>L</v>
      </c>
      <c r="Y235" s="50" t="str">
        <f>MID(VLOOKUP($A235,Seqs!$A:$B,2,FALSE),VLOOKUP($A235,'SegEnds_NonXtal_Prot#'!A:AL,10,FALSE)+8,1)</f>
        <v>P</v>
      </c>
      <c r="Z235" s="50" t="str">
        <f>MID(VLOOKUP($A235,Seqs!$A:$B,2,FALSE),VLOOKUP($A235,'SegEnds_NonXtal_Prot#'!A:AL,10,FALSE)+9,1)</f>
        <v>L</v>
      </c>
      <c r="AA235" s="50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50" t="str">
        <f>MID(VLOOKUP($A235,Seqs!$A:$B,2,FALSE),VLOOKUP($A235,'SegEnds_NonXtal_Prot#'!$A:$AL,22,FALSE)+7,1)</f>
        <v>C</v>
      </c>
      <c r="AD235" s="50" t="str">
        <f>MID(VLOOKUP($A235,Seqs!$A:$B,2,FALSE),VLOOKUP($A235,'SegEnds_NonXtal_Prot#'!$A:$AL,22,FALSE)+8,1)</f>
        <v>V</v>
      </c>
      <c r="AE235" s="50" t="str">
        <f>MID(VLOOKUP($A235,Seqs!$A:$B,2,FALSE),VLOOKUP($A235,'SegEnds_NonXtal_Prot#'!$A:$AL,22,FALSE)+9,1)</f>
        <v>L</v>
      </c>
      <c r="AF235" s="50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50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50" t="str">
        <f>MID(VLOOKUP($A236,Seqs!$A:$B,2,FALSE),VLOOKUP($A236,'SegEnds_NonXtal_Prot#'!A:AL,10,FALSE)+6,1)</f>
        <v>V</v>
      </c>
      <c r="X236" s="50" t="str">
        <f>MID(VLOOKUP($A236,Seqs!$A:$B,2,FALSE),VLOOKUP($A236,'SegEnds_NonXtal_Prot#'!A:AL,10,FALSE)+7,1)</f>
        <v>L</v>
      </c>
      <c r="Y236" s="50" t="str">
        <f>MID(VLOOKUP($A236,Seqs!$A:$B,2,FALSE),VLOOKUP($A236,'SegEnds_NonXtal_Prot#'!A:AL,10,FALSE)+8,1)</f>
        <v>P</v>
      </c>
      <c r="Z236" s="50" t="str">
        <f>MID(VLOOKUP($A236,Seqs!$A:$B,2,FALSE),VLOOKUP($A236,'SegEnds_NonXtal_Prot#'!A:AL,10,FALSE)+9,1)</f>
        <v>T</v>
      </c>
      <c r="AA236" s="50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50" t="str">
        <f>MID(VLOOKUP($A236,Seqs!$A:$B,2,FALSE),VLOOKUP($A236,'SegEnds_NonXtal_Prot#'!$A:$AL,22,FALSE)+7,1)</f>
        <v>M</v>
      </c>
      <c r="AD236" s="50" t="str">
        <f>MID(VLOOKUP($A236,Seqs!$A:$B,2,FALSE),VLOOKUP($A236,'SegEnds_NonXtal_Prot#'!$A:$AL,22,FALSE)+8,1)</f>
        <v>A</v>
      </c>
      <c r="AE236" s="50" t="str">
        <f>MID(VLOOKUP($A236,Seqs!$A:$B,2,FALSE),VLOOKUP($A236,'SegEnds_NonXtal_Prot#'!$A:$AL,22,FALSE)+9,1)</f>
        <v>P</v>
      </c>
      <c r="AF236" s="50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50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50" t="str">
        <f>MID(VLOOKUP($A237,Seqs!$A:$B,2,FALSE),VLOOKUP($A237,'SegEnds_NonXtal_Prot#'!A:AL,10,FALSE)+6,1)</f>
        <v>T</v>
      </c>
      <c r="X237" s="50" t="str">
        <f>MID(VLOOKUP($A237,Seqs!$A:$B,2,FALSE),VLOOKUP($A237,'SegEnds_NonXtal_Prot#'!A:AL,10,FALSE)+7,1)</f>
        <v>L</v>
      </c>
      <c r="Y237" s="50" t="str">
        <f>MID(VLOOKUP($A237,Seqs!$A:$B,2,FALSE),VLOOKUP($A237,'SegEnds_NonXtal_Prot#'!A:AL,10,FALSE)+8,1)</f>
        <v>P</v>
      </c>
      <c r="Z237" s="50" t="str">
        <f>MID(VLOOKUP($A237,Seqs!$A:$B,2,FALSE),VLOOKUP($A237,'SegEnds_NonXtal_Prot#'!A:AL,10,FALSE)+9,1)</f>
        <v>F</v>
      </c>
      <c r="AA237" s="50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50" t="str">
        <f>MID(VLOOKUP($A237,Seqs!$A:$B,2,FALSE),VLOOKUP($A237,'SegEnds_NonXtal_Prot#'!$A:$AL,22,FALSE)+7,1)</f>
        <v>T</v>
      </c>
      <c r="AD237" s="50" t="str">
        <f>MID(VLOOKUP($A237,Seqs!$A:$B,2,FALSE),VLOOKUP($A237,'SegEnds_NonXtal_Prot#'!$A:$AL,22,FALSE)+8,1)</f>
        <v>T</v>
      </c>
      <c r="AE237" s="50" t="str">
        <f>MID(VLOOKUP($A237,Seqs!$A:$B,2,FALSE),VLOOKUP($A237,'SegEnds_NonXtal_Prot#'!$A:$AL,22,FALSE)+9,1)</f>
        <v>P</v>
      </c>
      <c r="AF237" s="50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50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50" t="str">
        <f>MID(VLOOKUP($A238,Seqs!$A:$B,2,FALSE),VLOOKUP($A238,'SegEnds_NonXtal_Prot#'!A:AL,10,FALSE)+6,1)</f>
        <v>C</v>
      </c>
      <c r="X238" s="50" t="str">
        <f>MID(VLOOKUP($A238,Seqs!$A:$B,2,FALSE),VLOOKUP($A238,'SegEnds_NonXtal_Prot#'!A:AL,10,FALSE)+7,1)</f>
        <v>L</v>
      </c>
      <c r="Y238" s="50" t="str">
        <f>MID(VLOOKUP($A238,Seqs!$A:$B,2,FALSE),VLOOKUP($A238,'SegEnds_NonXtal_Prot#'!A:AL,10,FALSE)+8,1)</f>
        <v>P</v>
      </c>
      <c r="Z238" s="50" t="str">
        <f>MID(VLOOKUP($A238,Seqs!$A:$B,2,FALSE),VLOOKUP($A238,'SegEnds_NonXtal_Prot#'!A:AL,10,FALSE)+9,1)</f>
        <v>F</v>
      </c>
      <c r="AA238" s="50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50" t="str">
        <f>MID(VLOOKUP($A238,Seqs!$A:$B,2,FALSE),VLOOKUP($A238,'SegEnds_NonXtal_Prot#'!$A:$AL,22,FALSE)+7,1)</f>
        <v>T</v>
      </c>
      <c r="AD238" s="50" t="str">
        <f>MID(VLOOKUP($A238,Seqs!$A:$B,2,FALSE),VLOOKUP($A238,'SegEnds_NonXtal_Prot#'!$A:$AL,22,FALSE)+8,1)</f>
        <v>C</v>
      </c>
      <c r="AE238" s="50" t="str">
        <f>MID(VLOOKUP($A238,Seqs!$A:$B,2,FALSE),VLOOKUP($A238,'SegEnds_NonXtal_Prot#'!$A:$AL,22,FALSE)+9,1)</f>
        <v>P</v>
      </c>
      <c r="AF238" s="50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50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50" t="str">
        <f>MID(VLOOKUP($A239,Seqs!$A:$B,2,FALSE),VLOOKUP($A239,'SegEnds_NonXtal_Prot#'!A:AL,10,FALSE)+6,1)</f>
        <v>T</v>
      </c>
      <c r="X239" s="50" t="str">
        <f>MID(VLOOKUP($A239,Seqs!$A:$B,2,FALSE),VLOOKUP($A239,'SegEnds_NonXtal_Prot#'!A:AL,10,FALSE)+7,1)</f>
        <v>L</v>
      </c>
      <c r="Y239" s="50" t="str">
        <f>MID(VLOOKUP($A239,Seqs!$A:$B,2,FALSE),VLOOKUP($A239,'SegEnds_NonXtal_Prot#'!A:AL,10,FALSE)+8,1)</f>
        <v>P</v>
      </c>
      <c r="Z239" s="50" t="str">
        <f>MID(VLOOKUP($A239,Seqs!$A:$B,2,FALSE),VLOOKUP($A239,'SegEnds_NonXtal_Prot#'!A:AL,10,FALSE)+9,1)</f>
        <v>L</v>
      </c>
      <c r="AA239" s="50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50" t="str">
        <f>MID(VLOOKUP($A239,Seqs!$A:$B,2,FALSE),VLOOKUP($A239,'SegEnds_NonXtal_Prot#'!$A:$AL,22,FALSE)+7,1)</f>
        <v>N</v>
      </c>
      <c r="AD239" s="50" t="str">
        <f>MID(VLOOKUP($A239,Seqs!$A:$B,2,FALSE),VLOOKUP($A239,'SegEnds_NonXtal_Prot#'!$A:$AL,22,FALSE)+8,1)</f>
        <v>S</v>
      </c>
      <c r="AE239" s="50" t="str">
        <f>MID(VLOOKUP($A239,Seqs!$A:$B,2,FALSE),VLOOKUP($A239,'SegEnds_NonXtal_Prot#'!$A:$AL,22,FALSE)+9,1)</f>
        <v>A</v>
      </c>
      <c r="AF239" s="50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50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50" t="str">
        <f>MID(VLOOKUP($A240,Seqs!$A:$B,2,FALSE),VLOOKUP($A240,'SegEnds_NonXtal_Prot#'!A:AL,10,FALSE)+6,1)</f>
        <v>C</v>
      </c>
      <c r="X240" s="50" t="str">
        <f>MID(VLOOKUP($A240,Seqs!$A:$B,2,FALSE),VLOOKUP($A240,'SegEnds_NonXtal_Prot#'!A:AL,10,FALSE)+7,1)</f>
        <v>L</v>
      </c>
      <c r="Y240" s="50" t="str">
        <f>MID(VLOOKUP($A240,Seqs!$A:$B,2,FALSE),VLOOKUP($A240,'SegEnds_NonXtal_Prot#'!A:AL,10,FALSE)+8,1)</f>
        <v>P</v>
      </c>
      <c r="Z240" s="50" t="str">
        <f>MID(VLOOKUP($A240,Seqs!$A:$B,2,FALSE),VLOOKUP($A240,'SegEnds_NonXtal_Prot#'!A:AL,10,FALSE)+9,1)</f>
        <v>F</v>
      </c>
      <c r="AA240" s="50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50" t="str">
        <f>MID(VLOOKUP($A240,Seqs!$A:$B,2,FALSE),VLOOKUP($A240,'SegEnds_NonXtal_Prot#'!$A:$AL,22,FALSE)+7,1)</f>
        <v>T</v>
      </c>
      <c r="AD240" s="50" t="str">
        <f>MID(VLOOKUP($A240,Seqs!$A:$B,2,FALSE),VLOOKUP($A240,'SegEnds_NonXtal_Prot#'!$A:$AL,22,FALSE)+8,1)</f>
        <v>V</v>
      </c>
      <c r="AE240" s="50" t="str">
        <f>MID(VLOOKUP($A240,Seqs!$A:$B,2,FALSE),VLOOKUP($A240,'SegEnds_NonXtal_Prot#'!$A:$AL,22,FALSE)+9,1)</f>
        <v>Y</v>
      </c>
      <c r="AF240" s="50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50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50" t="str">
        <f>MID(VLOOKUP($A241,Seqs!$A:$B,2,FALSE),VLOOKUP($A241,'SegEnds_NonXtal_Prot#'!A:AL,10,FALSE)+6,1)</f>
        <v>C</v>
      </c>
      <c r="X241" s="50" t="str">
        <f>MID(VLOOKUP($A241,Seqs!$A:$B,2,FALSE),VLOOKUP($A241,'SegEnds_NonXtal_Prot#'!A:AL,10,FALSE)+7,1)</f>
        <v>L</v>
      </c>
      <c r="Y241" s="50" t="str">
        <f>MID(VLOOKUP($A241,Seqs!$A:$B,2,FALSE),VLOOKUP($A241,'SegEnds_NonXtal_Prot#'!A:AL,10,FALSE)+8,1)</f>
        <v>P</v>
      </c>
      <c r="Z241" s="50" t="str">
        <f>MID(VLOOKUP($A241,Seqs!$A:$B,2,FALSE),VLOOKUP($A241,'SegEnds_NonXtal_Prot#'!A:AL,10,FALSE)+9,1)</f>
        <v>F</v>
      </c>
      <c r="AA241" s="50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50" t="str">
        <f>MID(VLOOKUP($A241,Seqs!$A:$B,2,FALSE),VLOOKUP($A241,'SegEnds_NonXtal_Prot#'!$A:$AL,22,FALSE)+7,1)</f>
        <v>T</v>
      </c>
      <c r="AD241" s="50" t="str">
        <f>MID(VLOOKUP($A241,Seqs!$A:$B,2,FALSE),VLOOKUP($A241,'SegEnds_NonXtal_Prot#'!$A:$AL,22,FALSE)+8,1)</f>
        <v>V</v>
      </c>
      <c r="AE241" s="50" t="str">
        <f>MID(VLOOKUP($A241,Seqs!$A:$B,2,FALSE),VLOOKUP($A241,'SegEnds_NonXtal_Prot#'!$A:$AL,22,FALSE)+9,1)</f>
        <v>H</v>
      </c>
      <c r="AF241" s="50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50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50" t="str">
        <f>MID(VLOOKUP($A242,Seqs!$A:$B,2,FALSE),VLOOKUP($A242,'SegEnds_NonXtal_Prot#'!A:AL,10,FALSE)+6,1)</f>
        <v>C</v>
      </c>
      <c r="X242" s="50" t="str">
        <f>MID(VLOOKUP($A242,Seqs!$A:$B,2,FALSE),VLOOKUP($A242,'SegEnds_NonXtal_Prot#'!A:AL,10,FALSE)+7,1)</f>
        <v>L</v>
      </c>
      <c r="Y242" s="50" t="str">
        <f>MID(VLOOKUP($A242,Seqs!$A:$B,2,FALSE),VLOOKUP($A242,'SegEnds_NonXtal_Prot#'!A:AL,10,FALSE)+8,1)</f>
        <v>P</v>
      </c>
      <c r="Z242" s="50" t="str">
        <f>MID(VLOOKUP($A242,Seqs!$A:$B,2,FALSE),VLOOKUP($A242,'SegEnds_NonXtal_Prot#'!A:AL,10,FALSE)+9,1)</f>
        <v>F</v>
      </c>
      <c r="AA242" s="50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50" t="str">
        <f>MID(VLOOKUP($A242,Seqs!$A:$B,2,FALSE),VLOOKUP($A242,'SegEnds_NonXtal_Prot#'!$A:$AL,22,FALSE)+7,1)</f>
        <v>T</v>
      </c>
      <c r="AD242" s="50" t="str">
        <f>MID(VLOOKUP($A242,Seqs!$A:$B,2,FALSE),VLOOKUP($A242,'SegEnds_NonXtal_Prot#'!$A:$AL,22,FALSE)+8,1)</f>
        <v>V</v>
      </c>
      <c r="AE242" s="50" t="str">
        <f>MID(VLOOKUP($A242,Seqs!$A:$B,2,FALSE),VLOOKUP($A242,'SegEnds_NonXtal_Prot#'!$A:$AL,22,FALSE)+9,1)</f>
        <v>H</v>
      </c>
      <c r="AF242" s="50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50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50" t="str">
        <f>MID(VLOOKUP($A243,Seqs!$A:$B,2,FALSE),VLOOKUP($A243,'SegEnds_NonXtal_Prot#'!A:AL,10,FALSE)+6,1)</f>
        <v>T</v>
      </c>
      <c r="X243" s="50" t="str">
        <f>MID(VLOOKUP($A243,Seqs!$A:$B,2,FALSE),VLOOKUP($A243,'SegEnds_NonXtal_Prot#'!A:AL,10,FALSE)+7,1)</f>
        <v>L</v>
      </c>
      <c r="Y243" s="50" t="str">
        <f>MID(VLOOKUP($A243,Seqs!$A:$B,2,FALSE),VLOOKUP($A243,'SegEnds_NonXtal_Prot#'!A:AL,10,FALSE)+8,1)</f>
        <v>P</v>
      </c>
      <c r="Z243" s="50" t="str">
        <f>MID(VLOOKUP($A243,Seqs!$A:$B,2,FALSE),VLOOKUP($A243,'SegEnds_NonXtal_Prot#'!A:AL,10,FALSE)+9,1)</f>
        <v>F</v>
      </c>
      <c r="AA243" s="50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50" t="str">
        <f>MID(VLOOKUP($A243,Seqs!$A:$B,2,FALSE),VLOOKUP($A243,'SegEnds_NonXtal_Prot#'!$A:$AL,22,FALSE)+7,1)</f>
        <v>G</v>
      </c>
      <c r="AD243" s="50" t="str">
        <f>MID(VLOOKUP($A243,Seqs!$A:$B,2,FALSE),VLOOKUP($A243,'SegEnds_NonXtal_Prot#'!$A:$AL,22,FALSE)+8,1)</f>
        <v>I</v>
      </c>
      <c r="AE243" s="50" t="str">
        <f>MID(VLOOKUP($A243,Seqs!$A:$B,2,FALSE),VLOOKUP($A243,'SegEnds_NonXtal_Prot#'!$A:$AL,22,FALSE)+9,1)</f>
        <v>S</v>
      </c>
      <c r="AF243" s="50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50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50" t="str">
        <f>MID(VLOOKUP($A244,Seqs!$A:$B,2,FALSE),VLOOKUP($A244,'SegEnds_NonXtal_Prot#'!A:AL,10,FALSE)+6,1)</f>
        <v>S</v>
      </c>
      <c r="X244" s="50" t="str">
        <f>MID(VLOOKUP($A244,Seqs!$A:$B,2,FALSE),VLOOKUP($A244,'SegEnds_NonXtal_Prot#'!A:AL,10,FALSE)+7,1)</f>
        <v>L</v>
      </c>
      <c r="Y244" s="50" t="str">
        <f>MID(VLOOKUP($A244,Seqs!$A:$B,2,FALSE),VLOOKUP($A244,'SegEnds_NonXtal_Prot#'!A:AL,10,FALSE)+8,1)</f>
        <v>P</v>
      </c>
      <c r="Z244" s="50" t="str">
        <f>MID(VLOOKUP($A244,Seqs!$A:$B,2,FALSE),VLOOKUP($A244,'SegEnds_NonXtal_Prot#'!A:AL,10,FALSE)+9,1)</f>
        <v>V</v>
      </c>
      <c r="AA244" s="50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50" t="str">
        <f>MID(VLOOKUP($A244,Seqs!$A:$B,2,FALSE),VLOOKUP($A244,'SegEnds_NonXtal_Prot#'!$A:$AL,22,FALSE)+7,1)</f>
        <v>A</v>
      </c>
      <c r="AD244" s="50" t="str">
        <f>MID(VLOOKUP($A244,Seqs!$A:$B,2,FALSE),VLOOKUP($A244,'SegEnds_NonXtal_Prot#'!$A:$AL,22,FALSE)+8,1)</f>
        <v>V</v>
      </c>
      <c r="AE244" s="50" t="str">
        <f>MID(VLOOKUP($A244,Seqs!$A:$B,2,FALSE),VLOOKUP($A244,'SegEnds_NonXtal_Prot#'!$A:$AL,22,FALSE)+9,1)</f>
        <v>P</v>
      </c>
      <c r="AF244" s="50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50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ccr5_human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50" t="str">
        <f>MID(VLOOKUP($A245,Seqs!$A:$B,2,FALSE),VLOOKUP($A245,'SegEnds_NonXtal_Prot#'!A:AL,10,FALSE)+6,1)</f>
        <v>T</v>
      </c>
      <c r="X245" s="50" t="str">
        <f>MID(VLOOKUP($A245,Seqs!$A:$B,2,FALSE),VLOOKUP($A245,'SegEnds_NonXtal_Prot#'!A:AL,10,FALSE)+7,1)</f>
        <v>L</v>
      </c>
      <c r="Y245" s="50" t="str">
        <f>MID(VLOOKUP($A245,Seqs!$A:$B,2,FALSE),VLOOKUP($A245,'SegEnds_NonXtal_Prot#'!A:AL,10,FALSE)+8,1)</f>
        <v>P</v>
      </c>
      <c r="Z245" s="50" t="str">
        <f>MID(VLOOKUP($A245,Seqs!$A:$B,2,FALSE),VLOOKUP($A245,'SegEnds_NonXtal_Prot#'!A:AL,10,FALSE)+9,1)</f>
        <v>F</v>
      </c>
      <c r="AA245" s="50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50" t="str">
        <f>MID(VLOOKUP($A245,Seqs!$A:$B,2,FALSE),VLOOKUP($A245,'SegEnds_NonXtal_Prot#'!$A:$AL,22,FALSE)+7,1)</f>
        <v>S</v>
      </c>
      <c r="AD245" s="50" t="str">
        <f>MID(VLOOKUP($A245,Seqs!$A:$B,2,FALSE),VLOOKUP($A245,'SegEnds_NonXtal_Prot#'!$A:$AL,22,FALSE)+8,1)</f>
        <v>A</v>
      </c>
      <c r="AE245" s="50" t="str">
        <f>MID(VLOOKUP($A245,Seqs!$A:$B,2,FALSE),VLOOKUP($A245,'SegEnds_NonXtal_Prot#'!$A:$AL,22,FALSE)+9,1)</f>
        <v>P</v>
      </c>
      <c r="AF245" s="50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50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50" t="str">
        <f>MID(VLOOKUP($A246,Seqs!$A:$B,2,FALSE),VLOOKUP($A246,'SegEnds_NonXtal_Prot#'!A:AL,10,FALSE)+6,1)</f>
        <v>C</v>
      </c>
      <c r="X246" s="50" t="str">
        <f>MID(VLOOKUP($A246,Seqs!$A:$B,2,FALSE),VLOOKUP($A246,'SegEnds_NonXtal_Prot#'!A:AL,10,FALSE)+7,1)</f>
        <v>I</v>
      </c>
      <c r="Y246" s="50" t="str">
        <f>MID(VLOOKUP($A246,Seqs!$A:$B,2,FALSE),VLOOKUP($A246,'SegEnds_NonXtal_Prot#'!A:AL,10,FALSE)+8,1)</f>
        <v>F</v>
      </c>
      <c r="Z246" s="50" t="str">
        <f>MID(VLOOKUP($A246,Seqs!$A:$B,2,FALSE),VLOOKUP($A246,'SegEnds_NonXtal_Prot#'!A:AL,10,FALSE)+9,1)</f>
        <v>I</v>
      </c>
      <c r="AA246" s="50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50" t="str">
        <f>MID(VLOOKUP($A246,Seqs!$A:$B,2,FALSE),VLOOKUP($A246,'SegEnds_NonXtal_Prot#'!$A:$AL,22,FALSE)+7,1)</f>
        <v>T</v>
      </c>
      <c r="AD246" s="50" t="str">
        <f>MID(VLOOKUP($A246,Seqs!$A:$B,2,FALSE),VLOOKUP($A246,'SegEnds_NonXtal_Prot#'!$A:$AL,22,FALSE)+8,1)</f>
        <v>T</v>
      </c>
      <c r="AE246" s="50" t="str">
        <f>MID(VLOOKUP($A246,Seqs!$A:$B,2,FALSE),VLOOKUP($A246,'SegEnds_NonXtal_Prot#'!$A:$AL,22,FALSE)+9,1)</f>
        <v>M</v>
      </c>
      <c r="AF246" s="50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50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50" t="str">
        <f>MID(VLOOKUP($A247,Seqs!$A:$B,2,FALSE),VLOOKUP($A247,'SegEnds_NonXtal_Prot#'!A:AL,10,FALSE)+6,1)</f>
        <v>C</v>
      </c>
      <c r="X247" s="50" t="str">
        <f>MID(VLOOKUP($A247,Seqs!$A:$B,2,FALSE),VLOOKUP($A247,'SegEnds_NonXtal_Prot#'!A:AL,10,FALSE)+7,1)</f>
        <v>S</v>
      </c>
      <c r="Y247" s="50" t="str">
        <f>MID(VLOOKUP($A247,Seqs!$A:$B,2,FALSE),VLOOKUP($A247,'SegEnds_NonXtal_Prot#'!A:AL,10,FALSE)+8,1)</f>
        <v>A</v>
      </c>
      <c r="Z247" s="50" t="str">
        <f>MID(VLOOKUP($A247,Seqs!$A:$B,2,FALSE),VLOOKUP($A247,'SegEnds_NonXtal_Prot#'!A:AL,10,FALSE)+9,1)</f>
        <v>V</v>
      </c>
      <c r="AA247" s="50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50" t="str">
        <f>MID(VLOOKUP($A247,Seqs!$A:$B,2,FALSE),VLOOKUP($A247,'SegEnds_NonXtal_Prot#'!$A:$AL,22,FALSE)+7,1)</f>
        <v>N</v>
      </c>
      <c r="AD247" s="50" t="str">
        <f>MID(VLOOKUP($A247,Seqs!$A:$B,2,FALSE),VLOOKUP($A247,'SegEnds_NonXtal_Prot#'!$A:$AL,22,FALSE)+8,1)</f>
        <v>I</v>
      </c>
      <c r="AE247" s="50" t="str">
        <f>MID(VLOOKUP($A247,Seqs!$A:$B,2,FALSE),VLOOKUP($A247,'SegEnds_NonXtal_Prot#'!$A:$AL,22,FALSE)+9,1)</f>
        <v>V</v>
      </c>
      <c r="AF247" s="50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50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50" t="str">
        <f>MID(VLOOKUP($A248,Seqs!$A:$B,2,FALSE),VLOOKUP($A248,'SegEnds_NonXtal_Prot#'!A:AL,10,FALSE)+6,1)</f>
        <v>S</v>
      </c>
      <c r="X248" s="50" t="str">
        <f>MID(VLOOKUP($A248,Seqs!$A:$B,2,FALSE),VLOOKUP($A248,'SegEnds_NonXtal_Prot#'!A:AL,10,FALSE)+7,1)</f>
        <v>M</v>
      </c>
      <c r="Y248" s="50" t="str">
        <f>MID(VLOOKUP($A248,Seqs!$A:$B,2,FALSE),VLOOKUP($A248,'SegEnds_NonXtal_Prot#'!A:AL,10,FALSE)+8,1)</f>
        <v>A</v>
      </c>
      <c r="Z248" s="50" t="str">
        <f>MID(VLOOKUP($A248,Seqs!$A:$B,2,FALSE),VLOOKUP($A248,'SegEnds_NonXtal_Prot#'!A:AL,10,FALSE)+9,1)</f>
        <v>S</v>
      </c>
      <c r="AA248" s="50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50" t="str">
        <f>MID(VLOOKUP($A248,Seqs!$A:$B,2,FALSE),VLOOKUP($A248,'SegEnds_NonXtal_Prot#'!$A:$AL,22,FALSE)+7,1)</f>
        <v>N</v>
      </c>
      <c r="AD248" s="50" t="str">
        <f>MID(VLOOKUP($A248,Seqs!$A:$B,2,FALSE),VLOOKUP($A248,'SegEnds_NonXtal_Prot#'!$A:$AL,22,FALSE)+8,1)</f>
        <v>G</v>
      </c>
      <c r="AE248" s="50" t="str">
        <f>MID(VLOOKUP($A248,Seqs!$A:$B,2,FALSE),VLOOKUP($A248,'SegEnds_NonXtal_Prot#'!$A:$AL,22,FALSE)+9,1)</f>
        <v>L</v>
      </c>
      <c r="AF248" s="50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50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50" t="str">
        <f>MID(VLOOKUP($A249,Seqs!$A:$B,2,FALSE),VLOOKUP($A249,'SegEnds_NonXtal_Prot#'!A:AL,10,FALSE)+6,1)</f>
        <v>S</v>
      </c>
      <c r="X249" s="50" t="str">
        <f>MID(VLOOKUP($A249,Seqs!$A:$B,2,FALSE),VLOOKUP($A249,'SegEnds_NonXtal_Prot#'!A:AL,10,FALSE)+7,1)</f>
        <v>K</v>
      </c>
      <c r="Y249" s="50" t="str">
        <f>MID(VLOOKUP($A249,Seqs!$A:$B,2,FALSE),VLOOKUP($A249,'SegEnds_NonXtal_Prot#'!A:AL,10,FALSE)+8,1)</f>
        <v>A</v>
      </c>
      <c r="Z249" s="50" t="str">
        <f>MID(VLOOKUP($A249,Seqs!$A:$B,2,FALSE),VLOOKUP($A249,'SegEnds_NonXtal_Prot#'!A:AL,10,FALSE)+9,1)</f>
        <v>V</v>
      </c>
      <c r="AA249" s="50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50" t="str">
        <f>MID(VLOOKUP($A249,Seqs!$A:$B,2,FALSE),VLOOKUP($A249,'SegEnds_NonXtal_Prot#'!$A:$AL,22,FALSE)+7,1)</f>
        <v>T</v>
      </c>
      <c r="AD249" s="50" t="str">
        <f>MID(VLOOKUP($A249,Seqs!$A:$B,2,FALSE),VLOOKUP($A249,'SegEnds_NonXtal_Prot#'!$A:$AL,22,FALSE)+8,1)</f>
        <v>C</v>
      </c>
      <c r="AE249" s="50" t="str">
        <f>MID(VLOOKUP($A249,Seqs!$A:$B,2,FALSE),VLOOKUP($A249,'SegEnds_NonXtal_Prot#'!$A:$AL,22,FALSE)+9,1)</f>
        <v>L</v>
      </c>
      <c r="AF249" s="50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50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50" t="str">
        <f>MID(VLOOKUP($A250,Seqs!$A:$B,2,FALSE),VLOOKUP($A250,'SegEnds_NonXtal_Prot#'!A:AL,10,FALSE)+6,1)</f>
        <v>G</v>
      </c>
      <c r="X250" s="50" t="str">
        <f>MID(VLOOKUP($A250,Seqs!$A:$B,2,FALSE),VLOOKUP($A250,'SegEnds_NonXtal_Prot#'!A:AL,10,FALSE)+7,1)</f>
        <v>R</v>
      </c>
      <c r="Y250" s="50" t="str">
        <f>MID(VLOOKUP($A250,Seqs!$A:$B,2,FALSE),VLOOKUP($A250,'SegEnds_NonXtal_Prot#'!A:AL,10,FALSE)+8,1)</f>
        <v>L</v>
      </c>
      <c r="Z250" s="50" t="str">
        <f>MID(VLOOKUP($A250,Seqs!$A:$B,2,FALSE),VLOOKUP($A250,'SegEnds_NonXtal_Prot#'!A:AL,10,FALSE)+9,1)</f>
        <v>I</v>
      </c>
      <c r="AA250" s="50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50" t="str">
        <f>MID(VLOOKUP($A250,Seqs!$A:$B,2,FALSE),VLOOKUP($A250,'SegEnds_NonXtal_Prot#'!$A:$AL,22,FALSE)+7,1)</f>
        <v>S</v>
      </c>
      <c r="AD250" s="50" t="str">
        <f>MID(VLOOKUP($A250,Seqs!$A:$B,2,FALSE),VLOOKUP($A250,'SegEnds_NonXtal_Prot#'!$A:$AL,22,FALSE)+8,1)</f>
        <v>I</v>
      </c>
      <c r="AE250" s="50" t="str">
        <f>MID(VLOOKUP($A250,Seqs!$A:$B,2,FALSE),VLOOKUP($A250,'SegEnds_NonXtal_Prot#'!$A:$AL,22,FALSE)+9,1)</f>
        <v>L</v>
      </c>
      <c r="AF250" s="50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50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50" t="str">
        <f>MID(VLOOKUP($A251,Seqs!$A:$B,2,FALSE),VLOOKUP($A251,'SegEnds_NonXtal_Prot#'!A:AL,10,FALSE)+6,1)</f>
        <v>S</v>
      </c>
      <c r="X251" s="50" t="str">
        <f>MID(VLOOKUP($A251,Seqs!$A:$B,2,FALSE),VLOOKUP($A251,'SegEnds_NonXtal_Prot#'!A:AL,10,FALSE)+7,1)</f>
        <v>L</v>
      </c>
      <c r="Y251" s="50" t="str">
        <f>MID(VLOOKUP($A251,Seqs!$A:$B,2,FALSE),VLOOKUP($A251,'SegEnds_NonXtal_Prot#'!A:AL,10,FALSE)+8,1)</f>
        <v>P</v>
      </c>
      <c r="Z251" s="50" t="str">
        <f>MID(VLOOKUP($A251,Seqs!$A:$B,2,FALSE),VLOOKUP($A251,'SegEnds_NonXtal_Prot#'!A:AL,10,FALSE)+9,1)</f>
        <v>F</v>
      </c>
      <c r="AA251" s="50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50" t="str">
        <f>MID(VLOOKUP($A251,Seqs!$A:$B,2,FALSE),VLOOKUP($A251,'SegEnds_NonXtal_Prot#'!$A:$AL,22,FALSE)+7,1)</f>
        <v>V</v>
      </c>
      <c r="AD251" s="50" t="str">
        <f>MID(VLOOKUP($A251,Seqs!$A:$B,2,FALSE),VLOOKUP($A251,'SegEnds_NonXtal_Prot#'!$A:$AL,22,FALSE)+8,1)</f>
        <v>I</v>
      </c>
      <c r="AE251" s="50" t="str">
        <f>MID(VLOOKUP($A251,Seqs!$A:$B,2,FALSE),VLOOKUP($A251,'SegEnds_NonXtal_Prot#'!$A:$AL,22,FALSE)+9,1)</f>
        <v>P</v>
      </c>
      <c r="AF251" s="50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50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50" t="str">
        <f>MID(VLOOKUP($A252,Seqs!$A:$B,2,FALSE),VLOOKUP($A252,'SegEnds_NonXtal_Prot#'!A:AL,10,FALSE)+6,1)</f>
        <v>T</v>
      </c>
      <c r="X252" s="50" t="str">
        <f>MID(VLOOKUP($A252,Seqs!$A:$B,2,FALSE),VLOOKUP($A252,'SegEnds_NonXtal_Prot#'!A:AL,10,FALSE)+7,1)</f>
        <v>L</v>
      </c>
      <c r="Y252" s="50" t="str">
        <f>MID(VLOOKUP($A252,Seqs!$A:$B,2,FALSE),VLOOKUP($A252,'SegEnds_NonXtal_Prot#'!A:AL,10,FALSE)+8,1)</f>
        <v>P</v>
      </c>
      <c r="Z252" s="50" t="str">
        <f>MID(VLOOKUP($A252,Seqs!$A:$B,2,FALSE),VLOOKUP($A252,'SegEnds_NonXtal_Prot#'!A:AL,10,FALSE)+9,1)</f>
        <v>A</v>
      </c>
      <c r="AA252" s="50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50" t="str">
        <f>MID(VLOOKUP($A252,Seqs!$A:$B,2,FALSE),VLOOKUP($A252,'SegEnds_NonXtal_Prot#'!$A:$AL,22,FALSE)+7,1)</f>
        <v>I</v>
      </c>
      <c r="AD252" s="50" t="str">
        <f>MID(VLOOKUP($A252,Seqs!$A:$B,2,FALSE),VLOOKUP($A252,'SegEnds_NonXtal_Prot#'!$A:$AL,22,FALSE)+8,1)</f>
        <v>S</v>
      </c>
      <c r="AE252" s="50" t="str">
        <f>MID(VLOOKUP($A252,Seqs!$A:$B,2,FALSE),VLOOKUP($A252,'SegEnds_NonXtal_Prot#'!$A:$AL,22,FALSE)+9,1)</f>
        <v>P</v>
      </c>
      <c r="AF252" s="50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50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50" t="str">
        <f>MID(VLOOKUP($A253,Seqs!$A:$B,2,FALSE),VLOOKUP($A253,'SegEnds_NonXtal_Prot#'!A:AL,10,FALSE)+6,1)</f>
        <v>S</v>
      </c>
      <c r="X253" s="50" t="str">
        <f>MID(VLOOKUP($A253,Seqs!$A:$B,2,FALSE),VLOOKUP($A253,'SegEnds_NonXtal_Prot#'!A:AL,10,FALSE)+7,1)</f>
        <v>L</v>
      </c>
      <c r="Y253" s="50" t="str">
        <f>MID(VLOOKUP($A253,Seqs!$A:$B,2,FALSE),VLOOKUP($A253,'SegEnds_NonXtal_Prot#'!A:AL,10,FALSE)+8,1)</f>
        <v>P</v>
      </c>
      <c r="Z253" s="50" t="str">
        <f>MID(VLOOKUP($A253,Seqs!$A:$B,2,FALSE),VLOOKUP($A253,'SegEnds_NonXtal_Prot#'!A:AL,10,FALSE)+9,1)</f>
        <v>L</v>
      </c>
      <c r="AA253" s="50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50" t="str">
        <f>MID(VLOOKUP($A253,Seqs!$A:$B,2,FALSE),VLOOKUP($A253,'SegEnds_NonXtal_Prot#'!$A:$AL,22,FALSE)+7,1)</f>
        <v>Q</v>
      </c>
      <c r="AD253" s="50" t="str">
        <f>MID(VLOOKUP($A253,Seqs!$A:$B,2,FALSE),VLOOKUP($A253,'SegEnds_NonXtal_Prot#'!$A:$AL,22,FALSE)+8,1)</f>
        <v>A</v>
      </c>
      <c r="AE253" s="50" t="str">
        <f>MID(VLOOKUP($A253,Seqs!$A:$B,2,FALSE),VLOOKUP($A253,'SegEnds_NonXtal_Prot#'!$A:$AL,22,FALSE)+9,1)</f>
        <v>P</v>
      </c>
      <c r="AF253" s="50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50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50" t="str">
        <f>MID(VLOOKUP($A254,Seqs!$A:$B,2,FALSE),VLOOKUP($A254,'SegEnds_NonXtal_Prot#'!A:AL,10,FALSE)+6,1)</f>
        <v>S</v>
      </c>
      <c r="X254" s="50" t="str">
        <f>MID(VLOOKUP($A254,Seqs!$A:$B,2,FALSE),VLOOKUP($A254,'SegEnds_NonXtal_Prot#'!A:AL,10,FALSE)+7,1)</f>
        <v>L</v>
      </c>
      <c r="Y254" s="50" t="str">
        <f>MID(VLOOKUP($A254,Seqs!$A:$B,2,FALSE),VLOOKUP($A254,'SegEnds_NonXtal_Prot#'!A:AL,10,FALSE)+8,1)</f>
        <v>P</v>
      </c>
      <c r="Z254" s="50" t="str">
        <f>MID(VLOOKUP($A254,Seqs!$A:$B,2,FALSE),VLOOKUP($A254,'SegEnds_NonXtal_Prot#'!A:AL,10,FALSE)+9,1)</f>
        <v>T</v>
      </c>
      <c r="AA254" s="50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50" t="str">
        <f>MID(VLOOKUP($A254,Seqs!$A:$B,2,FALSE),VLOOKUP($A254,'SegEnds_NonXtal_Prot#'!$A:$AL,22,FALSE)+7,1)</f>
        <v>L</v>
      </c>
      <c r="AD254" s="50" t="str">
        <f>MID(VLOOKUP($A254,Seqs!$A:$B,2,FALSE),VLOOKUP($A254,'SegEnds_NonXtal_Prot#'!$A:$AL,22,FALSE)+8,1)</f>
        <v>V</v>
      </c>
      <c r="AE254" s="50" t="str">
        <f>MID(VLOOKUP($A254,Seqs!$A:$B,2,FALSE),VLOOKUP($A254,'SegEnds_NonXtal_Prot#'!$A:$AL,22,FALSE)+9,1)</f>
        <v>P</v>
      </c>
      <c r="AF254" s="50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50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50" t="str">
        <f>MID(VLOOKUP($A255,Seqs!$A:$B,2,FALSE),VLOOKUP($A255,'SegEnds_NonXtal_Prot#'!A:AL,10,FALSE)+6,1)</f>
        <v>S</v>
      </c>
      <c r="X255" s="50" t="str">
        <f>MID(VLOOKUP($A255,Seqs!$A:$B,2,FALSE),VLOOKUP($A255,'SegEnds_NonXtal_Prot#'!A:AL,10,FALSE)+7,1)</f>
        <v>L</v>
      </c>
      <c r="Y255" s="50" t="str">
        <f>MID(VLOOKUP($A255,Seqs!$A:$B,2,FALSE),VLOOKUP($A255,'SegEnds_NonXtal_Prot#'!A:AL,10,FALSE)+8,1)</f>
        <v>P</v>
      </c>
      <c r="Z255" s="50" t="str">
        <f>MID(VLOOKUP($A255,Seqs!$A:$B,2,FALSE),VLOOKUP($A255,'SegEnds_NonXtal_Prot#'!A:AL,10,FALSE)+9,1)</f>
        <v>L</v>
      </c>
      <c r="AA255" s="50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50" t="str">
        <f>MID(VLOOKUP($A255,Seqs!$A:$B,2,FALSE),VLOOKUP($A255,'SegEnds_NonXtal_Prot#'!$A:$AL,22,FALSE)+7,1)</f>
        <v>C</v>
      </c>
      <c r="AD255" s="50" t="str">
        <f>MID(VLOOKUP($A255,Seqs!$A:$B,2,FALSE),VLOOKUP($A255,'SegEnds_NonXtal_Prot#'!$A:$AL,22,FALSE)+8,1)</f>
        <v>L</v>
      </c>
      <c r="AE255" s="50" t="str">
        <f>MID(VLOOKUP($A255,Seqs!$A:$B,2,FALSE),VLOOKUP($A255,'SegEnds_NonXtal_Prot#'!$A:$AL,22,FALSE)+9,1)</f>
        <v>P</v>
      </c>
      <c r="AF255" s="50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50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50" t="str">
        <f>MID(VLOOKUP($A256,Seqs!$A:$B,2,FALSE),VLOOKUP($A256,'SegEnds_NonXtal_Prot#'!A:AL,10,FALSE)+6,1)</f>
        <v>S</v>
      </c>
      <c r="X256" s="50" t="str">
        <f>MID(VLOOKUP($A256,Seqs!$A:$B,2,FALSE),VLOOKUP($A256,'SegEnds_NonXtal_Prot#'!A:AL,10,FALSE)+7,1)</f>
        <v>L</v>
      </c>
      <c r="Y256" s="50" t="str">
        <f>MID(VLOOKUP($A256,Seqs!$A:$B,2,FALSE),VLOOKUP($A256,'SegEnds_NonXtal_Prot#'!A:AL,10,FALSE)+8,1)</f>
        <v>P</v>
      </c>
      <c r="Z256" s="50" t="str">
        <f>MID(VLOOKUP($A256,Seqs!$A:$B,2,FALSE),VLOOKUP($A256,'SegEnds_NonXtal_Prot#'!A:AL,10,FALSE)+9,1)</f>
        <v>L</v>
      </c>
      <c r="AA256" s="50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50" t="str">
        <f>MID(VLOOKUP($A256,Seqs!$A:$B,2,FALSE),VLOOKUP($A256,'SegEnds_NonXtal_Prot#'!$A:$AL,22,FALSE)+7,1)</f>
        <v>C</v>
      </c>
      <c r="AD256" s="50" t="str">
        <f>MID(VLOOKUP($A256,Seqs!$A:$B,2,FALSE),VLOOKUP($A256,'SegEnds_NonXtal_Prot#'!$A:$AL,22,FALSE)+8,1)</f>
        <v>L</v>
      </c>
      <c r="AE256" s="50" t="str">
        <f>MID(VLOOKUP($A256,Seqs!$A:$B,2,FALSE),VLOOKUP($A256,'SegEnds_NonXtal_Prot#'!$A:$AL,22,FALSE)+9,1)</f>
        <v>P</v>
      </c>
      <c r="AF256" s="50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50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50" t="str">
        <f>MID(VLOOKUP($A257,Seqs!$A:$B,2,FALSE),VLOOKUP($A257,'SegEnds_NonXtal_Prot#'!A:AL,10,FALSE)+6,1)</f>
        <v>T</v>
      </c>
      <c r="X257" s="50" t="str">
        <f>MID(VLOOKUP($A257,Seqs!$A:$B,2,FALSE),VLOOKUP($A257,'SegEnds_NonXtal_Prot#'!A:AL,10,FALSE)+7,1)</f>
        <v>L</v>
      </c>
      <c r="Y257" s="50" t="str">
        <f>MID(VLOOKUP($A257,Seqs!$A:$B,2,FALSE),VLOOKUP($A257,'SegEnds_NonXtal_Prot#'!A:AL,10,FALSE)+8,1)</f>
        <v>P</v>
      </c>
      <c r="Z257" s="50" t="str">
        <f>MID(VLOOKUP($A257,Seqs!$A:$B,2,FALSE),VLOOKUP($A257,'SegEnds_NonXtal_Prot#'!A:AL,10,FALSE)+9,1)</f>
        <v>P</v>
      </c>
      <c r="AA257" s="50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50" t="str">
        <f>MID(VLOOKUP($A257,Seqs!$A:$B,2,FALSE),VLOOKUP($A257,'SegEnds_NonXtal_Prot#'!$A:$AL,22,FALSE)+7,1)</f>
        <v>A</v>
      </c>
      <c r="AD257" s="50" t="str">
        <f>MID(VLOOKUP($A257,Seqs!$A:$B,2,FALSE),VLOOKUP($A257,'SegEnds_NonXtal_Prot#'!$A:$AL,22,FALSE)+8,1)</f>
        <v>M</v>
      </c>
      <c r="AE257" s="50" t="str">
        <f>MID(VLOOKUP($A257,Seqs!$A:$B,2,FALSE),VLOOKUP($A257,'SegEnds_NonXtal_Prot#'!$A:$AL,22,FALSE)+9,1)</f>
        <v>P</v>
      </c>
      <c r="AF257" s="50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50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50" t="str">
        <f>MID(VLOOKUP($A258,Seqs!$A:$B,2,FALSE),VLOOKUP($A258,'SegEnds_NonXtal_Prot#'!A:AL,10,FALSE)+6,1)</f>
        <v>T</v>
      </c>
      <c r="X258" s="50" t="str">
        <f>MID(VLOOKUP($A258,Seqs!$A:$B,2,FALSE),VLOOKUP($A258,'SegEnds_NonXtal_Prot#'!A:AL,10,FALSE)+7,1)</f>
        <v>L</v>
      </c>
      <c r="Y258" s="50" t="str">
        <f>MID(VLOOKUP($A258,Seqs!$A:$B,2,FALSE),VLOOKUP($A258,'SegEnds_NonXtal_Prot#'!A:AL,10,FALSE)+8,1)</f>
        <v>P</v>
      </c>
      <c r="Z258" s="50" t="str">
        <f>MID(VLOOKUP($A258,Seqs!$A:$B,2,FALSE),VLOOKUP($A258,'SegEnds_NonXtal_Prot#'!A:AL,10,FALSE)+9,1)</f>
        <v>L</v>
      </c>
      <c r="AA258" s="50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50" t="str">
        <f>MID(VLOOKUP($A258,Seqs!$A:$B,2,FALSE),VLOOKUP($A258,'SegEnds_NonXtal_Prot#'!$A:$AL,22,FALSE)+7,1)</f>
        <v>N</v>
      </c>
      <c r="AD258" s="50" t="str">
        <f>MID(VLOOKUP($A258,Seqs!$A:$B,2,FALSE),VLOOKUP($A258,'SegEnds_NonXtal_Prot#'!$A:$AL,22,FALSE)+8,1)</f>
        <v>A</v>
      </c>
      <c r="AE258" s="50" t="str">
        <f>MID(VLOOKUP($A258,Seqs!$A:$B,2,FALSE),VLOOKUP($A258,'SegEnds_NonXtal_Prot#'!$A:$AL,22,FALSE)+9,1)</f>
        <v>V</v>
      </c>
      <c r="AF258" s="50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50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50" t="str">
        <f>MID(VLOOKUP($A259,Seqs!$A:$B,2,FALSE),VLOOKUP($A259,'SegEnds_NonXtal_Prot#'!A:AL,10,FALSE)+6,1)</f>
        <v>T</v>
      </c>
      <c r="X259" s="50" t="str">
        <f>MID(VLOOKUP($A259,Seqs!$A:$B,2,FALSE),VLOOKUP($A259,'SegEnds_NonXtal_Prot#'!A:AL,10,FALSE)+7,1)</f>
        <v>L</v>
      </c>
      <c r="Y259" s="50" t="str">
        <f>MID(VLOOKUP($A259,Seqs!$A:$B,2,FALSE),VLOOKUP($A259,'SegEnds_NonXtal_Prot#'!A:AL,10,FALSE)+8,1)</f>
        <v>P</v>
      </c>
      <c r="Z259" s="50" t="str">
        <f>MID(VLOOKUP($A259,Seqs!$A:$B,2,FALSE),VLOOKUP($A259,'SegEnds_NonXtal_Prot#'!A:AL,10,FALSE)+9,1)</f>
        <v>M</v>
      </c>
      <c r="AA259" s="50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50" t="str">
        <f>MID(VLOOKUP($A259,Seqs!$A:$B,2,FALSE),VLOOKUP($A259,'SegEnds_NonXtal_Prot#'!$A:$AL,22,FALSE)+7,1)</f>
        <v>L</v>
      </c>
      <c r="AD259" s="50" t="str">
        <f>MID(VLOOKUP($A259,Seqs!$A:$B,2,FALSE),VLOOKUP($A259,'SegEnds_NonXtal_Prot#'!$A:$AL,22,FALSE)+8,1)</f>
        <v>L</v>
      </c>
      <c r="AE259" s="50" t="str">
        <f>MID(VLOOKUP($A259,Seqs!$A:$B,2,FALSE),VLOOKUP($A259,'SegEnds_NonXtal_Prot#'!$A:$AL,22,FALSE)+9,1)</f>
        <v>P</v>
      </c>
      <c r="AF259" s="50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50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50" t="str">
        <f>MID(VLOOKUP($A260,Seqs!$A:$B,2,FALSE),VLOOKUP($A260,'SegEnds_NonXtal_Prot#'!A:AL,10,FALSE)+6,1)</f>
        <v>A</v>
      </c>
      <c r="X260" s="50" t="str">
        <f>MID(VLOOKUP($A260,Seqs!$A:$B,2,FALSE),VLOOKUP($A260,'SegEnds_NonXtal_Prot#'!A:AL,10,FALSE)+7,1)</f>
        <v>L</v>
      </c>
      <c r="Y260" s="50" t="str">
        <f>MID(VLOOKUP($A260,Seqs!$A:$B,2,FALSE),VLOOKUP($A260,'SegEnds_NonXtal_Prot#'!A:AL,10,FALSE)+8,1)</f>
        <v>P</v>
      </c>
      <c r="Z260" s="50" t="str">
        <f>MID(VLOOKUP($A260,Seqs!$A:$B,2,FALSE),VLOOKUP($A260,'SegEnds_NonXtal_Prot#'!A:AL,10,FALSE)+9,1)</f>
        <v>V</v>
      </c>
      <c r="AA260" s="50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50" t="str">
        <f>MID(VLOOKUP($A260,Seqs!$A:$B,2,FALSE),VLOOKUP($A260,'SegEnds_NonXtal_Prot#'!$A:$AL,22,FALSE)+7,1)</f>
        <v>M</v>
      </c>
      <c r="AD260" s="50" t="str">
        <f>MID(VLOOKUP($A260,Seqs!$A:$B,2,FALSE),VLOOKUP($A260,'SegEnds_NonXtal_Prot#'!$A:$AL,22,FALSE)+8,1)</f>
        <v>V</v>
      </c>
      <c r="AE260" s="50" t="str">
        <f>MID(VLOOKUP($A260,Seqs!$A:$B,2,FALSE),VLOOKUP($A260,'SegEnds_NonXtal_Prot#'!$A:$AL,22,FALSE)+9,1)</f>
        <v>P</v>
      </c>
      <c r="AF260" s="50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50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50" t="str">
        <f>MID(VLOOKUP($A261,Seqs!$A:$B,2,FALSE),VLOOKUP($A261,'SegEnds_NonXtal_Prot#'!A:AL,10,FALSE)+6,1)</f>
        <v>A</v>
      </c>
      <c r="X261" s="50" t="str">
        <f>MID(VLOOKUP($A261,Seqs!$A:$B,2,FALSE),VLOOKUP($A261,'SegEnds_NonXtal_Prot#'!A:AL,10,FALSE)+7,1)</f>
        <v>L</v>
      </c>
      <c r="Y261" s="50" t="str">
        <f>MID(VLOOKUP($A261,Seqs!$A:$B,2,FALSE),VLOOKUP($A261,'SegEnds_NonXtal_Prot#'!A:AL,10,FALSE)+8,1)</f>
        <v>P</v>
      </c>
      <c r="Z261" s="50" t="str">
        <f>MID(VLOOKUP($A261,Seqs!$A:$B,2,FALSE),VLOOKUP($A261,'SegEnds_NonXtal_Prot#'!A:AL,10,FALSE)+9,1)</f>
        <v>T</v>
      </c>
      <c r="AA261" s="50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50" t="str">
        <f>MID(VLOOKUP($A261,Seqs!$A:$B,2,FALSE),VLOOKUP($A261,'SegEnds_NonXtal_Prot#'!$A:$AL,22,FALSE)+7,1)</f>
        <v>T</v>
      </c>
      <c r="AD261" s="50" t="str">
        <f>MID(VLOOKUP($A261,Seqs!$A:$B,2,FALSE),VLOOKUP($A261,'SegEnds_NonXtal_Prot#'!$A:$AL,22,FALSE)+8,1)</f>
        <v>L</v>
      </c>
      <c r="AE261" s="50" t="str">
        <f>MID(VLOOKUP($A261,Seqs!$A:$B,2,FALSE),VLOOKUP($A261,'SegEnds_NonXtal_Prot#'!$A:$AL,22,FALSE)+9,1)</f>
        <v>P</v>
      </c>
      <c r="AF261" s="50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50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50" t="str">
        <f>MID(VLOOKUP($A262,Seqs!$A:$B,2,FALSE),VLOOKUP($A262,'SegEnds_NonXtal_Prot#'!A:AL,10,FALSE)+6,1)</f>
        <v>C</v>
      </c>
      <c r="X262" s="50" t="str">
        <f>MID(VLOOKUP($A262,Seqs!$A:$B,2,FALSE),VLOOKUP($A262,'SegEnds_NonXtal_Prot#'!A:AL,10,FALSE)+7,1)</f>
        <v>L</v>
      </c>
      <c r="Y262" s="50" t="str">
        <f>MID(VLOOKUP($A262,Seqs!$A:$B,2,FALSE),VLOOKUP($A262,'SegEnds_NonXtal_Prot#'!A:AL,10,FALSE)+8,1)</f>
        <v>P</v>
      </c>
      <c r="Z262" s="50" t="str">
        <f>MID(VLOOKUP($A262,Seqs!$A:$B,2,FALSE),VLOOKUP($A262,'SegEnds_NonXtal_Prot#'!A:AL,10,FALSE)+9,1)</f>
        <v>F</v>
      </c>
      <c r="AA262" s="50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50" t="str">
        <f>MID(VLOOKUP($A262,Seqs!$A:$B,2,FALSE),VLOOKUP($A262,'SegEnds_NonXtal_Prot#'!$A:$AL,22,FALSE)+7,1)</f>
        <v>F</v>
      </c>
      <c r="AD262" s="50" t="str">
        <f>MID(VLOOKUP($A262,Seqs!$A:$B,2,FALSE),VLOOKUP($A262,'SegEnds_NonXtal_Prot#'!$A:$AL,22,FALSE)+8,1)</f>
        <v>L</v>
      </c>
      <c r="AE262" s="50" t="str">
        <f>MID(VLOOKUP($A262,Seqs!$A:$B,2,FALSE),VLOOKUP($A262,'SegEnds_NonXtal_Prot#'!$A:$AL,22,FALSE)+9,1)</f>
        <v>T</v>
      </c>
      <c r="AF262" s="50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50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50" t="str">
        <f>MID(VLOOKUP($A263,Seqs!$A:$B,2,FALSE),VLOOKUP($A263,'SegEnds_NonXtal_Prot#'!A:AL,10,FALSE)+6,1)</f>
        <v>T</v>
      </c>
      <c r="X263" s="50" t="str">
        <f>MID(VLOOKUP($A263,Seqs!$A:$B,2,FALSE),VLOOKUP($A263,'SegEnds_NonXtal_Prot#'!A:AL,10,FALSE)+7,1)</f>
        <v>F</v>
      </c>
      <c r="Y263" s="50" t="str">
        <f>MID(VLOOKUP($A263,Seqs!$A:$B,2,FALSE),VLOOKUP($A263,'SegEnds_NonXtal_Prot#'!A:AL,10,FALSE)+8,1)</f>
        <v>P</v>
      </c>
      <c r="Z263" s="50" t="str">
        <f>MID(VLOOKUP($A263,Seqs!$A:$B,2,FALSE),VLOOKUP($A263,'SegEnds_NonXtal_Prot#'!A:AL,10,FALSE)+9,1)</f>
        <v>F</v>
      </c>
      <c r="AA263" s="50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50" t="str">
        <f>MID(VLOOKUP($A263,Seqs!$A:$B,2,FALSE),VLOOKUP($A263,'SegEnds_NonXtal_Prot#'!$A:$AL,22,FALSE)+7,1)</f>
        <v>S</v>
      </c>
      <c r="AD263" s="50" t="str">
        <f>MID(VLOOKUP($A263,Seqs!$A:$B,2,FALSE),VLOOKUP($A263,'SegEnds_NonXtal_Prot#'!$A:$AL,22,FALSE)+8,1)</f>
        <v>L</v>
      </c>
      <c r="AE263" s="50" t="str">
        <f>MID(VLOOKUP($A263,Seqs!$A:$B,2,FALSE),VLOOKUP($A263,'SegEnds_NonXtal_Prot#'!$A:$AL,22,FALSE)+9,1)</f>
        <v>P</v>
      </c>
      <c r="AF263" s="50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50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50" t="str">
        <f>MID(VLOOKUP($A264,Seqs!$A:$B,2,FALSE),VLOOKUP($A264,'SegEnds_NonXtal_Prot#'!A:AL,10,FALSE)+6,1)</f>
        <v>G</v>
      </c>
      <c r="X264" s="50" t="str">
        <f>MID(VLOOKUP($A264,Seqs!$A:$B,2,FALSE),VLOOKUP($A264,'SegEnds_NonXtal_Prot#'!A:AL,10,FALSE)+7,1)</f>
        <v>H</v>
      </c>
      <c r="Y264" s="50" t="str">
        <f>MID(VLOOKUP($A264,Seqs!$A:$B,2,FALSE),VLOOKUP($A264,'SegEnds_NonXtal_Prot#'!A:AL,10,FALSE)+8,1)</f>
        <v>I</v>
      </c>
      <c r="Z264" s="50" t="str">
        <f>MID(VLOOKUP($A264,Seqs!$A:$B,2,FALSE),VLOOKUP($A264,'SegEnds_NonXtal_Prot#'!A:AL,10,FALSE)+9,1)</f>
        <v>I</v>
      </c>
      <c r="AA264" s="50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50" t="str">
        <f>MID(VLOOKUP($A264,Seqs!$A:$B,2,FALSE),VLOOKUP($A264,'SegEnds_NonXtal_Prot#'!$A:$AL,22,FALSE)+7,1)</f>
        <v>S</v>
      </c>
      <c r="AD264" s="50" t="str">
        <f>MID(VLOOKUP($A264,Seqs!$A:$B,2,FALSE),VLOOKUP($A264,'SegEnds_NonXtal_Prot#'!$A:$AL,22,FALSE)+8,1)</f>
        <v>I</v>
      </c>
      <c r="AE264" s="50" t="str">
        <f>MID(VLOOKUP($A264,Seqs!$A:$B,2,FALSE),VLOOKUP($A264,'SegEnds_NonXtal_Prot#'!$A:$AL,22,FALSE)+9,1)</f>
        <v>L</v>
      </c>
      <c r="AF264" s="50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50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50" t="str">
        <f>MID(VLOOKUP($A265,Seqs!$A:$B,2,FALSE),VLOOKUP($A265,'SegEnds_NonXtal_Prot#'!A:AL,10,FALSE)+6,1)</f>
        <v>T</v>
      </c>
      <c r="X265" s="50" t="str">
        <f>MID(VLOOKUP($A265,Seqs!$A:$B,2,FALSE),VLOOKUP($A265,'SegEnds_NonXtal_Prot#'!A:AL,10,FALSE)+7,1)</f>
        <v>F</v>
      </c>
      <c r="Y265" s="50" t="str">
        <f>MID(VLOOKUP($A265,Seqs!$A:$B,2,FALSE),VLOOKUP($A265,'SegEnds_NonXtal_Prot#'!A:AL,10,FALSE)+8,1)</f>
        <v>P</v>
      </c>
      <c r="Z265" s="50" t="str">
        <f>MID(VLOOKUP($A265,Seqs!$A:$B,2,FALSE),VLOOKUP($A265,'SegEnds_NonXtal_Prot#'!A:AL,10,FALSE)+9,1)</f>
        <v>F</v>
      </c>
      <c r="AA265" s="50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50" t="str">
        <f>MID(VLOOKUP($A265,Seqs!$A:$B,2,FALSE),VLOOKUP($A265,'SegEnds_NonXtal_Prot#'!$A:$AL,22,FALSE)+7,1)</f>
        <v>S</v>
      </c>
      <c r="AD265" s="50" t="str">
        <f>MID(VLOOKUP($A265,Seqs!$A:$B,2,FALSE),VLOOKUP($A265,'SegEnds_NonXtal_Prot#'!$A:$AL,22,FALSE)+8,1)</f>
        <v>L</v>
      </c>
      <c r="AE265" s="50" t="str">
        <f>MID(VLOOKUP($A265,Seqs!$A:$B,2,FALSE),VLOOKUP($A265,'SegEnds_NonXtal_Prot#'!$A:$AL,22,FALSE)+9,1)</f>
        <v>P</v>
      </c>
      <c r="AF265" s="50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50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50" t="str">
        <f>MID(VLOOKUP($A266,Seqs!$A:$B,2,FALSE),VLOOKUP($A266,'SegEnds_NonXtal_Prot#'!A:AL,10,FALSE)+6,1)</f>
        <v>M</v>
      </c>
      <c r="X266" s="50" t="str">
        <f>MID(VLOOKUP($A266,Seqs!$A:$B,2,FALSE),VLOOKUP($A266,'SegEnds_NonXtal_Prot#'!A:AL,10,FALSE)+7,1)</f>
        <v>L</v>
      </c>
      <c r="Y266" s="50" t="str">
        <f>MID(VLOOKUP($A266,Seqs!$A:$B,2,FALSE),VLOOKUP($A266,'SegEnds_NonXtal_Prot#'!A:AL,10,FALSE)+8,1)</f>
        <v>P</v>
      </c>
      <c r="Z266" s="50" t="str">
        <f>MID(VLOOKUP($A266,Seqs!$A:$B,2,FALSE),VLOOKUP($A266,'SegEnds_NonXtal_Prot#'!A:AL,10,FALSE)+9,1)</f>
        <v>F</v>
      </c>
      <c r="AA266" s="50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50" t="str">
        <f>MID(VLOOKUP($A266,Seqs!$A:$B,2,FALSE),VLOOKUP($A266,'SegEnds_NonXtal_Prot#'!$A:$AL,22,FALSE)+7,1)</f>
        <v>S</v>
      </c>
      <c r="AD266" s="50" t="str">
        <f>MID(VLOOKUP($A266,Seqs!$A:$B,2,FALSE),VLOOKUP($A266,'SegEnds_NonXtal_Prot#'!$A:$AL,22,FALSE)+8,1)</f>
        <v>L</v>
      </c>
      <c r="AE266" s="50" t="str">
        <f>MID(VLOOKUP($A266,Seqs!$A:$B,2,FALSE),VLOOKUP($A266,'SegEnds_NonXtal_Prot#'!$A:$AL,22,FALSE)+9,1)</f>
        <v>P</v>
      </c>
      <c r="AF266" s="50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50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50" t="str">
        <f>MID(VLOOKUP($A267,Seqs!$A:$B,2,FALSE),VLOOKUP($A267,'SegEnds_NonXtal_Prot#'!A:AL,10,FALSE)+6,1)</f>
        <v>T</v>
      </c>
      <c r="X267" s="50" t="str">
        <f>MID(VLOOKUP($A267,Seqs!$A:$B,2,FALSE),VLOOKUP($A267,'SegEnds_NonXtal_Prot#'!A:AL,10,FALSE)+7,1)</f>
        <v>F</v>
      </c>
      <c r="Y267" s="50" t="str">
        <f>MID(VLOOKUP($A267,Seqs!$A:$B,2,FALSE),VLOOKUP($A267,'SegEnds_NonXtal_Prot#'!A:AL,10,FALSE)+8,1)</f>
        <v>P</v>
      </c>
      <c r="Z267" s="50" t="str">
        <f>MID(VLOOKUP($A267,Seqs!$A:$B,2,FALSE),VLOOKUP($A267,'SegEnds_NonXtal_Prot#'!A:AL,10,FALSE)+9,1)</f>
        <v>F</v>
      </c>
      <c r="AA267" s="50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50" t="str">
        <f>MID(VLOOKUP($A267,Seqs!$A:$B,2,FALSE),VLOOKUP($A267,'SegEnds_NonXtal_Prot#'!$A:$AL,22,FALSE)+7,1)</f>
        <v>A</v>
      </c>
      <c r="AD267" s="50" t="str">
        <f>MID(VLOOKUP($A267,Seqs!$A:$B,2,FALSE),VLOOKUP($A267,'SegEnds_NonXtal_Prot#'!$A:$AL,22,FALSE)+8,1)</f>
        <v>V</v>
      </c>
      <c r="AE267" s="50" t="str">
        <f>MID(VLOOKUP($A267,Seqs!$A:$B,2,FALSE),VLOOKUP($A267,'SegEnds_NonXtal_Prot#'!$A:$AL,22,FALSE)+9,1)</f>
        <v>P</v>
      </c>
      <c r="AF267" s="50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50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agtr1_human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50" t="str">
        <f>MID(VLOOKUP($A268,Seqs!$A:$B,2,FALSE),VLOOKUP($A268,'SegEnds_NonXtal_Prot#'!A:AL,10,FALSE)+6,1)</f>
        <v>L</v>
      </c>
      <c r="X268" s="50" t="str">
        <f>MID(VLOOKUP($A268,Seqs!$A:$B,2,FALSE),VLOOKUP($A268,'SegEnds_NonXtal_Prot#'!A:AL,10,FALSE)+7,1)</f>
        <v>V</v>
      </c>
      <c r="Y268" s="50" t="str">
        <f>MID(VLOOKUP($A268,Seqs!$A:$B,2,FALSE),VLOOKUP($A268,'SegEnds_NonXtal_Prot#'!A:AL,10,FALSE)+8,1)</f>
        <v>S</v>
      </c>
      <c r="Z268" s="50" t="str">
        <f>MID(VLOOKUP($A268,Seqs!$A:$B,2,FALSE),VLOOKUP($A268,'SegEnds_NonXtal_Prot#'!A:AL,10,FALSE)+9,1)</f>
        <v>P</v>
      </c>
      <c r="AA268" s="50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50" t="str">
        <f>MID(VLOOKUP($A268,Seqs!$A:$B,2,FALSE),VLOOKUP($A268,'SegEnds_NonXtal_Prot#'!$A:$AL,22,FALSE)+7,1)</f>
        <v>C</v>
      </c>
      <c r="AD268" s="50" t="str">
        <f>MID(VLOOKUP($A268,Seqs!$A:$B,2,FALSE),VLOOKUP($A268,'SegEnds_NonXtal_Prot#'!$A:$AL,22,FALSE)+8,1)</f>
        <v>A</v>
      </c>
      <c r="AE268" s="50" t="str">
        <f>MID(VLOOKUP($A268,Seqs!$A:$B,2,FALSE),VLOOKUP($A268,'SegEnds_NonXtal_Prot#'!$A:$AL,22,FALSE)+9,1)</f>
        <v>L</v>
      </c>
      <c r="AF268" s="50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50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lpar1_human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50" t="str">
        <f>MID(VLOOKUP($A269,Seqs!$A:$B,2,FALSE),VLOOKUP($A269,'SegEnds_NonXtal_Prot#'!A:AL,10,FALSE)+6,1)</f>
        <v>I</v>
      </c>
      <c r="X269" s="50" t="str">
        <f>MID(VLOOKUP($A269,Seqs!$A:$B,2,FALSE),VLOOKUP($A269,'SegEnds_NonXtal_Prot#'!A:AL,10,FALSE)+7,1)</f>
        <v>N</v>
      </c>
      <c r="Y269" s="50" t="str">
        <f>MID(VLOOKUP($A269,Seqs!$A:$B,2,FALSE),VLOOKUP($A269,'SegEnds_NonXtal_Prot#'!A:AL,10,FALSE)+8,1)</f>
        <v>G</v>
      </c>
      <c r="Z269" s="50" t="str">
        <f>MID(VLOOKUP($A269,Seqs!$A:$B,2,FALSE),VLOOKUP($A269,'SegEnds_NonXtal_Prot#'!A:AL,10,FALSE)+9,1)</f>
        <v>A</v>
      </c>
      <c r="AA269" s="50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50" t="str">
        <f>MID(VLOOKUP($A269,Seqs!$A:$B,2,FALSE),VLOOKUP($A269,'SegEnds_NonXtal_Prot#'!$A:$AL,22,FALSE)+7,1)</f>
        <v>A</v>
      </c>
      <c r="AD269" s="50" t="str">
        <f>MID(VLOOKUP($A269,Seqs!$A:$B,2,FALSE),VLOOKUP($A269,'SegEnds_NonXtal_Prot#'!$A:$AL,22,FALSE)+8,1)</f>
        <v>L</v>
      </c>
      <c r="AE269" s="50" t="str">
        <f>MID(VLOOKUP($A269,Seqs!$A:$B,2,FALSE),VLOOKUP($A269,'SegEnds_NonXtal_Prot#'!$A:$AL,22,FALSE)+9,1)</f>
        <v>L</v>
      </c>
      <c r="AF269" s="50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50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ccr5_human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50" t="str">
        <f>MID(VLOOKUP($A270,Seqs!$A:$B,2,FALSE),VLOOKUP($A270,'SegEnds_NonXtal_Prot#'!A:AL,10,FALSE)+6,1)</f>
        <v>T</v>
      </c>
      <c r="X270" s="50" t="str">
        <f>MID(VLOOKUP($A270,Seqs!$A:$B,2,FALSE),VLOOKUP($A270,'SegEnds_NonXtal_Prot#'!A:AL,10,FALSE)+7,1)</f>
        <v>L</v>
      </c>
      <c r="Y270" s="50" t="str">
        <f>MID(VLOOKUP($A270,Seqs!$A:$B,2,FALSE),VLOOKUP($A270,'SegEnds_NonXtal_Prot#'!A:AL,10,FALSE)+8,1)</f>
        <v>P</v>
      </c>
      <c r="Z270" s="50" t="str">
        <f>MID(VLOOKUP($A270,Seqs!$A:$B,2,FALSE),VLOOKUP($A270,'SegEnds_NonXtal_Prot#'!A:AL,10,FALSE)+9,1)</f>
        <v>L</v>
      </c>
      <c r="AA270" s="50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50" t="str">
        <f>MID(VLOOKUP($A270,Seqs!$A:$B,2,FALSE),VLOOKUP($A270,'SegEnds_NonXtal_Prot#'!$A:$AL,22,FALSE)+7,1)</f>
        <v>A</v>
      </c>
      <c r="AD270" s="50" t="str">
        <f>MID(VLOOKUP($A270,Seqs!$A:$B,2,FALSE),VLOOKUP($A270,'SegEnds_NonXtal_Prot#'!$A:$AL,22,FALSE)+8,1)</f>
        <v>S</v>
      </c>
      <c r="AE270" s="50" t="str">
        <f>MID(VLOOKUP($A270,Seqs!$A:$B,2,FALSE),VLOOKUP($A270,'SegEnds_NonXtal_Prot#'!$A:$AL,22,FALSE)+9,1)</f>
        <v>Y</v>
      </c>
      <c r="AF270" s="50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50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50" t="str">
        <f>MID(VLOOKUP($A271,Seqs!$A:$B,2,FALSE),VLOOKUP($A271,'SegEnds_NonXtal_Prot#'!A:AL,10,FALSE)+6,1)</f>
        <v>F</v>
      </c>
      <c r="X271" s="50" t="str">
        <f>MID(VLOOKUP($A271,Seqs!$A:$B,2,FALSE),VLOOKUP($A271,'SegEnds_NonXtal_Prot#'!A:AL,10,FALSE)+7,1)</f>
        <v>L</v>
      </c>
      <c r="Y271" s="50" t="str">
        <f>MID(VLOOKUP($A271,Seqs!$A:$B,2,FALSE),VLOOKUP($A271,'SegEnds_NonXtal_Prot#'!A:AL,10,FALSE)+8,1)</f>
        <v>P</v>
      </c>
      <c r="Z271" s="50" t="str">
        <f>MID(VLOOKUP($A271,Seqs!$A:$B,2,FALSE),VLOOKUP($A271,'SegEnds_NonXtal_Prot#'!A:AL,10,FALSE)+9,1)</f>
        <v>F</v>
      </c>
      <c r="AA271" s="50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50" t="str">
        <f>MID(VLOOKUP($A271,Seqs!$A:$B,2,FALSE),VLOOKUP($A271,'SegEnds_NonXtal_Prot#'!$A:$AL,22,FALSE)+7,1)</f>
        <v>C</v>
      </c>
      <c r="AD271" s="50" t="str">
        <f>MID(VLOOKUP($A271,Seqs!$A:$B,2,FALSE),VLOOKUP($A271,'SegEnds_NonXtal_Prot#'!$A:$AL,22,FALSE)+8,1)</f>
        <v>S</v>
      </c>
      <c r="AE271" s="50" t="str">
        <f>MID(VLOOKUP($A271,Seqs!$A:$B,2,FALSE),VLOOKUP($A271,'SegEnds_NonXtal_Prot#'!$A:$AL,22,FALSE)+9,1)</f>
        <v>V</v>
      </c>
      <c r="AF271" s="50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50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50" t="str">
        <f>MID(VLOOKUP($A272,Seqs!$A:$B,2,FALSE),VLOOKUP($A272,'SegEnds_NonXtal_Prot#'!A:AL,10,FALSE)+6,1)</f>
        <v>S</v>
      </c>
      <c r="X272" s="50" t="str">
        <f>MID(VLOOKUP($A272,Seqs!$A:$B,2,FALSE),VLOOKUP($A272,'SegEnds_NonXtal_Prot#'!A:AL,10,FALSE)+7,1)</f>
        <v>L</v>
      </c>
      <c r="Y272" s="50" t="str">
        <f>MID(VLOOKUP($A272,Seqs!$A:$B,2,FALSE),VLOOKUP($A272,'SegEnds_NonXtal_Prot#'!A:AL,10,FALSE)+8,1)</f>
        <v>P</v>
      </c>
      <c r="Z272" s="50" t="str">
        <f>MID(VLOOKUP($A272,Seqs!$A:$B,2,FALSE),VLOOKUP($A272,'SegEnds_NonXtal_Prot#'!A:AL,10,FALSE)+9,1)</f>
        <v>T</v>
      </c>
      <c r="AA272" s="50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50" t="str">
        <f>MID(VLOOKUP($A272,Seqs!$A:$B,2,FALSE),VLOOKUP($A272,'SegEnds_NonXtal_Prot#'!$A:$AL,22,FALSE)+7,1)</f>
        <v>T</v>
      </c>
      <c r="AD272" s="50" t="str">
        <f>MID(VLOOKUP($A272,Seqs!$A:$B,2,FALSE),VLOOKUP($A272,'SegEnds_NonXtal_Prot#'!$A:$AL,22,FALSE)+8,1)</f>
        <v>L</v>
      </c>
      <c r="AE272" s="50" t="str">
        <f>MID(VLOOKUP($A272,Seqs!$A:$B,2,FALSE),VLOOKUP($A272,'SegEnds_NonXtal_Prot#'!$A:$AL,22,FALSE)+9,1)</f>
        <v>S</v>
      </c>
      <c r="AF272" s="50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50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50" t="str">
        <f>MID(VLOOKUP($A273,Seqs!$A:$B,2,FALSE),VLOOKUP($A273,'SegEnds_NonXtal_Prot#'!A:AL,10,FALSE)+6,1)</f>
        <v>T</v>
      </c>
      <c r="X273" s="50" t="str">
        <f>MID(VLOOKUP($A273,Seqs!$A:$B,2,FALSE),VLOOKUP($A273,'SegEnds_NonXtal_Prot#'!A:AL,10,FALSE)+7,1)</f>
        <v>L</v>
      </c>
      <c r="Y273" s="50" t="str">
        <f>MID(VLOOKUP($A273,Seqs!$A:$B,2,FALSE),VLOOKUP($A273,'SegEnds_NonXtal_Prot#'!A:AL,10,FALSE)+8,1)</f>
        <v>P</v>
      </c>
      <c r="Z273" s="50" t="str">
        <f>MID(VLOOKUP($A273,Seqs!$A:$B,2,FALSE),VLOOKUP($A273,'SegEnds_NonXtal_Prot#'!A:AL,10,FALSE)+9,1)</f>
        <v>F</v>
      </c>
      <c r="AA273" s="50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50" t="str">
        <f>MID(VLOOKUP($A273,Seqs!$A:$B,2,FALSE),VLOOKUP($A273,'SegEnds_NonXtal_Prot#'!$A:$AL,22,FALSE)+7,1)</f>
        <v>L</v>
      </c>
      <c r="AD273" s="50" t="str">
        <f>MID(VLOOKUP($A273,Seqs!$A:$B,2,FALSE),VLOOKUP($A273,'SegEnds_NonXtal_Prot#'!$A:$AL,22,FALSE)+8,1)</f>
        <v>V</v>
      </c>
      <c r="AE273" s="50" t="str">
        <f>MID(VLOOKUP($A273,Seqs!$A:$B,2,FALSE),VLOOKUP($A273,'SegEnds_NonXtal_Prot#'!$A:$AL,22,FALSE)+9,1)</f>
        <v>A</v>
      </c>
      <c r="AF273" s="50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50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50" t="str">
        <f>MID(VLOOKUP($A274,Seqs!$A:$B,2,FALSE),VLOOKUP($A274,'SegEnds_NonXtal_Prot#'!A:AL,10,FALSE)+6,1)</f>
        <v>F</v>
      </c>
      <c r="X274" s="50" t="str">
        <f>MID(VLOOKUP($A274,Seqs!$A:$B,2,FALSE),VLOOKUP($A274,'SegEnds_NonXtal_Prot#'!A:AL,10,FALSE)+7,1)</f>
        <v>L</v>
      </c>
      <c r="Y274" s="50" t="str">
        <f>MID(VLOOKUP($A274,Seqs!$A:$B,2,FALSE),VLOOKUP($A274,'SegEnds_NonXtal_Prot#'!A:AL,10,FALSE)+8,1)</f>
        <v>P</v>
      </c>
      <c r="Z274" s="50" t="str">
        <f>MID(VLOOKUP($A274,Seqs!$A:$B,2,FALSE),VLOOKUP($A274,'SegEnds_NonXtal_Prot#'!A:AL,10,FALSE)+9,1)</f>
        <v>F</v>
      </c>
      <c r="AA274" s="50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50" t="str">
        <f>MID(VLOOKUP($A274,Seqs!$A:$B,2,FALSE),VLOOKUP($A274,'SegEnds_NonXtal_Prot#'!$A:$AL,22,FALSE)+7,1)</f>
        <v>C</v>
      </c>
      <c r="AD274" s="50" t="str">
        <f>MID(VLOOKUP($A274,Seqs!$A:$B,2,FALSE),VLOOKUP($A274,'SegEnds_NonXtal_Prot#'!$A:$AL,22,FALSE)+8,1)</f>
        <v>S</v>
      </c>
      <c r="AE274" s="50" t="str">
        <f>MID(VLOOKUP($A274,Seqs!$A:$B,2,FALSE),VLOOKUP($A274,'SegEnds_NonXtal_Prot#'!$A:$AL,22,FALSE)+9,1)</f>
        <v>V</v>
      </c>
      <c r="AF274" s="50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50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50" t="str">
        <f>MID(VLOOKUP($A275,Seqs!$A:$B,2,FALSE),VLOOKUP($A275,'SegEnds_NonXtal_Prot#'!A:AL,10,FALSE)+6,1)</f>
        <v>S</v>
      </c>
      <c r="X275" s="50" t="str">
        <f>MID(VLOOKUP($A275,Seqs!$A:$B,2,FALSE),VLOOKUP($A275,'SegEnds_NonXtal_Prot#'!A:AL,10,FALSE)+7,1)</f>
        <v>L</v>
      </c>
      <c r="Y275" s="50" t="str">
        <f>MID(VLOOKUP($A275,Seqs!$A:$B,2,FALSE),VLOOKUP($A275,'SegEnds_NonXtal_Prot#'!A:AL,10,FALSE)+8,1)</f>
        <v>P</v>
      </c>
      <c r="Z275" s="50" t="str">
        <f>MID(VLOOKUP($A275,Seqs!$A:$B,2,FALSE),VLOOKUP($A275,'SegEnds_NonXtal_Prot#'!A:AL,10,FALSE)+9,1)</f>
        <v>F</v>
      </c>
      <c r="AA275" s="50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50" t="str">
        <f>MID(VLOOKUP($A275,Seqs!$A:$B,2,FALSE),VLOOKUP($A275,'SegEnds_NonXtal_Prot#'!$A:$AL,22,FALSE)+7,1)</f>
        <v>S</v>
      </c>
      <c r="AD275" s="50" t="str">
        <f>MID(VLOOKUP($A275,Seqs!$A:$B,2,FALSE),VLOOKUP($A275,'SegEnds_NonXtal_Prot#'!$A:$AL,22,FALSE)+8,1)</f>
        <v>I</v>
      </c>
      <c r="AE275" s="50" t="str">
        <f>MID(VLOOKUP($A275,Seqs!$A:$B,2,FALSE),VLOOKUP($A275,'SegEnds_NonXtal_Prot#'!$A:$AL,22,FALSE)+9,1)</f>
        <v>P</v>
      </c>
      <c r="AF275" s="50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50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50" t="str">
        <f>MID(VLOOKUP($A276,Seqs!$A:$B,2,FALSE),VLOOKUP($A276,'SegEnds_NonXtal_Prot#'!A:AL,10,FALSE)+6,1)</f>
        <v>C</v>
      </c>
      <c r="X276" s="50" t="str">
        <f>MID(VLOOKUP($A276,Seqs!$A:$B,2,FALSE),VLOOKUP($A276,'SegEnds_NonXtal_Prot#'!A:AL,10,FALSE)+7,1)</f>
        <v>H</v>
      </c>
      <c r="Y276" s="50" t="str">
        <f>MID(VLOOKUP($A276,Seqs!$A:$B,2,FALSE),VLOOKUP($A276,'SegEnds_NonXtal_Prot#'!A:AL,10,FALSE)+8,1)</f>
        <v>M</v>
      </c>
      <c r="Z276" s="50" t="str">
        <f>MID(VLOOKUP($A276,Seqs!$A:$B,2,FALSE),VLOOKUP($A276,'SegEnds_NonXtal_Prot#'!A:AL,10,FALSE)+9,1)</f>
        <v>V</v>
      </c>
      <c r="AA276" s="50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50" t="str">
        <f>MID(VLOOKUP($A276,Seqs!$A:$B,2,FALSE),VLOOKUP($A276,'SegEnds_NonXtal_Prot#'!$A:$AL,22,FALSE)+7,1)</f>
        <v>H</v>
      </c>
      <c r="AD276" s="50" t="str">
        <f>MID(VLOOKUP($A276,Seqs!$A:$B,2,FALSE),VLOOKUP($A276,'SegEnds_NonXtal_Prot#'!$A:$AL,22,FALSE)+8,1)</f>
        <v>L</v>
      </c>
      <c r="AE276" s="50" t="str">
        <f>MID(VLOOKUP($A276,Seqs!$A:$B,2,FALSE),VLOOKUP($A276,'SegEnds_NonXtal_Prot#'!$A:$AL,22,FALSE)+9,1)</f>
        <v>L</v>
      </c>
      <c r="AF276" s="50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50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50" t="str">
        <f>MID(VLOOKUP($A277,Seqs!$A:$B,2,FALSE),VLOOKUP($A277,'SegEnds_NonXtal_Prot#'!A:AL,10,FALSE)+6,1)</f>
        <v>V</v>
      </c>
      <c r="X277" s="50" t="str">
        <f>MID(VLOOKUP($A277,Seqs!$A:$B,2,FALSE),VLOOKUP($A277,'SegEnds_NonXtal_Prot#'!A:AL,10,FALSE)+7,1)</f>
        <v>L</v>
      </c>
      <c r="Y277" s="50" t="str">
        <f>MID(VLOOKUP($A277,Seqs!$A:$B,2,FALSE),VLOOKUP($A277,'SegEnds_NonXtal_Prot#'!A:AL,10,FALSE)+8,1)</f>
        <v>P</v>
      </c>
      <c r="Z277" s="50" t="str">
        <f>MID(VLOOKUP($A277,Seqs!$A:$B,2,FALSE),VLOOKUP($A277,'SegEnds_NonXtal_Prot#'!A:AL,10,FALSE)+9,1)</f>
        <v>F</v>
      </c>
      <c r="AA277" s="50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50" t="str">
        <f>MID(VLOOKUP($A277,Seqs!$A:$B,2,FALSE),VLOOKUP($A277,'SegEnds_NonXtal_Prot#'!$A:$AL,22,FALSE)+7,1)</f>
        <v>L</v>
      </c>
      <c r="AD277" s="50" t="str">
        <f>MID(VLOOKUP($A277,Seqs!$A:$B,2,FALSE),VLOOKUP($A277,'SegEnds_NonXtal_Prot#'!$A:$AL,22,FALSE)+8,1)</f>
        <v>S</v>
      </c>
      <c r="AE277" s="50" t="str">
        <f>MID(VLOOKUP($A277,Seqs!$A:$B,2,FALSE),VLOOKUP($A277,'SegEnds_NonXtal_Prot#'!$A:$AL,22,FALSE)+9,1)</f>
        <v>P</v>
      </c>
      <c r="AF277" s="50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50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50" t="str">
        <f>MID(VLOOKUP($A278,Seqs!$A:$B,2,FALSE),VLOOKUP($A278,'SegEnds_NonXtal_Prot#'!A:AL,10,FALSE)+6,1)</f>
        <v>V</v>
      </c>
      <c r="X278" s="50" t="str">
        <f>MID(VLOOKUP($A278,Seqs!$A:$B,2,FALSE),VLOOKUP($A278,'SegEnds_NonXtal_Prot#'!A:AL,10,FALSE)+7,1)</f>
        <v>L</v>
      </c>
      <c r="Y278" s="50" t="str">
        <f>MID(VLOOKUP($A278,Seqs!$A:$B,2,FALSE),VLOOKUP($A278,'SegEnds_NonXtal_Prot#'!A:AL,10,FALSE)+8,1)</f>
        <v>P</v>
      </c>
      <c r="Z278" s="50" t="str">
        <f>MID(VLOOKUP($A278,Seqs!$A:$B,2,FALSE),VLOOKUP($A278,'SegEnds_NonXtal_Prot#'!A:AL,10,FALSE)+9,1)</f>
        <v>F</v>
      </c>
      <c r="AA278" s="50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50" t="str">
        <f>MID(VLOOKUP($A278,Seqs!$A:$B,2,FALSE),VLOOKUP($A278,'SegEnds_NonXtal_Prot#'!$A:$AL,22,FALSE)+7,1)</f>
        <v>V</v>
      </c>
      <c r="AD278" s="50" t="str">
        <f>MID(VLOOKUP($A278,Seqs!$A:$B,2,FALSE),VLOOKUP($A278,'SegEnds_NonXtal_Prot#'!$A:$AL,22,FALSE)+8,1)</f>
        <v>V</v>
      </c>
      <c r="AE278" s="50" t="str">
        <f>MID(VLOOKUP($A278,Seqs!$A:$B,2,FALSE),VLOOKUP($A278,'SegEnds_NonXtal_Prot#'!$A:$AL,22,FALSE)+9,1)</f>
        <v>P</v>
      </c>
      <c r="AF278" s="50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50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50" t="str">
        <f>MID(VLOOKUP($A279,Seqs!$A:$B,2,FALSE),VLOOKUP($A279,'SegEnds_NonXtal_Prot#'!A:AL,10,FALSE)+6,1)</f>
        <v>W</v>
      </c>
      <c r="X279" s="50" t="str">
        <f>MID(VLOOKUP($A279,Seqs!$A:$B,2,FALSE),VLOOKUP($A279,'SegEnds_NonXtal_Prot#'!A:AL,10,FALSE)+7,1)</f>
        <v>F</v>
      </c>
      <c r="Y279" s="50" t="str">
        <f>MID(VLOOKUP($A279,Seqs!$A:$B,2,FALSE),VLOOKUP($A279,'SegEnds_NonXtal_Prot#'!A:AL,10,FALSE)+8,1)</f>
        <v>P</v>
      </c>
      <c r="Z279" s="50" t="str">
        <f>MID(VLOOKUP($A279,Seqs!$A:$B,2,FALSE),VLOOKUP($A279,'SegEnds_NonXtal_Prot#'!A:AL,10,FALSE)+9,1)</f>
        <v>L</v>
      </c>
      <c r="AA279" s="50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50" t="str">
        <f>MID(VLOOKUP($A279,Seqs!$A:$B,2,FALSE),VLOOKUP($A279,'SegEnds_NonXtal_Prot#'!$A:$AL,22,FALSE)+7,1)</f>
        <v>T</v>
      </c>
      <c r="AD279" s="50" t="str">
        <f>MID(VLOOKUP($A279,Seqs!$A:$B,2,FALSE),VLOOKUP($A279,'SegEnds_NonXtal_Prot#'!$A:$AL,22,FALSE)+8,1)</f>
        <v>I</v>
      </c>
      <c r="AE279" s="50" t="str">
        <f>MID(VLOOKUP($A279,Seqs!$A:$B,2,FALSE),VLOOKUP($A279,'SegEnds_NonXtal_Prot#'!$A:$AL,22,FALSE)+9,1)</f>
        <v>P</v>
      </c>
      <c r="AF279" s="50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50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50" t="str">
        <f>MID(VLOOKUP($A280,Seqs!$A:$B,2,FALSE),VLOOKUP($A280,'SegEnds_NonXtal_Prot#'!A:AL,10,FALSE)+6,1)</f>
        <v>T</v>
      </c>
      <c r="X280" s="50" t="str">
        <f>MID(VLOOKUP($A280,Seqs!$A:$B,2,FALSE),VLOOKUP($A280,'SegEnds_NonXtal_Prot#'!A:AL,10,FALSE)+7,1)</f>
        <v>L</v>
      </c>
      <c r="Y280" s="50" t="str">
        <f>MID(VLOOKUP($A280,Seqs!$A:$B,2,FALSE),VLOOKUP($A280,'SegEnds_NonXtal_Prot#'!A:AL,10,FALSE)+8,1)</f>
        <v>P</v>
      </c>
      <c r="Z280" s="50" t="str">
        <f>MID(VLOOKUP($A280,Seqs!$A:$B,2,FALSE),VLOOKUP($A280,'SegEnds_NonXtal_Prot#'!A:AL,10,FALSE)+9,1)</f>
        <v>F</v>
      </c>
      <c r="AA280" s="50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50" t="str">
        <f>MID(VLOOKUP($A280,Seqs!$A:$B,2,FALSE),VLOOKUP($A280,'SegEnds_NonXtal_Prot#'!$A:$AL,22,FALSE)+7,1)</f>
        <v>M</v>
      </c>
      <c r="AD280" s="50" t="str">
        <f>MID(VLOOKUP($A280,Seqs!$A:$B,2,FALSE),VLOOKUP($A280,'SegEnds_NonXtal_Prot#'!$A:$AL,22,FALSE)+8,1)</f>
        <v>L</v>
      </c>
      <c r="AE280" s="50" t="str">
        <f>MID(VLOOKUP($A280,Seqs!$A:$B,2,FALSE),VLOOKUP($A280,'SegEnds_NonXtal_Prot#'!$A:$AL,22,FALSE)+9,1)</f>
        <v>P</v>
      </c>
      <c r="AF280" s="50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50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50" t="str">
        <f>MID(VLOOKUP($A281,Seqs!$A:$B,2,FALSE),VLOOKUP($A281,'SegEnds_NonXtal_Prot#'!A:AL,10,FALSE)+6,1)</f>
        <v>A</v>
      </c>
      <c r="X281" s="50" t="str">
        <f>MID(VLOOKUP($A281,Seqs!$A:$B,2,FALSE),VLOOKUP($A281,'SegEnds_NonXtal_Prot#'!A:AL,10,FALSE)+7,1)</f>
        <v>L</v>
      </c>
      <c r="Y281" s="50" t="str">
        <f>MID(VLOOKUP($A281,Seqs!$A:$B,2,FALSE),VLOOKUP($A281,'SegEnds_NonXtal_Prot#'!A:AL,10,FALSE)+8,1)</f>
        <v>P</v>
      </c>
      <c r="Z281" s="50" t="str">
        <f>MID(VLOOKUP($A281,Seqs!$A:$B,2,FALSE),VLOOKUP($A281,'SegEnds_NonXtal_Prot#'!A:AL,10,FALSE)+9,1)</f>
        <v>P</v>
      </c>
      <c r="AA281" s="50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50" t="str">
        <f>MID(VLOOKUP($A281,Seqs!$A:$B,2,FALSE),VLOOKUP($A281,'SegEnds_NonXtal_Prot#'!$A:$AL,22,FALSE)+7,1)</f>
        <v>A</v>
      </c>
      <c r="AD281" s="50" t="str">
        <f>MID(VLOOKUP($A281,Seqs!$A:$B,2,FALSE),VLOOKUP($A281,'SegEnds_NonXtal_Prot#'!$A:$AL,22,FALSE)+8,1)</f>
        <v>L</v>
      </c>
      <c r="AE281" s="50" t="str">
        <f>MID(VLOOKUP($A281,Seqs!$A:$B,2,FALSE),VLOOKUP($A281,'SegEnds_NonXtal_Prot#'!$A:$AL,22,FALSE)+9,1)</f>
        <v>P</v>
      </c>
      <c r="AF281" s="50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50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50" t="str">
        <f>MID(VLOOKUP($A282,Seqs!$A:$B,2,FALSE),VLOOKUP($A282,'SegEnds_NonXtal_Prot#'!A:AL,10,FALSE)+6,1)</f>
        <v>Y</v>
      </c>
      <c r="X282" s="50" t="str">
        <f>MID(VLOOKUP($A282,Seqs!$A:$B,2,FALSE),VLOOKUP($A282,'SegEnds_NonXtal_Prot#'!A:AL,10,FALSE)+7,1)</f>
        <v>K</v>
      </c>
      <c r="Y282" s="50" t="str">
        <f>MID(VLOOKUP($A282,Seqs!$A:$B,2,FALSE),VLOOKUP($A282,'SegEnds_NonXtal_Prot#'!A:AL,10,FALSE)+8,1)</f>
        <v>I</v>
      </c>
      <c r="Z282" s="50" t="str">
        <f>MID(VLOOKUP($A282,Seqs!$A:$B,2,FALSE),VLOOKUP($A282,'SegEnds_NonXtal_Prot#'!A:AL,10,FALSE)+9,1)</f>
        <v>L</v>
      </c>
      <c r="AA282" s="50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50" t="str">
        <f>MID(VLOOKUP($A282,Seqs!$A:$B,2,FALSE),VLOOKUP($A282,'SegEnds_NonXtal_Prot#'!$A:$AL,22,FALSE)+7,1)</f>
        <v>G</v>
      </c>
      <c r="AD282" s="50" t="str">
        <f>MID(VLOOKUP($A282,Seqs!$A:$B,2,FALSE),VLOOKUP($A282,'SegEnds_NonXtal_Prot#'!$A:$AL,22,FALSE)+8,1)</f>
        <v>I</v>
      </c>
      <c r="AE282" s="50" t="str">
        <f>MID(VLOOKUP($A282,Seqs!$A:$B,2,FALSE),VLOOKUP($A282,'SegEnds_NonXtal_Prot#'!$A:$AL,22,FALSE)+9,1)</f>
        <v>T</v>
      </c>
      <c r="AF282" s="50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50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50" t="str">
        <f>MID(VLOOKUP($A283,Seqs!$A:$B,2,FALSE),VLOOKUP($A283,'SegEnds_NonXtal_Prot#'!A:AL,10,FALSE)+6,1)</f>
        <v>A</v>
      </c>
      <c r="X283" s="50" t="str">
        <f>MID(VLOOKUP($A283,Seqs!$A:$B,2,FALSE),VLOOKUP($A283,'SegEnds_NonXtal_Prot#'!A:AL,10,FALSE)+7,1)</f>
        <v>I</v>
      </c>
      <c r="Y283" s="50" t="str">
        <f>MID(VLOOKUP($A283,Seqs!$A:$B,2,FALSE),VLOOKUP($A283,'SegEnds_NonXtal_Prot#'!A:AL,10,FALSE)+8,1)</f>
        <v>S</v>
      </c>
      <c r="Z283" s="50" t="str">
        <f>MID(VLOOKUP($A283,Seqs!$A:$B,2,FALSE),VLOOKUP($A283,'SegEnds_NonXtal_Prot#'!A:AL,10,FALSE)+9,1)</f>
        <v>G</v>
      </c>
      <c r="AA283" s="50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50" t="str">
        <f>MID(VLOOKUP($A283,Seqs!$A:$B,2,FALSE),VLOOKUP($A283,'SegEnds_NonXtal_Prot#'!$A:$AL,22,FALSE)+7,1)</f>
        <v>G</v>
      </c>
      <c r="AD283" s="50" t="str">
        <f>MID(VLOOKUP($A283,Seqs!$A:$B,2,FALSE),VLOOKUP($A283,'SegEnds_NonXtal_Prot#'!$A:$AL,22,FALSE)+8,1)</f>
        <v>F</v>
      </c>
      <c r="AE283" s="50" t="str">
        <f>MID(VLOOKUP($A283,Seqs!$A:$B,2,FALSE),VLOOKUP($A283,'SegEnds_NonXtal_Prot#'!$A:$AL,22,FALSE)+9,1)</f>
        <v>L</v>
      </c>
      <c r="AF283" s="50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50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50" t="str">
        <f>MID(VLOOKUP($A284,Seqs!$A:$B,2,FALSE),VLOOKUP($A284,'SegEnds_NonXtal_Prot#'!A:AL,10,FALSE)+6,1)</f>
        <v>G</v>
      </c>
      <c r="X284" s="50" t="str">
        <f>MID(VLOOKUP($A284,Seqs!$A:$B,2,FALSE),VLOOKUP($A284,'SegEnds_NonXtal_Prot#'!A:AL,10,FALSE)+7,1)</f>
        <v>L</v>
      </c>
      <c r="Y284" s="50" t="str">
        <f>MID(VLOOKUP($A284,Seqs!$A:$B,2,FALSE),VLOOKUP($A284,'SegEnds_NonXtal_Prot#'!A:AL,10,FALSE)+8,1)</f>
        <v>I</v>
      </c>
      <c r="Z284" s="50" t="str">
        <f>MID(VLOOKUP($A284,Seqs!$A:$B,2,FALSE),VLOOKUP($A284,'SegEnds_NonXtal_Prot#'!A:AL,10,FALSE)+9,1)</f>
        <v>T</v>
      </c>
      <c r="AA284" s="50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50" t="str">
        <f>MID(VLOOKUP($A284,Seqs!$A:$B,2,FALSE),VLOOKUP($A284,'SegEnds_NonXtal_Prot#'!$A:$AL,22,FALSE)+7,1)</f>
        <v>G</v>
      </c>
      <c r="AD284" s="50" t="str">
        <f>MID(VLOOKUP($A284,Seqs!$A:$B,2,FALSE),VLOOKUP($A284,'SegEnds_NonXtal_Prot#'!$A:$AL,22,FALSE)+8,1)</f>
        <v>L</v>
      </c>
      <c r="AE284" s="50" t="str">
        <f>MID(VLOOKUP($A284,Seqs!$A:$B,2,FALSE),VLOOKUP($A284,'SegEnds_NonXtal_Prot#'!$A:$AL,22,FALSE)+9,1)</f>
        <v>L</v>
      </c>
      <c r="AF284" s="50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50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50" t="str">
        <f>MID(VLOOKUP($A285,Seqs!$A:$B,2,FALSE),VLOOKUP($A285,'SegEnds_NonXtal_Prot#'!A:AL,10,FALSE)+6,1)</f>
        <v>G</v>
      </c>
      <c r="X285" s="50" t="str">
        <f>MID(VLOOKUP($A285,Seqs!$A:$B,2,FALSE),VLOOKUP($A285,'SegEnds_NonXtal_Prot#'!A:AL,10,FALSE)+7,1)</f>
        <v>L</v>
      </c>
      <c r="Y285" s="50" t="str">
        <f>MID(VLOOKUP($A285,Seqs!$A:$B,2,FALSE),VLOOKUP($A285,'SegEnds_NonXtal_Prot#'!A:AL,10,FALSE)+8,1)</f>
        <v>I</v>
      </c>
      <c r="Z285" s="50" t="str">
        <f>MID(VLOOKUP($A285,Seqs!$A:$B,2,FALSE),VLOOKUP($A285,'SegEnds_NonXtal_Prot#'!A:AL,10,FALSE)+9,1)</f>
        <v>L</v>
      </c>
      <c r="AA285" s="50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50" t="str">
        <f>MID(VLOOKUP($A285,Seqs!$A:$B,2,FALSE),VLOOKUP($A285,'SegEnds_NonXtal_Prot#'!$A:$AL,22,FALSE)+7,1)</f>
        <v>G</v>
      </c>
      <c r="AD285" s="50" t="str">
        <f>MID(VLOOKUP($A285,Seqs!$A:$B,2,FALSE),VLOOKUP($A285,'SegEnds_NonXtal_Prot#'!$A:$AL,22,FALSE)+8,1)</f>
        <v>L</v>
      </c>
      <c r="AE285" s="50" t="str">
        <f>MID(VLOOKUP($A285,Seqs!$A:$B,2,FALSE),VLOOKUP($A285,'SegEnds_NonXtal_Prot#'!$A:$AL,22,FALSE)+9,1)</f>
        <v>L</v>
      </c>
      <c r="AF285" s="50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50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50" t="str">
        <f>MID(VLOOKUP($A286,Seqs!$A:$B,2,FALSE),VLOOKUP($A286,'SegEnds_NonXtal_Prot#'!A:AL,10,FALSE)+6,1)</f>
        <v>S</v>
      </c>
      <c r="X286" s="50" t="str">
        <f>MID(VLOOKUP($A286,Seqs!$A:$B,2,FALSE),VLOOKUP($A286,'SegEnds_NonXtal_Prot#'!A:AL,10,FALSE)+7,1)</f>
        <v>N</v>
      </c>
      <c r="Y286" s="50" t="str">
        <f>MID(VLOOKUP($A286,Seqs!$A:$B,2,FALSE),VLOOKUP($A286,'SegEnds_NonXtal_Prot#'!A:AL,10,FALSE)+8,1)</f>
        <v>A</v>
      </c>
      <c r="Z286" s="50" t="str">
        <f>MID(VLOOKUP($A286,Seqs!$A:$B,2,FALSE),VLOOKUP($A286,'SegEnds_NonXtal_Prot#'!A:AL,10,FALSE)+9,1)</f>
        <v>L</v>
      </c>
      <c r="AA286" s="50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50" t="str">
        <f>MID(VLOOKUP($A286,Seqs!$A:$B,2,FALSE),VLOOKUP($A286,'SegEnds_NonXtal_Prot#'!$A:$AL,22,FALSE)+7,1)</f>
        <v>G</v>
      </c>
      <c r="AD286" s="50" t="str">
        <f>MID(VLOOKUP($A286,Seqs!$A:$B,2,FALSE),VLOOKUP($A286,'SegEnds_NonXtal_Prot#'!$A:$AL,22,FALSE)+8,1)</f>
        <v>V</v>
      </c>
      <c r="AE286" s="50" t="str">
        <f>MID(VLOOKUP($A286,Seqs!$A:$B,2,FALSE),VLOOKUP($A286,'SegEnds_NonXtal_Prot#'!$A:$AL,22,FALSE)+9,1)</f>
        <v>V</v>
      </c>
      <c r="AF286" s="50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50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50" t="str">
        <f>MID(VLOOKUP($A287,Seqs!$A:$B,2,FALSE),VLOOKUP($A287,'SegEnds_NonXtal_Prot#'!A:AL,10,FALSE)+6,1)</f>
        <v>S</v>
      </c>
      <c r="X287" s="50" t="str">
        <f>MID(VLOOKUP($A287,Seqs!$A:$B,2,FALSE),VLOOKUP($A287,'SegEnds_NonXtal_Prot#'!A:AL,10,FALSE)+7,1)</f>
        <v>N</v>
      </c>
      <c r="Y287" s="50" t="str">
        <f>MID(VLOOKUP($A287,Seqs!$A:$B,2,FALSE),VLOOKUP($A287,'SegEnds_NonXtal_Prot#'!A:AL,10,FALSE)+8,1)</f>
        <v>G</v>
      </c>
      <c r="Z287" s="50" t="str">
        <f>MID(VLOOKUP($A287,Seqs!$A:$B,2,FALSE),VLOOKUP($A287,'SegEnds_NonXtal_Prot#'!A:AL,10,FALSE)+9,1)</f>
        <v>S</v>
      </c>
      <c r="AA287" s="50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50" t="str">
        <f>MID(VLOOKUP($A287,Seqs!$A:$B,2,FALSE),VLOOKUP($A287,'SegEnds_NonXtal_Prot#'!$A:$AL,22,FALSE)+7,1)</f>
        <v>G</v>
      </c>
      <c r="AD287" s="50" t="str">
        <f>MID(VLOOKUP($A287,Seqs!$A:$B,2,FALSE),VLOOKUP($A287,'SegEnds_NonXtal_Prot#'!$A:$AL,22,FALSE)+8,1)</f>
        <v>I</v>
      </c>
      <c r="AE287" s="50" t="str">
        <f>MID(VLOOKUP($A287,Seqs!$A:$B,2,FALSE),VLOOKUP($A287,'SegEnds_NonXtal_Prot#'!$A:$AL,22,FALSE)+9,1)</f>
        <v>L</v>
      </c>
      <c r="AF287" s="50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50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50" t="str">
        <f>MID(VLOOKUP($A288,Seqs!$A:$B,2,FALSE),VLOOKUP($A288,'SegEnds_NonXtal_Prot#'!A:AL,10,FALSE)+6,1)</f>
        <v>S</v>
      </c>
      <c r="X288" s="50" t="str">
        <f>MID(VLOOKUP($A288,Seqs!$A:$B,2,FALSE),VLOOKUP($A288,'SegEnds_NonXtal_Prot#'!A:AL,10,FALSE)+7,1)</f>
        <v>N</v>
      </c>
      <c r="Y288" s="50" t="str">
        <f>MID(VLOOKUP($A288,Seqs!$A:$B,2,FALSE),VLOOKUP($A288,'SegEnds_NonXtal_Prot#'!A:AL,10,FALSE)+8,1)</f>
        <v>V</v>
      </c>
      <c r="Z288" s="50" t="str">
        <f>MID(VLOOKUP($A288,Seqs!$A:$B,2,FALSE),VLOOKUP($A288,'SegEnds_NonXtal_Prot#'!A:AL,10,FALSE)+9,1)</f>
        <v>L</v>
      </c>
      <c r="AA288" s="50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50" t="str">
        <f>MID(VLOOKUP($A288,Seqs!$A:$B,2,FALSE),VLOOKUP($A288,'SegEnds_NonXtal_Prot#'!$A:$AL,22,FALSE)+7,1)</f>
        <v>S</v>
      </c>
      <c r="AD288" s="50" t="str">
        <f>MID(VLOOKUP($A288,Seqs!$A:$B,2,FALSE),VLOOKUP($A288,'SegEnds_NonXtal_Prot#'!$A:$AL,22,FALSE)+8,1)</f>
        <v>T</v>
      </c>
      <c r="AE288" s="50" t="str">
        <f>MID(VLOOKUP($A288,Seqs!$A:$B,2,FALSE),VLOOKUP($A288,'SegEnds_NonXtal_Prot#'!$A:$AL,22,FALSE)+9,1)</f>
        <v>L</v>
      </c>
      <c r="AF288" s="50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50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50" t="str">
        <f>MID(VLOOKUP($A289,Seqs!$A:$B,2,FALSE),VLOOKUP($A289,'SegEnds_NonXtal_Prot#'!A:AL,10,FALSE)+6,1)</f>
        <v>L</v>
      </c>
      <c r="X289" s="50" t="str">
        <f>MID(VLOOKUP($A289,Seqs!$A:$B,2,FALSE),VLOOKUP($A289,'SegEnds_NonXtal_Prot#'!A:AL,10,FALSE)+7,1)</f>
        <v>T</v>
      </c>
      <c r="Y289" s="50" t="str">
        <f>MID(VLOOKUP($A289,Seqs!$A:$B,2,FALSE),VLOOKUP($A289,'SegEnds_NonXtal_Prot#'!A:AL,10,FALSE)+8,1)</f>
        <v>T</v>
      </c>
      <c r="Z289" s="50" t="str">
        <f>MID(VLOOKUP($A289,Seqs!$A:$B,2,FALSE),VLOOKUP($A289,'SegEnds_NonXtal_Prot#'!A:AL,10,FALSE)+9,1)</f>
        <v>P</v>
      </c>
      <c r="AA289" s="50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50" t="str">
        <f>MID(VLOOKUP($A289,Seqs!$A:$B,2,FALSE),VLOOKUP($A289,'SegEnds_NonXtal_Prot#'!$A:$AL,22,FALSE)+7,1)</f>
        <v>A</v>
      </c>
      <c r="AD289" s="50" t="str">
        <f>MID(VLOOKUP($A289,Seqs!$A:$B,2,FALSE),VLOOKUP($A289,'SegEnds_NonXtal_Prot#'!$A:$AL,22,FALSE)+8,1)</f>
        <v>L</v>
      </c>
      <c r="AE289" s="50" t="str">
        <f>MID(VLOOKUP($A289,Seqs!$A:$B,2,FALSE),VLOOKUP($A289,'SegEnds_NonXtal_Prot#'!$A:$AL,22,FALSE)+9,1)</f>
        <v>L</v>
      </c>
      <c r="AF289" s="50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50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50" t="str">
        <f>MID(VLOOKUP($A290,Seqs!$A:$B,2,FALSE),VLOOKUP($A290,'SegEnds_NonXtal_Prot#'!A:AL,10,FALSE)+6,1)</f>
        <v>A</v>
      </c>
      <c r="X290" s="50" t="str">
        <f>MID(VLOOKUP($A290,Seqs!$A:$B,2,FALSE),VLOOKUP($A290,'SegEnds_NonXtal_Prot#'!A:AL,10,FALSE)+7,1)</f>
        <v>Y</v>
      </c>
      <c r="Y290" s="50" t="str">
        <f>MID(VLOOKUP($A290,Seqs!$A:$B,2,FALSE),VLOOKUP($A290,'SegEnds_NonXtal_Prot#'!A:AL,10,FALSE)+8,1)</f>
        <v>T</v>
      </c>
      <c r="Z290" s="50" t="str">
        <f>MID(VLOOKUP($A290,Seqs!$A:$B,2,FALSE),VLOOKUP($A290,'SegEnds_NonXtal_Prot#'!A:AL,10,FALSE)+9,1)</f>
        <v>A</v>
      </c>
      <c r="AA290" s="50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50" t="str">
        <f>MID(VLOOKUP($A290,Seqs!$A:$B,2,FALSE),VLOOKUP($A290,'SegEnds_NonXtal_Prot#'!$A:$AL,22,FALSE)+7,1)</f>
        <v>G</v>
      </c>
      <c r="AD290" s="50" t="str">
        <f>MID(VLOOKUP($A290,Seqs!$A:$B,2,FALSE),VLOOKUP($A290,'SegEnds_NonXtal_Prot#'!$A:$AL,22,FALSE)+8,1)</f>
        <v>G</v>
      </c>
      <c r="AE290" s="50" t="str">
        <f>MID(VLOOKUP($A290,Seqs!$A:$B,2,FALSE),VLOOKUP($A290,'SegEnds_NonXtal_Prot#'!$A:$AL,22,FALSE)+9,1)</f>
        <v>L</v>
      </c>
      <c r="AF290" s="50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50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50" t="str">
        <f>MID(VLOOKUP($A291,Seqs!$A:$B,2,FALSE),VLOOKUP($A291,'SegEnds_NonXtal_Prot#'!A:AL,10,FALSE)+6,1)</f>
        <v>A</v>
      </c>
      <c r="X291" s="50" t="str">
        <f>MID(VLOOKUP($A291,Seqs!$A:$B,2,FALSE),VLOOKUP($A291,'SegEnds_NonXtal_Prot#'!A:AL,10,FALSE)+7,1)</f>
        <v>F</v>
      </c>
      <c r="Y291" s="50" t="str">
        <f>MID(VLOOKUP($A291,Seqs!$A:$B,2,FALSE),VLOOKUP($A291,'SegEnds_NonXtal_Prot#'!A:AL,10,FALSE)+8,1)</f>
        <v>V</v>
      </c>
      <c r="Z291" s="50" t="str">
        <f>MID(VLOOKUP($A291,Seqs!$A:$B,2,FALSE),VLOOKUP($A291,'SegEnds_NonXtal_Prot#'!A:AL,10,FALSE)+9,1)</f>
        <v>A</v>
      </c>
      <c r="AA291" s="50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50" t="str">
        <f>MID(VLOOKUP($A291,Seqs!$A:$B,2,FALSE),VLOOKUP($A291,'SegEnds_NonXtal_Prot#'!$A:$AL,22,FALSE)+7,1)</f>
        <v>G</v>
      </c>
      <c r="AD291" s="50" t="str">
        <f>MID(VLOOKUP($A291,Seqs!$A:$B,2,FALSE),VLOOKUP($A291,'SegEnds_NonXtal_Prot#'!$A:$AL,22,FALSE)+8,1)</f>
        <v>G</v>
      </c>
      <c r="AE291" s="50" t="str">
        <f>MID(VLOOKUP($A291,Seqs!$A:$B,2,FALSE),VLOOKUP($A291,'SegEnds_NonXtal_Prot#'!$A:$AL,22,FALSE)+9,1)</f>
        <v>L</v>
      </c>
      <c r="AF291" s="50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50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50" t="str">
        <f>MID(VLOOKUP($A292,Seqs!$A:$B,2,FALSE),VLOOKUP($A292,'SegEnds_NonXtal_Prot#'!A:AL,10,FALSE)+6,1)</f>
        <v>A</v>
      </c>
      <c r="X292" s="50" t="str">
        <f>MID(VLOOKUP($A292,Seqs!$A:$B,2,FALSE),VLOOKUP($A292,'SegEnds_NonXtal_Prot#'!A:AL,10,FALSE)+7,1)</f>
        <v>Y</v>
      </c>
      <c r="Y292" s="50" t="str">
        <f>MID(VLOOKUP($A292,Seqs!$A:$B,2,FALSE),VLOOKUP($A292,'SegEnds_NonXtal_Prot#'!A:AL,10,FALSE)+8,1)</f>
        <v>K</v>
      </c>
      <c r="Z292" s="50" t="str">
        <f>MID(VLOOKUP($A292,Seqs!$A:$B,2,FALSE),VLOOKUP($A292,'SegEnds_NonXtal_Prot#'!A:AL,10,FALSE)+9,1)</f>
        <v>V</v>
      </c>
      <c r="AA292" s="50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50" t="str">
        <f>MID(VLOOKUP($A292,Seqs!$A:$B,2,FALSE),VLOOKUP($A292,'SegEnds_NonXtal_Prot#'!$A:$AL,22,FALSE)+7,1)</f>
        <v>G</v>
      </c>
      <c r="AD292" s="50" t="str">
        <f>MID(VLOOKUP($A292,Seqs!$A:$B,2,FALSE),VLOOKUP($A292,'SegEnds_NonXtal_Prot#'!$A:$AL,22,FALSE)+8,1)</f>
        <v>A</v>
      </c>
      <c r="AE292" s="50" t="str">
        <f>MID(VLOOKUP($A292,Seqs!$A:$B,2,FALSE),VLOOKUP($A292,'SegEnds_NonXtal_Prot#'!$A:$AL,22,FALSE)+9,1)</f>
        <v>L</v>
      </c>
      <c r="AF292" s="50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50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50" t="str">
        <f>MID(VLOOKUP($A293,Seqs!$A:$B,2,FALSE),VLOOKUP($A293,'SegEnds_NonXtal_Prot#'!A:AL,10,FALSE)+6,1)</f>
        <v>A</v>
      </c>
      <c r="X293" s="50" t="str">
        <f>MID(VLOOKUP($A293,Seqs!$A:$B,2,FALSE),VLOOKUP($A293,'SegEnds_NonXtal_Prot#'!A:AL,10,FALSE)+7,1)</f>
        <v>Y</v>
      </c>
      <c r="Y293" s="50" t="str">
        <f>MID(VLOOKUP($A293,Seqs!$A:$B,2,FALSE),VLOOKUP($A293,'SegEnds_NonXtal_Prot#'!A:AL,10,FALSE)+8,1)</f>
        <v>L</v>
      </c>
      <c r="Z293" s="50" t="str">
        <f>MID(VLOOKUP($A293,Seqs!$A:$B,2,FALSE),VLOOKUP($A293,'SegEnds_NonXtal_Prot#'!A:AL,10,FALSE)+9,1)</f>
        <v>A</v>
      </c>
      <c r="AA293" s="50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50" t="str">
        <f>MID(VLOOKUP($A293,Seqs!$A:$B,2,FALSE),VLOOKUP($A293,'SegEnds_NonXtal_Prot#'!$A:$AL,22,FALSE)+7,1)</f>
        <v>G</v>
      </c>
      <c r="AD293" s="50" t="str">
        <f>MID(VLOOKUP($A293,Seqs!$A:$B,2,FALSE),VLOOKUP($A293,'SegEnds_NonXtal_Prot#'!$A:$AL,22,FALSE)+8,1)</f>
        <v>M</v>
      </c>
      <c r="AE293" s="50" t="str">
        <f>MID(VLOOKUP($A293,Seqs!$A:$B,2,FALSE),VLOOKUP($A293,'SegEnds_NonXtal_Prot#'!$A:$AL,22,FALSE)+9,1)</f>
        <v>L</v>
      </c>
      <c r="AF293" s="50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50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50" t="str">
        <f>MID(VLOOKUP($A294,Seqs!$A:$B,2,FALSE),VLOOKUP($A294,'SegEnds_NonXtal_Prot#'!A:AL,10,FALSE)+6,1)</f>
        <v>A</v>
      </c>
      <c r="X294" s="50" t="str">
        <f>MID(VLOOKUP($A294,Seqs!$A:$B,2,FALSE),VLOOKUP($A294,'SegEnds_NonXtal_Prot#'!A:AL,10,FALSE)+7,1)</f>
        <v>Y</v>
      </c>
      <c r="Y294" s="50" t="str">
        <f>MID(VLOOKUP($A294,Seqs!$A:$B,2,FALSE),VLOOKUP($A294,'SegEnds_NonXtal_Prot#'!A:AL,10,FALSE)+8,1)</f>
        <v>A</v>
      </c>
      <c r="Z294" s="50" t="str">
        <f>MID(VLOOKUP($A294,Seqs!$A:$B,2,FALSE),VLOOKUP($A294,'SegEnds_NonXtal_Prot#'!A:AL,10,FALSE)+9,1)</f>
        <v>A</v>
      </c>
      <c r="AA294" s="50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50" t="str">
        <f>MID(VLOOKUP($A294,Seqs!$A:$B,2,FALSE),VLOOKUP($A294,'SegEnds_NonXtal_Prot#'!$A:$AL,22,FALSE)+7,1)</f>
        <v>G</v>
      </c>
      <c r="AD294" s="50" t="str">
        <f>MID(VLOOKUP($A294,Seqs!$A:$B,2,FALSE),VLOOKUP($A294,'SegEnds_NonXtal_Prot#'!$A:$AL,22,FALSE)+8,1)</f>
        <v>L</v>
      </c>
      <c r="AE294" s="50" t="str">
        <f>MID(VLOOKUP($A294,Seqs!$A:$B,2,FALSE),VLOOKUP($A294,'SegEnds_NonXtal_Prot#'!$A:$AL,22,FALSE)+9,1)</f>
        <v>L</v>
      </c>
      <c r="AF294" s="50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50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cnr1_human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50" t="str">
        <f>MID(VLOOKUP($A295,Seqs!$A:$B,2,FALSE),VLOOKUP($A295,'SegEnds_NonXtal_Prot#'!A:AL,10,FALSE)+6,1)</f>
        <v>V</v>
      </c>
      <c r="X295" s="50" t="str">
        <f>MID(VLOOKUP($A295,Seqs!$A:$B,2,FALSE),VLOOKUP($A295,'SegEnds_NonXtal_Prot#'!A:AL,10,FALSE)+7,1)</f>
        <v>T</v>
      </c>
      <c r="Y295" s="50" t="str">
        <f>MID(VLOOKUP($A295,Seqs!$A:$B,2,FALSE),VLOOKUP($A295,'SegEnds_NonXtal_Prot#'!A:AL,10,FALSE)+8,1)</f>
        <v>G</v>
      </c>
      <c r="Z295" s="50" t="str">
        <f>MID(VLOOKUP($A295,Seqs!$A:$B,2,FALSE),VLOOKUP($A295,'SegEnds_NonXtal_Prot#'!A:AL,10,FALSE)+9,1)</f>
        <v>T</v>
      </c>
      <c r="AA295" s="50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50" t="str">
        <f>MID(VLOOKUP($A295,Seqs!$A:$B,2,FALSE),VLOOKUP($A295,'SegEnds_NonXtal_Prot#'!$A:$AL,22,FALSE)+7,1)</f>
        <v>G</v>
      </c>
      <c r="AD295" s="50" t="str">
        <f>MID(VLOOKUP($A295,Seqs!$A:$B,2,FALSE),VLOOKUP($A295,'SegEnds_NonXtal_Prot#'!$A:$AL,22,FALSE)+8,1)</f>
        <v>L</v>
      </c>
      <c r="AE295" s="50" t="str">
        <f>MID(VLOOKUP($A295,Seqs!$A:$B,2,FALSE),VLOOKUP($A295,'SegEnds_NonXtal_Prot#'!$A:$AL,22,FALSE)+9,1)</f>
        <v>L</v>
      </c>
      <c r="AF295" s="50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50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50" t="str">
        <f>MID(VLOOKUP($A296,Seqs!$A:$B,2,FALSE),VLOOKUP($A296,'SegEnds_NonXtal_Prot#'!A:AL,10,FALSE)+6,1)</f>
        <v>S</v>
      </c>
      <c r="X296" s="50" t="str">
        <f>MID(VLOOKUP($A296,Seqs!$A:$B,2,FALSE),VLOOKUP($A296,'SegEnds_NonXtal_Prot#'!A:AL,10,FALSE)+7,1)</f>
        <v>M</v>
      </c>
      <c r="Y296" s="50" t="str">
        <f>MID(VLOOKUP($A296,Seqs!$A:$B,2,FALSE),VLOOKUP($A296,'SegEnds_NonXtal_Prot#'!A:AL,10,FALSE)+8,1)</f>
        <v>L</v>
      </c>
      <c r="Z296" s="50" t="str">
        <f>MID(VLOOKUP($A296,Seqs!$A:$B,2,FALSE),VLOOKUP($A296,'SegEnds_NonXtal_Prot#'!A:AL,10,FALSE)+9,1)</f>
        <v>V</v>
      </c>
      <c r="AA296" s="50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50" t="str">
        <f>MID(VLOOKUP($A296,Seqs!$A:$B,2,FALSE),VLOOKUP($A296,'SegEnds_NonXtal_Prot#'!$A:$AL,22,FALSE)+7,1)</f>
        <v>S</v>
      </c>
      <c r="AD296" s="50" t="str">
        <f>MID(VLOOKUP($A296,Seqs!$A:$B,2,FALSE),VLOOKUP($A296,'SegEnds_NonXtal_Prot#'!$A:$AL,22,FALSE)+8,1)</f>
        <v>A</v>
      </c>
      <c r="AE296" s="50" t="str">
        <f>MID(VLOOKUP($A296,Seqs!$A:$B,2,FALSE),VLOOKUP($A296,'SegEnds_NonXtal_Prot#'!$A:$AL,22,FALSE)+9,1)</f>
        <v>L</v>
      </c>
      <c r="AF296" s="50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50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50" t="str">
        <f>MID(VLOOKUP($A297,Seqs!$A:$B,2,FALSE),VLOOKUP($A297,'SegEnds_NonXtal_Prot#'!A:AL,10,FALSE)+6,1)</f>
        <v>T</v>
      </c>
      <c r="X297" s="50" t="str">
        <f>MID(VLOOKUP($A297,Seqs!$A:$B,2,FALSE),VLOOKUP($A297,'SegEnds_NonXtal_Prot#'!A:AL,10,FALSE)+7,1)</f>
        <v>L</v>
      </c>
      <c r="Y297" s="50" t="str">
        <f>MID(VLOOKUP($A297,Seqs!$A:$B,2,FALSE),VLOOKUP($A297,'SegEnds_NonXtal_Prot#'!A:AL,10,FALSE)+8,1)</f>
        <v>P</v>
      </c>
      <c r="Z297" s="50" t="str">
        <f>MID(VLOOKUP($A297,Seqs!$A:$B,2,FALSE),VLOOKUP($A297,'SegEnds_NonXtal_Prot#'!A:AL,10,FALSE)+9,1)</f>
        <v>L</v>
      </c>
      <c r="AA297" s="50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50" t="str">
        <f>MID(VLOOKUP($A297,Seqs!$A:$B,2,FALSE),VLOOKUP($A297,'SegEnds_NonXtal_Prot#'!$A:$AL,22,FALSE)+7,1)</f>
        <v>A</v>
      </c>
      <c r="AD297" s="50" t="str">
        <f>MID(VLOOKUP($A297,Seqs!$A:$B,2,FALSE),VLOOKUP($A297,'SegEnds_NonXtal_Prot#'!$A:$AL,22,FALSE)+8,1)</f>
        <v>I</v>
      </c>
      <c r="AE297" s="50" t="str">
        <f>MID(VLOOKUP($A297,Seqs!$A:$B,2,FALSE),VLOOKUP($A297,'SegEnds_NonXtal_Prot#'!$A:$AL,22,FALSE)+9,1)</f>
        <v>P</v>
      </c>
      <c r="AF297" s="50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50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8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50" t="str">
        <f>MID(VLOOKUP($A298,Seqs!$A:$B,2,FALSE),VLOOKUP($A298,'SegEnds_NonXtal_Prot#'!A:AL,10,FALSE)+6,1)</f>
        <v>I</v>
      </c>
      <c r="X298" s="50" t="str">
        <f>MID(VLOOKUP($A298,Seqs!$A:$B,2,FALSE),VLOOKUP($A298,'SegEnds_NonXtal_Prot#'!A:AL,10,FALSE)+7,1)</f>
        <v>I</v>
      </c>
      <c r="Y298" s="50" t="str">
        <f>MID(VLOOKUP($A298,Seqs!$A:$B,2,FALSE),VLOOKUP($A298,'SegEnds_NonXtal_Prot#'!A:AL,10,FALSE)+8,1)</f>
        <v>I</v>
      </c>
      <c r="Z298" s="50" t="str">
        <f>MID(VLOOKUP($A298,Seqs!$A:$B,2,FALSE),VLOOKUP($A298,'SegEnds_NonXtal_Prot#'!A:AL,10,FALSE)+9,1)</f>
        <v>I</v>
      </c>
      <c r="AA298" s="50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50" t="str">
        <f>MID(VLOOKUP($A298,Seqs!$A:$B,2,FALSE),VLOOKUP($A298,'SegEnds_NonXtal_Prot#'!$A:$AL,22,FALSE)+7,1)</f>
        <v>T</v>
      </c>
      <c r="AD298" s="50" t="str">
        <f>MID(VLOOKUP($A298,Seqs!$A:$B,2,FALSE),VLOOKUP($A298,'SegEnds_NonXtal_Prot#'!$A:$AL,22,FALSE)+8,1)</f>
        <v>T</v>
      </c>
      <c r="AE298" s="50" t="str">
        <f>MID(VLOOKUP($A298,Seqs!$A:$B,2,FALSE),VLOOKUP($A298,'SegEnds_NonXtal_Prot#'!$A:$AL,22,FALSE)+9,1)</f>
        <v>I</v>
      </c>
      <c r="AF298" s="50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50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8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50" t="str">
        <f>MID(VLOOKUP($A299,Seqs!$A:$B,2,FALSE),VLOOKUP($A299,'SegEnds_NonXtal_Prot#'!A:AL,10,FALSE)+6,1)</f>
        <v>V</v>
      </c>
      <c r="X299" s="50" t="str">
        <f>MID(VLOOKUP($A299,Seqs!$A:$B,2,FALSE),VLOOKUP($A299,'SegEnds_NonXtal_Prot#'!A:AL,10,FALSE)+7,1)</f>
        <v>T</v>
      </c>
      <c r="Y299" s="50" t="str">
        <f>MID(VLOOKUP($A299,Seqs!$A:$B,2,FALSE),VLOOKUP($A299,'SegEnds_NonXtal_Prot#'!A:AL,10,FALSE)+8,1)</f>
        <v>I</v>
      </c>
      <c r="Z299" s="50" t="str">
        <f>MID(VLOOKUP($A299,Seqs!$A:$B,2,FALSE),VLOOKUP($A299,'SegEnds_NonXtal_Prot#'!A:AL,10,FALSE)+9,1)</f>
        <v>I</v>
      </c>
      <c r="AA299" s="50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50" t="str">
        <f>MID(VLOOKUP($A299,Seqs!$A:$B,2,FALSE),VLOOKUP($A299,'SegEnds_NonXtal_Prot#'!$A:$AL,22,FALSE)+7,1)</f>
        <v>A</v>
      </c>
      <c r="AD299" s="50" t="str">
        <f>MID(VLOOKUP($A299,Seqs!$A:$B,2,FALSE),VLOOKUP($A299,'SegEnds_NonXtal_Prot#'!$A:$AL,22,FALSE)+8,1)</f>
        <v>C</v>
      </c>
      <c r="AE299" s="50" t="str">
        <f>MID(VLOOKUP($A299,Seqs!$A:$B,2,FALSE),VLOOKUP($A299,'SegEnds_NonXtal_Prot#'!$A:$AL,22,FALSE)+9,1)</f>
        <v>I</v>
      </c>
      <c r="AF299" s="50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50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50"/>
      <c r="H300" s="4"/>
      <c r="J300" s="53" t="s">
        <v>25</v>
      </c>
      <c r="K300" s="109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50" t="str">
        <f>MID(VLOOKUP($A300,Seqs!$A:$B,2,FALSE),VLOOKUP($A300,'SegEnds_NonXtal_Prot#'!A:AL,10,FALSE)+6,1)</f>
        <v>T</v>
      </c>
      <c r="X300" s="50" t="str">
        <f>MID(VLOOKUP($A300,Seqs!$A:$B,2,FALSE),VLOOKUP($A300,'SegEnds_NonXtal_Prot#'!A:AL,10,FALSE)+7,1)</f>
        <v>W</v>
      </c>
      <c r="Y300" s="50" t="str">
        <f>MID(VLOOKUP($A300,Seqs!$A:$B,2,FALSE),VLOOKUP($A300,'SegEnds_NonXtal_Prot#'!A:AL,10,FALSE)+8,1)</f>
        <v>F</v>
      </c>
      <c r="Z300" s="50" t="str">
        <f>MID(VLOOKUP($A300,Seqs!$A:$B,2,FALSE),VLOOKUP($A300,'SegEnds_NonXtal_Prot#'!A:AL,10,FALSE)+9,1)</f>
        <v>V</v>
      </c>
      <c r="AA300" s="50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50" t="str">
        <f>MID(VLOOKUP($A300,Seqs!$A:$B,2,FALSE),VLOOKUP($A300,'SegEnds_NonXtal_Prot#'!$A:$AL,22,FALSE)+7,1)</f>
        <v>I</v>
      </c>
      <c r="AD300" s="50" t="str">
        <f>MID(VLOOKUP($A300,Seqs!$A:$B,2,FALSE),VLOOKUP($A300,'SegEnds_NonXtal_Prot#'!$A:$AL,22,FALSE)+8,1)</f>
        <v>V</v>
      </c>
      <c r="AE300" s="50" t="str">
        <f>MID(VLOOKUP($A300,Seqs!$A:$B,2,FALSE),VLOOKUP($A300,'SegEnds_NonXtal_Prot#'!$A:$AL,22,FALSE)+9,1)</f>
        <v>A</v>
      </c>
      <c r="AF300" s="50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50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50"/>
      <c r="H301" s="4"/>
      <c r="J301" s="108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50" t="str">
        <f>MID(VLOOKUP($A301,Seqs!$A:$B,2,FALSE),VLOOKUP($A301,'SegEnds_NonXtal_Prot#'!A:AL,10,FALSE)+6,1)</f>
        <v>M</v>
      </c>
      <c r="X301" s="50" t="str">
        <f>MID(VLOOKUP($A301,Seqs!$A:$B,2,FALSE),VLOOKUP($A301,'SegEnds_NonXtal_Prot#'!A:AL,10,FALSE)+7,1)</f>
        <v>W</v>
      </c>
      <c r="Y301" s="50" t="str">
        <f>MID(VLOOKUP($A301,Seqs!$A:$B,2,FALSE),VLOOKUP($A301,'SegEnds_NonXtal_Prot#'!A:AL,10,FALSE)+8,1)</f>
        <v>F</v>
      </c>
      <c r="Z301" s="50" t="str">
        <f>MID(VLOOKUP($A301,Seqs!$A:$B,2,FALSE),VLOOKUP($A301,'SegEnds_NonXtal_Prot#'!A:AL,10,FALSE)+9,1)</f>
        <v>L</v>
      </c>
      <c r="AA301" s="50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50" t="str">
        <f>MID(VLOOKUP($A301,Seqs!$A:$B,2,FALSE),VLOOKUP($A301,'SegEnds_NonXtal_Prot#'!$A:$AL,22,FALSE)+7,1)</f>
        <v>I</v>
      </c>
      <c r="AD301" s="50" t="str">
        <f>MID(VLOOKUP($A301,Seqs!$A:$B,2,FALSE),VLOOKUP($A301,'SegEnds_NonXtal_Prot#'!$A:$AL,22,FALSE)+8,1)</f>
        <v>V</v>
      </c>
      <c r="AE301" s="50" t="str">
        <f>MID(VLOOKUP($A301,Seqs!$A:$B,2,FALSE),VLOOKUP($A301,'SegEnds_NonXtal_Prot#'!$A:$AL,22,FALSE)+9,1)</f>
        <v>A</v>
      </c>
      <c r="AF301" s="50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50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8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50" t="str">
        <f>MID(VLOOKUP($A302,Seqs!$A:$B,2,FALSE),VLOOKUP($A302,'SegEnds_NonXtal_Prot#'!A:AL,10,FALSE)+6,1)</f>
        <v>A</v>
      </c>
      <c r="X302" s="50" t="str">
        <f>MID(VLOOKUP($A302,Seqs!$A:$B,2,FALSE),VLOOKUP($A302,'SegEnds_NonXtal_Prot#'!A:AL,10,FALSE)+7,1)</f>
        <v>V</v>
      </c>
      <c r="Y302" s="50" t="str">
        <f>MID(VLOOKUP($A302,Seqs!$A:$B,2,FALSE),VLOOKUP($A302,'SegEnds_NonXtal_Prot#'!A:AL,10,FALSE)+8,1)</f>
        <v>F</v>
      </c>
      <c r="Z302" s="50" t="str">
        <f>MID(VLOOKUP($A302,Seqs!$A:$B,2,FALSE),VLOOKUP($A302,'SegEnds_NonXtal_Prot#'!A:AL,10,FALSE)+9,1)</f>
        <v>L</v>
      </c>
      <c r="AA302" s="50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50" t="str">
        <f>MID(VLOOKUP($A302,Seqs!$A:$B,2,FALSE),VLOOKUP($A302,'SegEnds_NonXtal_Prot#'!$A:$AL,22,FALSE)+7,1)</f>
        <v>T</v>
      </c>
      <c r="AD302" s="50" t="str">
        <f>MID(VLOOKUP($A302,Seqs!$A:$B,2,FALSE),VLOOKUP($A302,'SegEnds_NonXtal_Prot#'!$A:$AL,22,FALSE)+8,1)</f>
        <v>G</v>
      </c>
      <c r="AE302" s="50" t="str">
        <f>MID(VLOOKUP($A302,Seqs!$A:$B,2,FALSE),VLOOKUP($A302,'SegEnds_NonXtal_Prot#'!$A:$AL,22,FALSE)+9,1)</f>
        <v>T</v>
      </c>
      <c r="AF302" s="50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50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8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50" t="str">
        <f>MID(VLOOKUP($A303,Seqs!$A:$B,2,FALSE),VLOOKUP($A303,'SegEnds_NonXtal_Prot#'!A:AL,10,FALSE)+6,1)</f>
        <v>A</v>
      </c>
      <c r="X303" s="50" t="str">
        <f>MID(VLOOKUP($A303,Seqs!$A:$B,2,FALSE),VLOOKUP($A303,'SegEnds_NonXtal_Prot#'!A:AL,10,FALSE)+7,1)</f>
        <v>I</v>
      </c>
      <c r="Y303" s="50" t="str">
        <f>MID(VLOOKUP($A303,Seqs!$A:$B,2,FALSE),VLOOKUP($A303,'SegEnds_NonXtal_Prot#'!A:AL,10,FALSE)+8,1)</f>
        <v>L</v>
      </c>
      <c r="Z303" s="50" t="str">
        <f>MID(VLOOKUP($A303,Seqs!$A:$B,2,FALSE),VLOOKUP($A303,'SegEnds_NonXtal_Prot#'!A:AL,10,FALSE)+9,1)</f>
        <v>S</v>
      </c>
      <c r="AA303" s="50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50" t="str">
        <f>MID(VLOOKUP($A303,Seqs!$A:$B,2,FALSE),VLOOKUP($A303,'SegEnds_NonXtal_Prot#'!$A:$AL,22,FALSE)+7,1)</f>
        <v>V</v>
      </c>
      <c r="AD303" s="50" t="str">
        <f>MID(VLOOKUP($A303,Seqs!$A:$B,2,FALSE),VLOOKUP($A303,'SegEnds_NonXtal_Prot#'!$A:$AL,22,FALSE)+8,1)</f>
        <v>I</v>
      </c>
      <c r="AE303" s="50" t="str">
        <f>MID(VLOOKUP($A303,Seqs!$A:$B,2,FALSE),VLOOKUP($A303,'SegEnds_NonXtal_Prot#'!$A:$AL,22,FALSE)+9,1)</f>
        <v>P</v>
      </c>
      <c r="AF303" s="50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50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8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50" t="str">
        <f>MID(VLOOKUP($A304,Seqs!$A:$B,2,FALSE),VLOOKUP($A304,'SegEnds_NonXtal_Prot#'!A:AL,10,FALSE)+6,1)</f>
        <v>S</v>
      </c>
      <c r="X304" s="50" t="str">
        <f>MID(VLOOKUP($A304,Seqs!$A:$B,2,FALSE),VLOOKUP($A304,'SegEnds_NonXtal_Prot#'!A:AL,10,FALSE)+7,1)</f>
        <v>V</v>
      </c>
      <c r="Y304" s="50" t="str">
        <f>MID(VLOOKUP($A304,Seqs!$A:$B,2,FALSE),VLOOKUP($A304,'SegEnds_NonXtal_Prot#'!A:AL,10,FALSE)+8,1)</f>
        <v>F</v>
      </c>
      <c r="Z304" s="50" t="str">
        <f>MID(VLOOKUP($A304,Seqs!$A:$B,2,FALSE),VLOOKUP($A304,'SegEnds_NonXtal_Prot#'!A:AL,10,FALSE)+9,1)</f>
        <v>I</v>
      </c>
      <c r="AA304" s="50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50" t="str">
        <f>MID(VLOOKUP($A304,Seqs!$A:$B,2,FALSE),VLOOKUP($A304,'SegEnds_NonXtal_Prot#'!$A:$AL,22,FALSE)+7,1)</f>
        <v>V</v>
      </c>
      <c r="AD304" s="50" t="str">
        <f>MID(VLOOKUP($A304,Seqs!$A:$B,2,FALSE),VLOOKUP($A304,'SegEnds_NonXtal_Prot#'!$A:$AL,22,FALSE)+8,1)</f>
        <v>V</v>
      </c>
      <c r="AE304" s="50" t="str">
        <f>MID(VLOOKUP($A304,Seqs!$A:$B,2,FALSE),VLOOKUP($A304,'SegEnds_NonXtal_Prot#'!$A:$AL,22,FALSE)+9,1)</f>
        <v>P</v>
      </c>
      <c r="AF304" s="50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50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8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50" t="str">
        <f>MID(VLOOKUP($A305,Seqs!$A:$B,2,FALSE),VLOOKUP($A305,'SegEnds_NonXtal_Prot#'!A:AL,10,FALSE)+6,1)</f>
        <v>A</v>
      </c>
      <c r="X305" s="50" t="str">
        <f>MID(VLOOKUP($A305,Seqs!$A:$B,2,FALSE),VLOOKUP($A305,'SegEnds_NonXtal_Prot#'!A:AL,10,FALSE)+7,1)</f>
        <v>V</v>
      </c>
      <c r="Y305" s="50" t="str">
        <f>MID(VLOOKUP($A305,Seqs!$A:$B,2,FALSE),VLOOKUP($A305,'SegEnds_NonXtal_Prot#'!A:AL,10,FALSE)+8,1)</f>
        <v>L</v>
      </c>
      <c r="Z305" s="50" t="str">
        <f>MID(VLOOKUP($A305,Seqs!$A:$B,2,FALSE),VLOOKUP($A305,'SegEnds_NonXtal_Prot#'!A:AL,10,FALSE)+9,1)</f>
        <v>V</v>
      </c>
      <c r="AA305" s="50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50" t="str">
        <f>MID(VLOOKUP($A305,Seqs!$A:$B,2,FALSE),VLOOKUP($A305,'SegEnds_NonXtal_Prot#'!$A:$AL,22,FALSE)+7,1)</f>
        <v>V</v>
      </c>
      <c r="AD305" s="50" t="str">
        <f>MID(VLOOKUP($A305,Seqs!$A:$B,2,FALSE),VLOOKUP($A305,'SegEnds_NonXtal_Prot#'!$A:$AL,22,FALSE)+8,1)</f>
        <v>V</v>
      </c>
      <c r="AE305" s="50" t="str">
        <f>MID(VLOOKUP($A305,Seqs!$A:$B,2,FALSE),VLOOKUP($A305,'SegEnds_NonXtal_Prot#'!$A:$AL,22,FALSE)+9,1)</f>
        <v>P</v>
      </c>
      <c r="AF305" s="50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50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8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50" t="str">
        <f>MID(VLOOKUP($A306,Seqs!$A:$B,2,FALSE),VLOOKUP($A306,'SegEnds_NonXtal_Prot#'!A:AL,10,FALSE)+6,1)</f>
        <v>S</v>
      </c>
      <c r="X306" s="50" t="str">
        <f>MID(VLOOKUP($A306,Seqs!$A:$B,2,FALSE),VLOOKUP($A306,'SegEnds_NonXtal_Prot#'!A:AL,10,FALSE)+7,1)</f>
        <v>V</v>
      </c>
      <c r="Y306" s="50" t="str">
        <f>MID(VLOOKUP($A306,Seqs!$A:$B,2,FALSE),VLOOKUP($A306,'SegEnds_NonXtal_Prot#'!A:AL,10,FALSE)+8,1)</f>
        <v>L</v>
      </c>
      <c r="Z306" s="50" t="str">
        <f>MID(VLOOKUP($A306,Seqs!$A:$B,2,FALSE),VLOOKUP($A306,'SegEnds_NonXtal_Prot#'!A:AL,10,FALSE)+9,1)</f>
        <v>V</v>
      </c>
      <c r="AA306" s="50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50" t="str">
        <f>MID(VLOOKUP($A306,Seqs!$A:$B,2,FALSE),VLOOKUP($A306,'SegEnds_NonXtal_Prot#'!$A:$AL,22,FALSE)+7,1)</f>
        <v>V</v>
      </c>
      <c r="AD306" s="50" t="str">
        <f>MID(VLOOKUP($A306,Seqs!$A:$B,2,FALSE),VLOOKUP($A306,'SegEnds_NonXtal_Prot#'!$A:$AL,22,FALSE)+8,1)</f>
        <v>V</v>
      </c>
      <c r="AE306" s="50" t="str">
        <f>MID(VLOOKUP($A306,Seqs!$A:$B,2,FALSE),VLOOKUP($A306,'SegEnds_NonXtal_Prot#'!$A:$AL,22,FALSE)+9,1)</f>
        <v>P</v>
      </c>
      <c r="AF306" s="50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50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8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50" t="str">
        <f>MID(VLOOKUP($A307,Seqs!$A:$B,2,FALSE),VLOOKUP($A307,'SegEnds_NonXtal_Prot#'!A:AL,10,FALSE)+6,1)</f>
        <v>S</v>
      </c>
      <c r="X307" s="50" t="str">
        <f>MID(VLOOKUP($A307,Seqs!$A:$B,2,FALSE),VLOOKUP($A307,'SegEnds_NonXtal_Prot#'!A:AL,10,FALSE)+7,1)</f>
        <v>V</v>
      </c>
      <c r="Y307" s="50" t="str">
        <f>MID(VLOOKUP($A307,Seqs!$A:$B,2,FALSE),VLOOKUP($A307,'SegEnds_NonXtal_Prot#'!A:AL,10,FALSE)+8,1)</f>
        <v>F</v>
      </c>
      <c r="Z307" s="50" t="str">
        <f>MID(VLOOKUP($A307,Seqs!$A:$B,2,FALSE),VLOOKUP($A307,'SegEnds_NonXtal_Prot#'!A:AL,10,FALSE)+9,1)</f>
        <v>I</v>
      </c>
      <c r="AA307" s="50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50" t="str">
        <f>MID(VLOOKUP($A307,Seqs!$A:$B,2,FALSE),VLOOKUP($A307,'SegEnds_NonXtal_Prot#'!$A:$AL,22,FALSE)+7,1)</f>
        <v>V</v>
      </c>
      <c r="AD307" s="50" t="str">
        <f>MID(VLOOKUP($A307,Seqs!$A:$B,2,FALSE),VLOOKUP($A307,'SegEnds_NonXtal_Prot#'!$A:$AL,22,FALSE)+8,1)</f>
        <v>T</v>
      </c>
      <c r="AE307" s="50" t="str">
        <f>MID(VLOOKUP($A307,Seqs!$A:$B,2,FALSE),VLOOKUP($A307,'SegEnds_NonXtal_Prot#'!$A:$AL,22,FALSE)+9,1)</f>
        <v>V</v>
      </c>
      <c r="AF307" s="50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50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8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50" t="str">
        <f>MID(VLOOKUP($A308,Seqs!$A:$B,2,FALSE),VLOOKUP($A308,'SegEnds_NonXtal_Prot#'!A:AL,10,FALSE)+6,1)</f>
        <v>S</v>
      </c>
      <c r="X308" s="50" t="str">
        <f>MID(VLOOKUP($A308,Seqs!$A:$B,2,FALSE),VLOOKUP($A308,'SegEnds_NonXtal_Prot#'!A:AL,10,FALSE)+7,1)</f>
        <v>I</v>
      </c>
      <c r="Y308" s="50" t="str">
        <f>MID(VLOOKUP($A308,Seqs!$A:$B,2,FALSE),VLOOKUP($A308,'SegEnds_NonXtal_Prot#'!A:AL,10,FALSE)+8,1)</f>
        <v>F</v>
      </c>
      <c r="Z308" s="50" t="str">
        <f>MID(VLOOKUP($A308,Seqs!$A:$B,2,FALSE),VLOOKUP($A308,'SegEnds_NonXtal_Prot#'!A:AL,10,FALSE)+9,1)</f>
        <v>V</v>
      </c>
      <c r="AA308" s="50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50" t="str">
        <f>MID(VLOOKUP($A308,Seqs!$A:$B,2,FALSE),VLOOKUP($A308,'SegEnds_NonXtal_Prot#'!$A:$AL,22,FALSE)+7,1)</f>
        <v>V</v>
      </c>
      <c r="AD308" s="50" t="str">
        <f>MID(VLOOKUP($A308,Seqs!$A:$B,2,FALSE),VLOOKUP($A308,'SegEnds_NonXtal_Prot#'!$A:$AL,22,FALSE)+8,1)</f>
        <v>A</v>
      </c>
      <c r="AE308" s="50" t="str">
        <f>MID(VLOOKUP($A308,Seqs!$A:$B,2,FALSE),VLOOKUP($A308,'SegEnds_NonXtal_Prot#'!$A:$AL,22,FALSE)+9,1)</f>
        <v>V</v>
      </c>
      <c r="AF308" s="50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50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8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50" t="str">
        <f>MID(VLOOKUP($A309,Seqs!$A:$B,2,FALSE),VLOOKUP($A309,'SegEnds_NonXtal_Prot#'!A:AL,10,FALSE)+6,1)</f>
        <v>S</v>
      </c>
      <c r="X309" s="50" t="str">
        <f>MID(VLOOKUP($A309,Seqs!$A:$B,2,FALSE),VLOOKUP($A309,'SegEnds_NonXtal_Prot#'!A:AL,10,FALSE)+7,1)</f>
        <v>I</v>
      </c>
      <c r="Y309" s="50" t="str">
        <f>MID(VLOOKUP($A309,Seqs!$A:$B,2,FALSE),VLOOKUP($A309,'SegEnds_NonXtal_Prot#'!A:AL,10,FALSE)+8,1)</f>
        <v>F</v>
      </c>
      <c r="Z309" s="50" t="str">
        <f>MID(VLOOKUP($A309,Seqs!$A:$B,2,FALSE),VLOOKUP($A309,'SegEnds_NonXtal_Prot#'!A:AL,10,FALSE)+9,1)</f>
        <v>V</v>
      </c>
      <c r="AA309" s="50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50" t="str">
        <f>MID(VLOOKUP($A309,Seqs!$A:$B,2,FALSE),VLOOKUP($A309,'SegEnds_NonXtal_Prot#'!$A:$AL,22,FALSE)+7,1)</f>
        <v>V</v>
      </c>
      <c r="AD309" s="50" t="str">
        <f>MID(VLOOKUP($A309,Seqs!$A:$B,2,FALSE),VLOOKUP($A309,'SegEnds_NonXtal_Prot#'!$A:$AL,22,FALSE)+8,1)</f>
        <v>A</v>
      </c>
      <c r="AE309" s="50" t="str">
        <f>MID(VLOOKUP($A309,Seqs!$A:$B,2,FALSE),VLOOKUP($A309,'SegEnds_NonXtal_Prot#'!$A:$AL,22,FALSE)+9,1)</f>
        <v>A</v>
      </c>
      <c r="AF309" s="50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50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8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50" t="str">
        <f>MID(VLOOKUP($A310,Seqs!$A:$B,2,FALSE),VLOOKUP($A310,'SegEnds_NonXtal_Prot#'!A:AL,10,FALSE)+6,1)</f>
        <v>S</v>
      </c>
      <c r="X310" s="50" t="str">
        <f>MID(VLOOKUP($A310,Seqs!$A:$B,2,FALSE),VLOOKUP($A310,'SegEnds_NonXtal_Prot#'!A:AL,10,FALSE)+7,1)</f>
        <v>N</v>
      </c>
      <c r="Y310" s="50" t="str">
        <f>MID(VLOOKUP($A310,Seqs!$A:$B,2,FALSE),VLOOKUP($A310,'SegEnds_NonXtal_Prot#'!A:AL,10,FALSE)+8,1)</f>
        <v>F</v>
      </c>
      <c r="Z310" s="50" t="str">
        <f>MID(VLOOKUP($A310,Seqs!$A:$B,2,FALSE),VLOOKUP($A310,'SegEnds_NonXtal_Prot#'!A:AL,10,FALSE)+9,1)</f>
        <v>I</v>
      </c>
      <c r="AA310" s="50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50" t="str">
        <f>MID(VLOOKUP($A310,Seqs!$A:$B,2,FALSE),VLOOKUP($A310,'SegEnds_NonXtal_Prot#'!$A:$AL,22,FALSE)+7,1)</f>
        <v>V</v>
      </c>
      <c r="AD310" s="50" t="str">
        <f>MID(VLOOKUP($A310,Seqs!$A:$B,2,FALSE),VLOOKUP($A310,'SegEnds_NonXtal_Prot#'!$A:$AL,22,FALSE)+8,1)</f>
        <v>A</v>
      </c>
      <c r="AE310" s="50" t="str">
        <f>MID(VLOOKUP($A310,Seqs!$A:$B,2,FALSE),VLOOKUP($A310,'SegEnds_NonXtal_Prot#'!$A:$AL,22,FALSE)+9,1)</f>
        <v>L</v>
      </c>
      <c r="AF310" s="50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50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8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50" t="str">
        <f>MID(VLOOKUP($A311,Seqs!$A:$B,2,FALSE),VLOOKUP($A311,'SegEnds_NonXtal_Prot#'!A:AL,10,FALSE)+6,1)</f>
        <v>A</v>
      </c>
      <c r="X311" s="50" t="str">
        <f>MID(VLOOKUP($A311,Seqs!$A:$B,2,FALSE),VLOOKUP($A311,'SegEnds_NonXtal_Prot#'!A:AL,10,FALSE)+7,1)</f>
        <v>V</v>
      </c>
      <c r="Y311" s="50" t="str">
        <f>MID(VLOOKUP($A311,Seqs!$A:$B,2,FALSE),VLOOKUP($A311,'SegEnds_NonXtal_Prot#'!A:AL,10,FALSE)+8,1)</f>
        <v>F</v>
      </c>
      <c r="Z311" s="50" t="str">
        <f>MID(VLOOKUP($A311,Seqs!$A:$B,2,FALSE),VLOOKUP($A311,'SegEnds_NonXtal_Prot#'!A:AL,10,FALSE)+9,1)</f>
        <v>I</v>
      </c>
      <c r="AA311" s="50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50" t="str">
        <f>MID(VLOOKUP($A311,Seqs!$A:$B,2,FALSE),VLOOKUP($A311,'SegEnds_NonXtal_Prot#'!$A:$AL,22,FALSE)+7,1)</f>
        <v>T</v>
      </c>
      <c r="AD311" s="50" t="str">
        <f>MID(VLOOKUP($A311,Seqs!$A:$B,2,FALSE),VLOOKUP($A311,'SegEnds_NonXtal_Prot#'!$A:$AL,22,FALSE)+8,1)</f>
        <v>M</v>
      </c>
      <c r="AE311" s="50" t="str">
        <f>MID(VLOOKUP($A311,Seqs!$A:$B,2,FALSE),VLOOKUP($A311,'SegEnds_NonXtal_Prot#'!$A:$AL,22,FALSE)+9,1)</f>
        <v>V</v>
      </c>
      <c r="AF311" s="50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50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8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50" t="str">
        <f>MID(VLOOKUP($A312,Seqs!$A:$B,2,FALSE),VLOOKUP($A312,'SegEnds_NonXtal_Prot#'!A:AL,10,FALSE)+6,1)</f>
        <v>S</v>
      </c>
      <c r="X312" s="50" t="str">
        <f>MID(VLOOKUP($A312,Seqs!$A:$B,2,FALSE),VLOOKUP($A312,'SegEnds_NonXtal_Prot#'!A:AL,10,FALSE)+7,1)</f>
        <v>V</v>
      </c>
      <c r="Y312" s="50" t="str">
        <f>MID(VLOOKUP($A312,Seqs!$A:$B,2,FALSE),VLOOKUP($A312,'SegEnds_NonXtal_Prot#'!A:AL,10,FALSE)+8,1)</f>
        <v>L</v>
      </c>
      <c r="Z312" s="50" t="str">
        <f>MID(VLOOKUP($A312,Seqs!$A:$B,2,FALSE),VLOOKUP($A312,'SegEnds_NonXtal_Prot#'!A:AL,10,FALSE)+9,1)</f>
        <v>V</v>
      </c>
      <c r="AA312" s="50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50" t="str">
        <f>MID(VLOOKUP($A312,Seqs!$A:$B,2,FALSE),VLOOKUP($A312,'SegEnds_NonXtal_Prot#'!$A:$AL,22,FALSE)+7,1)</f>
        <v>I</v>
      </c>
      <c r="AD312" s="50" t="str">
        <f>MID(VLOOKUP($A312,Seqs!$A:$B,2,FALSE),VLOOKUP($A312,'SegEnds_NonXtal_Prot#'!$A:$AL,22,FALSE)+8,1)</f>
        <v>G</v>
      </c>
      <c r="AE312" s="50" t="str">
        <f>MID(VLOOKUP($A312,Seqs!$A:$B,2,FALSE),VLOOKUP($A312,'SegEnds_NonXtal_Prot#'!$A:$AL,22,FALSE)+9,1)</f>
        <v>A</v>
      </c>
      <c r="AF312" s="50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50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8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50" t="str">
        <f>MID(VLOOKUP($A313,Seqs!$A:$B,2,FALSE),VLOOKUP($A313,'SegEnds_NonXtal_Prot#'!A:AL,10,FALSE)+6,1)</f>
        <v>S</v>
      </c>
      <c r="X313" s="50" t="str">
        <f>MID(VLOOKUP($A313,Seqs!$A:$B,2,FALSE),VLOOKUP($A313,'SegEnds_NonXtal_Prot#'!A:AL,10,FALSE)+7,1)</f>
        <v>V</v>
      </c>
      <c r="Y313" s="50" t="str">
        <f>MID(VLOOKUP($A313,Seqs!$A:$B,2,FALSE),VLOOKUP($A313,'SegEnds_NonXtal_Prot#'!A:AL,10,FALSE)+8,1)</f>
        <v>F</v>
      </c>
      <c r="Z313" s="50" t="str">
        <f>MID(VLOOKUP($A313,Seqs!$A:$B,2,FALSE),VLOOKUP($A313,'SegEnds_NonXtal_Prot#'!A:AL,10,FALSE)+9,1)</f>
        <v>I</v>
      </c>
      <c r="AA313" s="50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50" t="str">
        <f>MID(VLOOKUP($A313,Seqs!$A:$B,2,FALSE),VLOOKUP($A313,'SegEnds_NonXtal_Prot#'!$A:$AL,22,FALSE)+7,1)</f>
        <v>V</v>
      </c>
      <c r="AD313" s="50" t="str">
        <f>MID(VLOOKUP($A313,Seqs!$A:$B,2,FALSE),VLOOKUP($A313,'SegEnds_NonXtal_Prot#'!$A:$AL,22,FALSE)+8,1)</f>
        <v>I</v>
      </c>
      <c r="AE313" s="50" t="str">
        <f>MID(VLOOKUP($A313,Seqs!$A:$B,2,FALSE),VLOOKUP($A313,'SegEnds_NonXtal_Prot#'!$A:$AL,22,FALSE)+9,1)</f>
        <v>P</v>
      </c>
      <c r="AF313" s="50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50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8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50" t="str">
        <f>MID(VLOOKUP($A314,Seqs!$A:$B,2,FALSE),VLOOKUP($A314,'SegEnds_NonXtal_Prot#'!A:AL,10,FALSE)+6,1)</f>
        <v>F</v>
      </c>
      <c r="X314" s="50" t="str">
        <f>MID(VLOOKUP($A314,Seqs!$A:$B,2,FALSE),VLOOKUP($A314,'SegEnds_NonXtal_Prot#'!A:AL,10,FALSE)+7,1)</f>
        <v>T</v>
      </c>
      <c r="Y314" s="50" t="str">
        <f>MID(VLOOKUP($A314,Seqs!$A:$B,2,FALSE),VLOOKUP($A314,'SegEnds_NonXtal_Prot#'!A:AL,10,FALSE)+8,1)</f>
        <v>V</v>
      </c>
      <c r="Z314" s="50" t="str">
        <f>MID(VLOOKUP($A314,Seqs!$A:$B,2,FALSE),VLOOKUP($A314,'SegEnds_NonXtal_Prot#'!A:AL,10,FALSE)+9,1)</f>
        <v>F</v>
      </c>
      <c r="AA314" s="50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50" t="str">
        <f>MID(VLOOKUP($A314,Seqs!$A:$B,2,FALSE),VLOOKUP($A314,'SegEnds_NonXtal_Prot#'!$A:$AL,22,FALSE)+7,1)</f>
        <v>C</v>
      </c>
      <c r="AD314" s="50" t="str">
        <f>MID(VLOOKUP($A314,Seqs!$A:$B,2,FALSE),VLOOKUP($A314,'SegEnds_NonXtal_Prot#'!$A:$AL,22,FALSE)+8,1)</f>
        <v>G</v>
      </c>
      <c r="AE314" s="50" t="str">
        <f>MID(VLOOKUP($A314,Seqs!$A:$B,2,FALSE),VLOOKUP($A314,'SegEnds_NonXtal_Prot#'!$A:$AL,22,FALSE)+9,1)</f>
        <v>V</v>
      </c>
      <c r="AF314" s="50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50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8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50" t="str">
        <f>MID(VLOOKUP($A315,Seqs!$A:$B,2,FALSE),VLOOKUP($A315,'SegEnds_NonXtal_Prot#'!A:AL,10,FALSE)+6,1)</f>
        <v>S</v>
      </c>
      <c r="X315" s="50" t="str">
        <f>MID(VLOOKUP($A315,Seqs!$A:$B,2,FALSE),VLOOKUP($A315,'SegEnds_NonXtal_Prot#'!A:AL,10,FALSE)+7,1)</f>
        <v>A</v>
      </c>
      <c r="Y315" s="50" t="str">
        <f>MID(VLOOKUP($A315,Seqs!$A:$B,2,FALSE),VLOOKUP($A315,'SegEnds_NonXtal_Prot#'!A:AL,10,FALSE)+8,1)</f>
        <v>V</v>
      </c>
      <c r="Z315" s="50" t="str">
        <f>MID(VLOOKUP($A315,Seqs!$A:$B,2,FALSE),VLOOKUP($A315,'SegEnds_NonXtal_Prot#'!A:AL,10,FALSE)+9,1)</f>
        <v>F</v>
      </c>
      <c r="AA315" s="50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50" t="str">
        <f>MID(VLOOKUP($A315,Seqs!$A:$B,2,FALSE),VLOOKUP($A315,'SegEnds_NonXtal_Prot#'!$A:$AL,22,FALSE)+7,1)</f>
        <v>C</v>
      </c>
      <c r="AD315" s="50" t="str">
        <f>MID(VLOOKUP($A315,Seqs!$A:$B,2,FALSE),VLOOKUP($A315,'SegEnds_NonXtal_Prot#'!$A:$AL,22,FALSE)+8,1)</f>
        <v>G</v>
      </c>
      <c r="AE315" s="50" t="str">
        <f>MID(VLOOKUP($A315,Seqs!$A:$B,2,FALSE),VLOOKUP($A315,'SegEnds_NonXtal_Prot#'!$A:$AL,22,FALSE)+9,1)</f>
        <v>I</v>
      </c>
      <c r="AF315" s="50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50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8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50" t="str">
        <f>MID(VLOOKUP($A316,Seqs!$A:$B,2,FALSE),VLOOKUP($A316,'SegEnds_NonXtal_Prot#'!A:AL,10,FALSE)+6,1)</f>
        <v>C</v>
      </c>
      <c r="X316" s="50" t="str">
        <f>MID(VLOOKUP($A316,Seqs!$A:$B,2,FALSE),VLOOKUP($A316,'SegEnds_NonXtal_Prot#'!A:AL,10,FALSE)+7,1)</f>
        <v>V</v>
      </c>
      <c r="Y316" s="50" t="str">
        <f>MID(VLOOKUP($A316,Seqs!$A:$B,2,FALSE),VLOOKUP($A316,'SegEnds_NonXtal_Prot#'!A:AL,10,FALSE)+8,1)</f>
        <v>V</v>
      </c>
      <c r="Z316" s="50" t="str">
        <f>MID(VLOOKUP($A316,Seqs!$A:$B,2,FALSE),VLOOKUP($A316,'SegEnds_NonXtal_Prot#'!A:AL,10,FALSE)+9,1)</f>
        <v>F</v>
      </c>
      <c r="AA316" s="50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50" t="str">
        <f>MID(VLOOKUP($A316,Seqs!$A:$B,2,FALSE),VLOOKUP($A316,'SegEnds_NonXtal_Prot#'!$A:$AL,22,FALSE)+7,1)</f>
        <v>C</v>
      </c>
      <c r="AD316" s="50" t="str">
        <f>MID(VLOOKUP($A316,Seqs!$A:$B,2,FALSE),VLOOKUP($A316,'SegEnds_NonXtal_Prot#'!$A:$AL,22,FALSE)+8,1)</f>
        <v>G</v>
      </c>
      <c r="AE316" s="50" t="str">
        <f>MID(VLOOKUP($A316,Seqs!$A:$B,2,FALSE),VLOOKUP($A316,'SegEnds_NonXtal_Prot#'!$A:$AL,22,FALSE)+9,1)</f>
        <v>I</v>
      </c>
      <c r="AF316" s="50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50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8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50" t="str">
        <f>MID(VLOOKUP($A317,Seqs!$A:$B,2,FALSE),VLOOKUP($A317,'SegEnds_NonXtal_Prot#'!A:AL,10,FALSE)+6,1)</f>
        <v>L</v>
      </c>
      <c r="X317" s="50" t="str">
        <f>MID(VLOOKUP($A317,Seqs!$A:$B,2,FALSE),VLOOKUP($A317,'SegEnds_NonXtal_Prot#'!A:AL,10,FALSE)+7,1)</f>
        <v>I</v>
      </c>
      <c r="Y317" s="50" t="str">
        <f>MID(VLOOKUP($A317,Seqs!$A:$B,2,FALSE),VLOOKUP($A317,'SegEnds_NonXtal_Prot#'!A:AL,10,FALSE)+8,1)</f>
        <v>L</v>
      </c>
      <c r="Z317" s="50" t="str">
        <f>MID(VLOOKUP($A317,Seqs!$A:$B,2,FALSE),VLOOKUP($A317,'SegEnds_NonXtal_Prot#'!A:AL,10,FALSE)+9,1)</f>
        <v>V</v>
      </c>
      <c r="AA317" s="50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50" t="str">
        <f>MID(VLOOKUP($A317,Seqs!$A:$B,2,FALSE),VLOOKUP($A317,'SegEnds_NonXtal_Prot#'!$A:$AL,22,FALSE)+7,1)</f>
        <v>V</v>
      </c>
      <c r="AD317" s="50" t="str">
        <f>MID(VLOOKUP($A317,Seqs!$A:$B,2,FALSE),VLOOKUP($A317,'SegEnds_NonXtal_Prot#'!$A:$AL,22,FALSE)+8,1)</f>
        <v>A</v>
      </c>
      <c r="AE317" s="50" t="str">
        <f>MID(VLOOKUP($A317,Seqs!$A:$B,2,FALSE),VLOOKUP($A317,'SegEnds_NonXtal_Prot#'!$A:$AL,22,FALSE)+9,1)</f>
        <v>V</v>
      </c>
      <c r="AF317" s="50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50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8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50" t="str">
        <f>MID(VLOOKUP($A318,Seqs!$A:$B,2,FALSE),VLOOKUP($A318,'SegEnds_NonXtal_Prot#'!A:AL,10,FALSE)+6,1)</f>
        <v>L</v>
      </c>
      <c r="X318" s="50" t="str">
        <f>MID(VLOOKUP($A318,Seqs!$A:$B,2,FALSE),VLOOKUP($A318,'SegEnds_NonXtal_Prot#'!A:AL,10,FALSE)+7,1)</f>
        <v>I</v>
      </c>
      <c r="Y318" s="50" t="str">
        <f>MID(VLOOKUP($A318,Seqs!$A:$B,2,FALSE),VLOOKUP($A318,'SegEnds_NonXtal_Prot#'!A:AL,10,FALSE)+8,1)</f>
        <v>L</v>
      </c>
      <c r="Z318" s="50" t="str">
        <f>MID(VLOOKUP($A318,Seqs!$A:$B,2,FALSE),VLOOKUP($A318,'SegEnds_NonXtal_Prot#'!A:AL,10,FALSE)+9,1)</f>
        <v>V</v>
      </c>
      <c r="AA318" s="50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50" t="str">
        <f>MID(VLOOKUP($A318,Seqs!$A:$B,2,FALSE),VLOOKUP($A318,'SegEnds_NonXtal_Prot#'!$A:$AL,22,FALSE)+7,1)</f>
        <v>V</v>
      </c>
      <c r="AD318" s="50" t="str">
        <f>MID(VLOOKUP($A318,Seqs!$A:$B,2,FALSE),VLOOKUP($A318,'SegEnds_NonXtal_Prot#'!$A:$AL,22,FALSE)+8,1)</f>
        <v>A</v>
      </c>
      <c r="AE318" s="50" t="str">
        <f>MID(VLOOKUP($A318,Seqs!$A:$B,2,FALSE),VLOOKUP($A318,'SegEnds_NonXtal_Prot#'!$A:$AL,22,FALSE)+9,1)</f>
        <v>T</v>
      </c>
      <c r="AF318" s="50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50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8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50" t="str">
        <f>MID(VLOOKUP($A319,Seqs!$A:$B,2,FALSE),VLOOKUP($A319,'SegEnds_NonXtal_Prot#'!A:AL,10,FALSE)+6,1)</f>
        <v>L</v>
      </c>
      <c r="X319" s="50" t="str">
        <f>MID(VLOOKUP($A319,Seqs!$A:$B,2,FALSE),VLOOKUP($A319,'SegEnds_NonXtal_Prot#'!A:AL,10,FALSE)+7,1)</f>
        <v>L</v>
      </c>
      <c r="Y319" s="50" t="str">
        <f>MID(VLOOKUP($A319,Seqs!$A:$B,2,FALSE),VLOOKUP($A319,'SegEnds_NonXtal_Prot#'!A:AL,10,FALSE)+8,1)</f>
        <v>L</v>
      </c>
      <c r="Z319" s="50" t="str">
        <f>MID(VLOOKUP($A319,Seqs!$A:$B,2,FALSE),VLOOKUP($A319,'SegEnds_NonXtal_Prot#'!A:AL,10,FALSE)+9,1)</f>
        <v>I</v>
      </c>
      <c r="AA319" s="50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50" t="str">
        <f>MID(VLOOKUP($A319,Seqs!$A:$B,2,FALSE),VLOOKUP($A319,'SegEnds_NonXtal_Prot#'!$A:$AL,22,FALSE)+7,1)</f>
        <v>C</v>
      </c>
      <c r="AD319" s="50" t="str">
        <f>MID(VLOOKUP($A319,Seqs!$A:$B,2,FALSE),VLOOKUP($A319,'SegEnds_NonXtal_Prot#'!$A:$AL,22,FALSE)+8,1)</f>
        <v>I</v>
      </c>
      <c r="AE319" s="50" t="str">
        <f>MID(VLOOKUP($A319,Seqs!$A:$B,2,FALSE),VLOOKUP($A319,'SegEnds_NonXtal_Prot#'!$A:$AL,22,FALSE)+9,1)</f>
        <v>I</v>
      </c>
      <c r="AF319" s="50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50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8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50" t="str">
        <f>MID(VLOOKUP($A320,Seqs!$A:$B,2,FALSE),VLOOKUP($A320,'SegEnds_NonXtal_Prot#'!A:AL,10,FALSE)+6,1)</f>
        <v>F</v>
      </c>
      <c r="X320" s="50" t="str">
        <f>MID(VLOOKUP($A320,Seqs!$A:$B,2,FALSE),VLOOKUP($A320,'SegEnds_NonXtal_Prot#'!A:AL,10,FALSE)+7,1)</f>
        <v>L</v>
      </c>
      <c r="Y320" s="50" t="str">
        <f>MID(VLOOKUP($A320,Seqs!$A:$B,2,FALSE),VLOOKUP($A320,'SegEnds_NonXtal_Prot#'!A:AL,10,FALSE)+8,1)</f>
        <v>M</v>
      </c>
      <c r="Z320" s="50" t="str">
        <f>MID(VLOOKUP($A320,Seqs!$A:$B,2,FALSE),VLOOKUP($A320,'SegEnds_NonXtal_Prot#'!A:AL,10,FALSE)+9,1)</f>
        <v>T</v>
      </c>
      <c r="AA320" s="50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50" t="str">
        <f>MID(VLOOKUP($A320,Seqs!$A:$B,2,FALSE),VLOOKUP($A320,'SegEnds_NonXtal_Prot#'!$A:$AL,22,FALSE)+7,1)</f>
        <v>V</v>
      </c>
      <c r="AD320" s="50" t="str">
        <f>MID(VLOOKUP($A320,Seqs!$A:$B,2,FALSE),VLOOKUP($A320,'SegEnds_NonXtal_Prot#'!$A:$AL,22,FALSE)+8,1)</f>
        <v>A</v>
      </c>
      <c r="AE320" s="50" t="str">
        <f>MID(VLOOKUP($A320,Seqs!$A:$B,2,FALSE),VLOOKUP($A320,'SegEnds_NonXtal_Prot#'!$A:$AL,22,FALSE)+9,1)</f>
        <v>V</v>
      </c>
      <c r="AF320" s="50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50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8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50" t="str">
        <f>MID(VLOOKUP($A321,Seqs!$A:$B,2,FALSE),VLOOKUP($A321,'SegEnds_NonXtal_Prot#'!A:AL,10,FALSE)+6,1)</f>
        <v>L</v>
      </c>
      <c r="X321" s="50" t="str">
        <f>MID(VLOOKUP($A321,Seqs!$A:$B,2,FALSE),VLOOKUP($A321,'SegEnds_NonXtal_Prot#'!A:AL,10,FALSE)+7,1)</f>
        <v>F</v>
      </c>
      <c r="Y321" s="50" t="str">
        <f>MID(VLOOKUP($A321,Seqs!$A:$B,2,FALSE),VLOOKUP($A321,'SegEnds_NonXtal_Prot#'!A:AL,10,FALSE)+8,1)</f>
        <v>L</v>
      </c>
      <c r="Z321" s="50" t="str">
        <f>MID(VLOOKUP($A321,Seqs!$A:$B,2,FALSE),VLOOKUP($A321,'SegEnds_NonXtal_Prot#'!A:AL,10,FALSE)+9,1)</f>
        <v>A</v>
      </c>
      <c r="AA321" s="50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50" t="str">
        <f>MID(VLOOKUP($A321,Seqs!$A:$B,2,FALSE),VLOOKUP($A321,'SegEnds_NonXtal_Prot#'!$A:$AL,22,FALSE)+7,1)</f>
        <v>V</v>
      </c>
      <c r="AD321" s="50" t="str">
        <f>MID(VLOOKUP($A321,Seqs!$A:$B,2,FALSE),VLOOKUP($A321,'SegEnds_NonXtal_Prot#'!$A:$AL,22,FALSE)+8,1)</f>
        <v>V</v>
      </c>
      <c r="AE321" s="50" t="str">
        <f>MID(VLOOKUP($A321,Seqs!$A:$B,2,FALSE),VLOOKUP($A321,'SegEnds_NonXtal_Prot#'!$A:$AL,22,FALSE)+9,1)</f>
        <v>I</v>
      </c>
      <c r="AF321" s="50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50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8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50" t="str">
        <f>MID(VLOOKUP($A322,Seqs!$A:$B,2,FALSE),VLOOKUP($A322,'SegEnds_NonXtal_Prot#'!A:AL,10,FALSE)+6,1)</f>
        <v>L</v>
      </c>
      <c r="X322" s="50" t="str">
        <f>MID(VLOOKUP($A322,Seqs!$A:$B,2,FALSE),VLOOKUP($A322,'SegEnds_NonXtal_Prot#'!A:AL,10,FALSE)+7,1)</f>
        <v>F</v>
      </c>
      <c r="Y322" s="50" t="str">
        <f>MID(VLOOKUP($A322,Seqs!$A:$B,2,FALSE),VLOOKUP($A322,'SegEnds_NonXtal_Prot#'!A:AL,10,FALSE)+8,1)</f>
        <v>L</v>
      </c>
      <c r="Z322" s="50" t="str">
        <f>MID(VLOOKUP($A322,Seqs!$A:$B,2,FALSE),VLOOKUP($A322,'SegEnds_NonXtal_Prot#'!A:AL,10,FALSE)+9,1)</f>
        <v>V</v>
      </c>
      <c r="AA322" s="50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50" t="str">
        <f>MID(VLOOKUP($A322,Seqs!$A:$B,2,FALSE),VLOOKUP($A322,'SegEnds_NonXtal_Prot#'!$A:$AL,22,FALSE)+7,1)</f>
        <v>V</v>
      </c>
      <c r="AD322" s="50" t="str">
        <f>MID(VLOOKUP($A322,Seqs!$A:$B,2,FALSE),VLOOKUP($A322,'SegEnds_NonXtal_Prot#'!$A:$AL,22,FALSE)+8,1)</f>
        <v>A</v>
      </c>
      <c r="AE322" s="50" t="str">
        <f>MID(VLOOKUP($A322,Seqs!$A:$B,2,FALSE),VLOOKUP($A322,'SegEnds_NonXtal_Prot#'!$A:$AL,22,FALSE)+9,1)</f>
        <v>I</v>
      </c>
      <c r="AF322" s="50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50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8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50" t="str">
        <f>MID(VLOOKUP($A323,Seqs!$A:$B,2,FALSE),VLOOKUP($A323,'SegEnds_NonXtal_Prot#'!A:AL,10,FALSE)+6,1)</f>
        <v>L</v>
      </c>
      <c r="X323" s="50" t="str">
        <f>MID(VLOOKUP($A323,Seqs!$A:$B,2,FALSE),VLOOKUP($A323,'SegEnds_NonXtal_Prot#'!A:AL,10,FALSE)+7,1)</f>
        <v>F</v>
      </c>
      <c r="Y323" s="50" t="str">
        <f>MID(VLOOKUP($A323,Seqs!$A:$B,2,FALSE),VLOOKUP($A323,'SegEnds_NonXtal_Prot#'!A:AL,10,FALSE)+8,1)</f>
        <v>L</v>
      </c>
      <c r="Z323" s="50" t="str">
        <f>MID(VLOOKUP($A323,Seqs!$A:$B,2,FALSE),VLOOKUP($A323,'SegEnds_NonXtal_Prot#'!A:AL,10,FALSE)+9,1)</f>
        <v>V</v>
      </c>
      <c r="AA323" s="50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50" t="str">
        <f>MID(VLOOKUP($A323,Seqs!$A:$B,2,FALSE),VLOOKUP($A323,'SegEnds_NonXtal_Prot#'!$A:$AL,22,FALSE)+7,1)</f>
        <v>V</v>
      </c>
      <c r="AD323" s="50" t="str">
        <f>MID(VLOOKUP($A323,Seqs!$A:$B,2,FALSE),VLOOKUP($A323,'SegEnds_NonXtal_Prot#'!$A:$AL,22,FALSE)+8,1)</f>
        <v>A</v>
      </c>
      <c r="AE323" s="50" t="str">
        <f>MID(VLOOKUP($A323,Seqs!$A:$B,2,FALSE),VLOOKUP($A323,'SegEnds_NonXtal_Prot#'!$A:$AL,22,FALSE)+9,1)</f>
        <v>I</v>
      </c>
      <c r="AF323" s="50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50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8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50" t="str">
        <f>MID(VLOOKUP($A324,Seqs!$A:$B,2,FALSE),VLOOKUP($A324,'SegEnds_NonXtal_Prot#'!A:AL,10,FALSE)+6,1)</f>
        <v>L</v>
      </c>
      <c r="X324" s="50" t="str">
        <f>MID(VLOOKUP($A324,Seqs!$A:$B,2,FALSE),VLOOKUP($A324,'SegEnds_NonXtal_Prot#'!A:AL,10,FALSE)+7,1)</f>
        <v>F</v>
      </c>
      <c r="Y324" s="50" t="str">
        <f>MID(VLOOKUP($A324,Seqs!$A:$B,2,FALSE),VLOOKUP($A324,'SegEnds_NonXtal_Prot#'!A:AL,10,FALSE)+8,1)</f>
        <v>L</v>
      </c>
      <c r="Z324" s="50" t="str">
        <f>MID(VLOOKUP($A324,Seqs!$A:$B,2,FALSE),VLOOKUP($A324,'SegEnds_NonXtal_Prot#'!A:AL,10,FALSE)+9,1)</f>
        <v>T</v>
      </c>
      <c r="AA324" s="50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50" t="str">
        <f>MID(VLOOKUP($A324,Seqs!$A:$B,2,FALSE),VLOOKUP($A324,'SegEnds_NonXtal_Prot#'!$A:$AL,22,FALSE)+7,1)</f>
        <v>I</v>
      </c>
      <c r="AD324" s="50" t="str">
        <f>MID(VLOOKUP($A324,Seqs!$A:$B,2,FALSE),VLOOKUP($A324,'SegEnds_NonXtal_Prot#'!$A:$AL,22,FALSE)+8,1)</f>
        <v>A</v>
      </c>
      <c r="AE324" s="50" t="str">
        <f>MID(VLOOKUP($A324,Seqs!$A:$B,2,FALSE),VLOOKUP($A324,'SegEnds_NonXtal_Prot#'!$A:$AL,22,FALSE)+9,1)</f>
        <v>V</v>
      </c>
      <c r="AF324" s="50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50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8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50" t="str">
        <f>MID(VLOOKUP($A325,Seqs!$A:$B,2,FALSE),VLOOKUP($A325,'SegEnds_NonXtal_Prot#'!A:AL,10,FALSE)+6,1)</f>
        <v>A</v>
      </c>
      <c r="X325" s="50" t="str">
        <f>MID(VLOOKUP($A325,Seqs!$A:$B,2,FALSE),VLOOKUP($A325,'SegEnds_NonXtal_Prot#'!A:AL,10,FALSE)+7,1)</f>
        <v>D</v>
      </c>
      <c r="Y325" s="50" t="str">
        <f>MID(VLOOKUP($A325,Seqs!$A:$B,2,FALSE),VLOOKUP($A325,'SegEnds_NonXtal_Prot#'!A:AL,10,FALSE)+8,1)</f>
        <v>V</v>
      </c>
      <c r="Z325" s="50" t="str">
        <f>MID(VLOOKUP($A325,Seqs!$A:$B,2,FALSE),VLOOKUP($A325,'SegEnds_NonXtal_Prot#'!A:AL,10,FALSE)+9,1)</f>
        <v>W</v>
      </c>
      <c r="AA325" s="50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50" t="str">
        <f>MID(VLOOKUP($A325,Seqs!$A:$B,2,FALSE),VLOOKUP($A325,'SegEnds_NonXtal_Prot#'!$A:$AL,22,FALSE)+7,1)</f>
        <v>S</v>
      </c>
      <c r="AD325" s="50" t="str">
        <f>MID(VLOOKUP($A325,Seqs!$A:$B,2,FALSE),VLOOKUP($A325,'SegEnds_NonXtal_Prot#'!$A:$AL,22,FALSE)+8,1)</f>
        <v>V</v>
      </c>
      <c r="AE325" s="50" t="str">
        <f>MID(VLOOKUP($A325,Seqs!$A:$B,2,FALSE),VLOOKUP($A325,'SegEnds_NonXtal_Prot#'!$A:$AL,22,FALSE)+9,1)</f>
        <v>I</v>
      </c>
      <c r="AF325" s="50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50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8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50" t="str">
        <f>MID(VLOOKUP($A326,Seqs!$A:$B,2,FALSE),VLOOKUP($A326,'SegEnds_NonXtal_Prot#'!A:AL,10,FALSE)+6,1)</f>
        <v>A</v>
      </c>
      <c r="X326" s="50" t="str">
        <f>MID(VLOOKUP($A326,Seqs!$A:$B,2,FALSE),VLOOKUP($A326,'SegEnds_NonXtal_Prot#'!A:AL,10,FALSE)+7,1)</f>
        <v>D</v>
      </c>
      <c r="Y326" s="50" t="str">
        <f>MID(VLOOKUP($A326,Seqs!$A:$B,2,FALSE),VLOOKUP($A326,'SegEnds_NonXtal_Prot#'!A:AL,10,FALSE)+8,1)</f>
        <v>V</v>
      </c>
      <c r="Z326" s="50" t="str">
        <f>MID(VLOOKUP($A326,Seqs!$A:$B,2,FALSE),VLOOKUP($A326,'SegEnds_NonXtal_Prot#'!A:AL,10,FALSE)+9,1)</f>
        <v>W</v>
      </c>
      <c r="AA326" s="50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50" t="str">
        <f>MID(VLOOKUP($A326,Seqs!$A:$B,2,FALSE),VLOOKUP($A326,'SegEnds_NonXtal_Prot#'!$A:$AL,22,FALSE)+7,1)</f>
        <v>A</v>
      </c>
      <c r="AD326" s="50" t="str">
        <f>MID(VLOOKUP($A326,Seqs!$A:$B,2,FALSE),VLOOKUP($A326,'SegEnds_NonXtal_Prot#'!$A:$AL,22,FALSE)+8,1)</f>
        <v>A</v>
      </c>
      <c r="AE326" s="50" t="str">
        <f>MID(VLOOKUP($A326,Seqs!$A:$B,2,FALSE),VLOOKUP($A326,'SegEnds_NonXtal_Prot#'!$A:$AL,22,FALSE)+9,1)</f>
        <v>I</v>
      </c>
      <c r="AF326" s="50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50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8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50" t="str">
        <f>MID(VLOOKUP($A327,Seqs!$A:$B,2,FALSE),VLOOKUP($A327,'SegEnds_NonXtal_Prot#'!A:AL,10,FALSE)+6,1)</f>
        <v>A</v>
      </c>
      <c r="X327" s="50" t="str">
        <f>MID(VLOOKUP($A327,Seqs!$A:$B,2,FALSE),VLOOKUP($A327,'SegEnds_NonXtal_Prot#'!A:AL,10,FALSE)+7,1)</f>
        <v>D</v>
      </c>
      <c r="Y327" s="50" t="str">
        <f>MID(VLOOKUP($A327,Seqs!$A:$B,2,FALSE),VLOOKUP($A327,'SegEnds_NonXtal_Prot#'!A:AL,10,FALSE)+8,1)</f>
        <v>T</v>
      </c>
      <c r="Z327" s="50" t="str">
        <f>MID(VLOOKUP($A327,Seqs!$A:$B,2,FALSE),VLOOKUP($A327,'SegEnds_NonXtal_Prot#'!A:AL,10,FALSE)+9,1)</f>
        <v>C</v>
      </c>
      <c r="AA327" s="50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50" t="str">
        <f>MID(VLOOKUP($A327,Seqs!$A:$B,2,FALSE),VLOOKUP($A327,'SegEnds_NonXtal_Prot#'!$A:$AL,22,FALSE)+7,1)</f>
        <v>A</v>
      </c>
      <c r="AD327" s="50" t="str">
        <f>MID(VLOOKUP($A327,Seqs!$A:$B,2,FALSE),VLOOKUP($A327,'SegEnds_NonXtal_Prot#'!$A:$AL,22,FALSE)+8,1)</f>
        <v>G</v>
      </c>
      <c r="AE327" s="50" t="str">
        <f>MID(VLOOKUP($A327,Seqs!$A:$B,2,FALSE),VLOOKUP($A327,'SegEnds_NonXtal_Prot#'!$A:$AL,22,FALSE)+9,1)</f>
        <v>V</v>
      </c>
      <c r="AF327" s="50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50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8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50" t="str">
        <f>MID(VLOOKUP($A328,Seqs!$A:$B,2,FALSE),VLOOKUP($A328,'SegEnds_NonXtal_Prot#'!A:AL,10,FALSE)+6,1)</f>
        <v>A</v>
      </c>
      <c r="X328" s="50" t="str">
        <f>MID(VLOOKUP($A328,Seqs!$A:$B,2,FALSE),VLOOKUP($A328,'SegEnds_NonXtal_Prot#'!A:AL,10,FALSE)+7,1)</f>
        <v>N</v>
      </c>
      <c r="Y328" s="50" t="str">
        <f>MID(VLOOKUP($A328,Seqs!$A:$B,2,FALSE),VLOOKUP($A328,'SegEnds_NonXtal_Prot#'!A:AL,10,FALSE)+8,1)</f>
        <v>V</v>
      </c>
      <c r="Z328" s="50" t="str">
        <f>MID(VLOOKUP($A328,Seqs!$A:$B,2,FALSE),VLOOKUP($A328,'SegEnds_NonXtal_Prot#'!A:AL,10,FALSE)+9,1)</f>
        <v>W</v>
      </c>
      <c r="AA328" s="50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50" t="str">
        <f>MID(VLOOKUP($A328,Seqs!$A:$B,2,FALSE),VLOOKUP($A328,'SegEnds_NonXtal_Prot#'!$A:$AL,22,FALSE)+7,1)</f>
        <v>A</v>
      </c>
      <c r="AD328" s="50" t="str">
        <f>MID(VLOOKUP($A328,Seqs!$A:$B,2,FALSE),VLOOKUP($A328,'SegEnds_NonXtal_Prot#'!$A:$AL,22,FALSE)+8,1)</f>
        <v>V</v>
      </c>
      <c r="AE328" s="50" t="str">
        <f>MID(VLOOKUP($A328,Seqs!$A:$B,2,FALSE),VLOOKUP($A328,'SegEnds_NonXtal_Prot#'!$A:$AL,22,FALSE)+9,1)</f>
        <v>T</v>
      </c>
      <c r="AF328" s="50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50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8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50" t="str">
        <f>MID(VLOOKUP($A329,Seqs!$A:$B,2,FALSE),VLOOKUP($A329,'SegEnds_NonXtal_Prot#'!A:AL,10,FALSE)+6,1)</f>
        <v>A</v>
      </c>
      <c r="X329" s="50" t="str">
        <f>MID(VLOOKUP($A329,Seqs!$A:$B,2,FALSE),VLOOKUP($A329,'SegEnds_NonXtal_Prot#'!A:AL,10,FALSE)+7,1)</f>
        <v>N</v>
      </c>
      <c r="Y329" s="50" t="str">
        <f>MID(VLOOKUP($A329,Seqs!$A:$B,2,FALSE),VLOOKUP($A329,'SegEnds_NonXtal_Prot#'!A:AL,10,FALSE)+8,1)</f>
        <v>T</v>
      </c>
      <c r="Z329" s="50" t="str">
        <f>MID(VLOOKUP($A329,Seqs!$A:$B,2,FALSE),VLOOKUP($A329,'SegEnds_NonXtal_Prot#'!A:AL,10,FALSE)+9,1)</f>
        <v>W</v>
      </c>
      <c r="AA329" s="50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50" t="str">
        <f>MID(VLOOKUP($A329,Seqs!$A:$B,2,FALSE),VLOOKUP($A329,'SegEnds_NonXtal_Prot#'!$A:$AL,22,FALSE)+7,1)</f>
        <v>S</v>
      </c>
      <c r="AD329" s="50" t="str">
        <f>MID(VLOOKUP($A329,Seqs!$A:$B,2,FALSE),VLOOKUP($A329,'SegEnds_NonXtal_Prot#'!$A:$AL,22,FALSE)+8,1)</f>
        <v>V</v>
      </c>
      <c r="AE329" s="50" t="str">
        <f>MID(VLOOKUP($A329,Seqs!$A:$B,2,FALSE),VLOOKUP($A329,'SegEnds_NonXtal_Prot#'!$A:$AL,22,FALSE)+9,1)</f>
        <v>I</v>
      </c>
      <c r="AF329" s="50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50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8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50" t="str">
        <f>MID(VLOOKUP($A330,Seqs!$A:$B,2,FALSE),VLOOKUP($A330,'SegEnds_NonXtal_Prot#'!A:AL,10,FALSE)+6,1)</f>
        <v>S</v>
      </c>
      <c r="X330" s="50" t="str">
        <f>MID(VLOOKUP($A330,Seqs!$A:$B,2,FALSE),VLOOKUP($A330,'SegEnds_NonXtal_Prot#'!A:AL,10,FALSE)+7,1)</f>
        <v>F</v>
      </c>
      <c r="Y330" s="50" t="str">
        <f>MID(VLOOKUP($A330,Seqs!$A:$B,2,FALSE),VLOOKUP($A330,'SegEnds_NonXtal_Prot#'!A:AL,10,FALSE)+8,1)</f>
        <v>L</v>
      </c>
      <c r="Z330" s="50" t="str">
        <f>MID(VLOOKUP($A330,Seqs!$A:$B,2,FALSE),VLOOKUP($A330,'SegEnds_NonXtal_Prot#'!A:AL,10,FALSE)+9,1)</f>
        <v>L</v>
      </c>
      <c r="AA330" s="50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50" t="str">
        <f>MID(VLOOKUP($A330,Seqs!$A:$B,2,FALSE),VLOOKUP($A330,'SegEnds_NonXtal_Prot#'!$A:$AL,22,FALSE)+7,1)</f>
        <v>V</v>
      </c>
      <c r="AD330" s="50" t="str">
        <f>MID(VLOOKUP($A330,Seqs!$A:$B,2,FALSE),VLOOKUP($A330,'SegEnds_NonXtal_Prot#'!$A:$AL,22,FALSE)+8,1)</f>
        <v>T</v>
      </c>
      <c r="AE330" s="50" t="str">
        <f>MID(VLOOKUP($A330,Seqs!$A:$B,2,FALSE),VLOOKUP($A330,'SegEnds_NonXtal_Prot#'!$A:$AL,22,FALSE)+9,1)</f>
        <v>L</v>
      </c>
      <c r="AF330" s="50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50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8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50" t="str">
        <f>MID(VLOOKUP($A331,Seqs!$A:$B,2,FALSE),VLOOKUP($A331,'SegEnds_NonXtal_Prot#'!A:AL,10,FALSE)+6,1)</f>
        <v>V</v>
      </c>
      <c r="X331" s="50" t="str">
        <f>MID(VLOOKUP($A331,Seqs!$A:$B,2,FALSE),VLOOKUP($A331,'SegEnds_NonXtal_Prot#'!A:AL,10,FALSE)+7,1)</f>
        <v>F</v>
      </c>
      <c r="Y331" s="50" t="str">
        <f>MID(VLOOKUP($A331,Seqs!$A:$B,2,FALSE),VLOOKUP($A331,'SegEnds_NonXtal_Prot#'!A:AL,10,FALSE)+8,1)</f>
        <v>L</v>
      </c>
      <c r="Z331" s="50" t="str">
        <f>MID(VLOOKUP($A331,Seqs!$A:$B,2,FALSE),VLOOKUP($A331,'SegEnds_NonXtal_Prot#'!A:AL,10,FALSE)+9,1)</f>
        <v>L</v>
      </c>
      <c r="AA331" s="50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50" t="str">
        <f>MID(VLOOKUP($A331,Seqs!$A:$B,2,FALSE),VLOOKUP($A331,'SegEnds_NonXtal_Prot#'!$A:$AL,22,FALSE)+7,1)</f>
        <v>V</v>
      </c>
      <c r="AD331" s="50" t="str">
        <f>MID(VLOOKUP($A331,Seqs!$A:$B,2,FALSE),VLOOKUP($A331,'SegEnds_NonXtal_Prot#'!$A:$AL,22,FALSE)+8,1)</f>
        <v>T</v>
      </c>
      <c r="AE331" s="50" t="str">
        <f>MID(VLOOKUP($A331,Seqs!$A:$B,2,FALSE),VLOOKUP($A331,'SegEnds_NonXtal_Prot#'!$A:$AL,22,FALSE)+9,1)</f>
        <v>I</v>
      </c>
      <c r="AF331" s="50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50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8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50" t="str">
        <f>MID(VLOOKUP($A332,Seqs!$A:$B,2,FALSE),VLOOKUP($A332,'SegEnds_NonXtal_Prot#'!A:AL,10,FALSE)+6,1)</f>
        <v>A</v>
      </c>
      <c r="X332" s="50" t="str">
        <f>MID(VLOOKUP($A332,Seqs!$A:$B,2,FALSE),VLOOKUP($A332,'SegEnds_NonXtal_Prot#'!A:AL,10,FALSE)+7,1)</f>
        <v>F</v>
      </c>
      <c r="Y332" s="50" t="str">
        <f>MID(VLOOKUP($A332,Seqs!$A:$B,2,FALSE),VLOOKUP($A332,'SegEnds_NonXtal_Prot#'!A:AL,10,FALSE)+8,1)</f>
        <v>L</v>
      </c>
      <c r="Z332" s="50" t="str">
        <f>MID(VLOOKUP($A332,Seqs!$A:$B,2,FALSE),VLOOKUP($A332,'SegEnds_NonXtal_Prot#'!A:AL,10,FALSE)+9,1)</f>
        <v>V</v>
      </c>
      <c r="AA332" s="50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50" t="str">
        <f>MID(VLOOKUP($A332,Seqs!$A:$B,2,FALSE),VLOOKUP($A332,'SegEnds_NonXtal_Prot#'!$A:$AL,22,FALSE)+7,1)</f>
        <v>V</v>
      </c>
      <c r="AD332" s="50" t="str">
        <f>MID(VLOOKUP($A332,Seqs!$A:$B,2,FALSE),VLOOKUP($A332,'SegEnds_NonXtal_Prot#'!$A:$AL,22,FALSE)+8,1)</f>
        <v>I</v>
      </c>
      <c r="AE332" s="50" t="str">
        <f>MID(VLOOKUP($A332,Seqs!$A:$B,2,FALSE),VLOOKUP($A332,'SegEnds_NonXtal_Prot#'!$A:$AL,22,FALSE)+9,1)</f>
        <v>G</v>
      </c>
      <c r="AF332" s="50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50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8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50" t="str">
        <f>MID(VLOOKUP($A333,Seqs!$A:$B,2,FALSE),VLOOKUP($A333,'SegEnds_NonXtal_Prot#'!A:AL,10,FALSE)+6,1)</f>
        <v>V</v>
      </c>
      <c r="X333" s="50" t="str">
        <f>MID(VLOOKUP($A333,Seqs!$A:$B,2,FALSE),VLOOKUP($A333,'SegEnds_NonXtal_Prot#'!A:AL,10,FALSE)+7,1)</f>
        <v>F</v>
      </c>
      <c r="Y333" s="50" t="str">
        <f>MID(VLOOKUP($A333,Seqs!$A:$B,2,FALSE),VLOOKUP($A333,'SegEnds_NonXtal_Prot#'!A:AL,10,FALSE)+8,1)</f>
        <v>L</v>
      </c>
      <c r="Z333" s="50" t="str">
        <f>MID(VLOOKUP($A333,Seqs!$A:$B,2,FALSE),VLOOKUP($A333,'SegEnds_NonXtal_Prot#'!A:AL,10,FALSE)+9,1)</f>
        <v>I</v>
      </c>
      <c r="AA333" s="50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50" t="str">
        <f>MID(VLOOKUP($A333,Seqs!$A:$B,2,FALSE),VLOOKUP($A333,'SegEnds_NonXtal_Prot#'!$A:$AL,22,FALSE)+7,1)</f>
        <v>V</v>
      </c>
      <c r="AD333" s="50" t="str">
        <f>MID(VLOOKUP($A333,Seqs!$A:$B,2,FALSE),VLOOKUP($A333,'SegEnds_NonXtal_Prot#'!$A:$AL,22,FALSE)+8,1)</f>
        <v>A</v>
      </c>
      <c r="AE333" s="50" t="str">
        <f>MID(VLOOKUP($A333,Seqs!$A:$B,2,FALSE),VLOOKUP($A333,'SegEnds_NonXtal_Prot#'!$A:$AL,22,FALSE)+9,1)</f>
        <v>I</v>
      </c>
      <c r="AF333" s="50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50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8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50" t="str">
        <f>MID(VLOOKUP($A334,Seqs!$A:$B,2,FALSE),VLOOKUP($A334,'SegEnds_NonXtal_Prot#'!A:AL,10,FALSE)+6,1)</f>
        <v>A</v>
      </c>
      <c r="X334" s="50" t="str">
        <f>MID(VLOOKUP($A334,Seqs!$A:$B,2,FALSE),VLOOKUP($A334,'SegEnds_NonXtal_Prot#'!A:AL,10,FALSE)+7,1)</f>
        <v>F</v>
      </c>
      <c r="Y334" s="50" t="str">
        <f>MID(VLOOKUP($A334,Seqs!$A:$B,2,FALSE),VLOOKUP($A334,'SegEnds_NonXtal_Prot#'!A:AL,10,FALSE)+8,1)</f>
        <v>L</v>
      </c>
      <c r="Z334" s="50" t="str">
        <f>MID(VLOOKUP($A334,Seqs!$A:$B,2,FALSE),VLOOKUP($A334,'SegEnds_NonXtal_Prot#'!A:AL,10,FALSE)+9,1)</f>
        <v>L</v>
      </c>
      <c r="AA334" s="50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50" t="str">
        <f>MID(VLOOKUP($A334,Seqs!$A:$B,2,FALSE),VLOOKUP($A334,'SegEnds_NonXtal_Prot#'!$A:$AL,22,FALSE)+7,1)</f>
        <v>V</v>
      </c>
      <c r="AD334" s="50" t="str">
        <f>MID(VLOOKUP($A334,Seqs!$A:$B,2,FALSE),VLOOKUP($A334,'SegEnds_NonXtal_Prot#'!$A:$AL,22,FALSE)+8,1)</f>
        <v>L</v>
      </c>
      <c r="AE334" s="50" t="str">
        <f>MID(VLOOKUP($A334,Seqs!$A:$B,2,FALSE),VLOOKUP($A334,'SegEnds_NonXtal_Prot#'!$A:$AL,22,FALSE)+9,1)</f>
        <v>L</v>
      </c>
      <c r="AF334" s="50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50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8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50" t="str">
        <f>MID(VLOOKUP($A335,Seqs!$A:$B,2,FALSE),VLOOKUP($A335,'SegEnds_NonXtal_Prot#'!A:AL,10,FALSE)+6,1)</f>
        <v>L</v>
      </c>
      <c r="X335" s="50" t="str">
        <f>MID(VLOOKUP($A335,Seqs!$A:$B,2,FALSE),VLOOKUP($A335,'SegEnds_NonXtal_Prot#'!A:AL,10,FALSE)+7,1)</f>
        <v>F</v>
      </c>
      <c r="Y335" s="50" t="str">
        <f>MID(VLOOKUP($A335,Seqs!$A:$B,2,FALSE),VLOOKUP($A335,'SegEnds_NonXtal_Prot#'!A:AL,10,FALSE)+8,1)</f>
        <v>V</v>
      </c>
      <c r="Z335" s="50" t="str">
        <f>MID(VLOOKUP($A335,Seqs!$A:$B,2,FALSE),VLOOKUP($A335,'SegEnds_NonXtal_Prot#'!A:AL,10,FALSE)+9,1)</f>
        <v>F</v>
      </c>
      <c r="AA335" s="50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50" t="str">
        <f>MID(VLOOKUP($A335,Seqs!$A:$B,2,FALSE),VLOOKUP($A335,'SegEnds_NonXtal_Prot#'!$A:$AL,22,FALSE)+7,1)</f>
        <v>V</v>
      </c>
      <c r="AD335" s="50" t="str">
        <f>MID(VLOOKUP($A335,Seqs!$A:$B,2,FALSE),VLOOKUP($A335,'SegEnds_NonXtal_Prot#'!$A:$AL,22,FALSE)+8,1)</f>
        <v>A</v>
      </c>
      <c r="AE335" s="50" t="str">
        <f>MID(VLOOKUP($A335,Seqs!$A:$B,2,FALSE),VLOOKUP($A335,'SegEnds_NonXtal_Prot#'!$A:$AL,22,FALSE)+9,1)</f>
        <v>I</v>
      </c>
      <c r="AF335" s="50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50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8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50" t="str">
        <f>MID(VLOOKUP($A336,Seqs!$A:$B,2,FALSE),VLOOKUP($A336,'SegEnds_NonXtal_Prot#'!A:AL,10,FALSE)+6,1)</f>
        <v>L</v>
      </c>
      <c r="X336" s="50" t="str">
        <f>MID(VLOOKUP($A336,Seqs!$A:$B,2,FALSE),VLOOKUP($A336,'SegEnds_NonXtal_Prot#'!A:AL,10,FALSE)+7,1)</f>
        <v>F</v>
      </c>
      <c r="Y336" s="50" t="str">
        <f>MID(VLOOKUP($A336,Seqs!$A:$B,2,FALSE),VLOOKUP($A336,'SegEnds_NonXtal_Prot#'!A:AL,10,FALSE)+8,1)</f>
        <v>L</v>
      </c>
      <c r="Z336" s="50" t="str">
        <f>MID(VLOOKUP($A336,Seqs!$A:$B,2,FALSE),VLOOKUP($A336,'SegEnds_NonXtal_Prot#'!A:AL,10,FALSE)+9,1)</f>
        <v>V</v>
      </c>
      <c r="AA336" s="50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50" t="str">
        <f>MID(VLOOKUP($A336,Seqs!$A:$B,2,FALSE),VLOOKUP($A336,'SegEnds_NonXtal_Prot#'!$A:$AL,22,FALSE)+7,1)</f>
        <v>V</v>
      </c>
      <c r="AD336" s="50" t="str">
        <f>MID(VLOOKUP($A336,Seqs!$A:$B,2,FALSE),VLOOKUP($A336,'SegEnds_NonXtal_Prot#'!$A:$AL,22,FALSE)+8,1)</f>
        <v>G</v>
      </c>
      <c r="AE336" s="50" t="str">
        <f>MID(VLOOKUP($A336,Seqs!$A:$B,2,FALSE),VLOOKUP($A336,'SegEnds_NonXtal_Prot#'!$A:$AL,22,FALSE)+9,1)</f>
        <v>I</v>
      </c>
      <c r="AF336" s="50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50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8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50" t="str">
        <f>MID(VLOOKUP($A337,Seqs!$A:$B,2,FALSE),VLOOKUP($A337,'SegEnds_NonXtal_Prot#'!A:AL,10,FALSE)+6,1)</f>
        <v>I</v>
      </c>
      <c r="X337" s="50" t="str">
        <f>MID(VLOOKUP($A337,Seqs!$A:$B,2,FALSE),VLOOKUP($A337,'SegEnds_NonXtal_Prot#'!A:AL,10,FALSE)+7,1)</f>
        <v>F</v>
      </c>
      <c r="Y337" s="50" t="str">
        <f>MID(VLOOKUP($A337,Seqs!$A:$B,2,FALSE),VLOOKUP($A337,'SegEnds_NonXtal_Prot#'!A:AL,10,FALSE)+8,1)</f>
        <v>L</v>
      </c>
      <c r="Z337" s="50" t="str">
        <f>MID(VLOOKUP($A337,Seqs!$A:$B,2,FALSE),VLOOKUP($A337,'SegEnds_NonXtal_Prot#'!A:AL,10,FALSE)+9,1)</f>
        <v>I</v>
      </c>
      <c r="AA337" s="50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50" t="str">
        <f>MID(VLOOKUP($A337,Seqs!$A:$B,2,FALSE),VLOOKUP($A337,'SegEnds_NonXtal_Prot#'!$A:$AL,22,FALSE)+7,1)</f>
        <v>V</v>
      </c>
      <c r="AD337" s="50" t="str">
        <f>MID(VLOOKUP($A337,Seqs!$A:$B,2,FALSE),VLOOKUP($A337,'SegEnds_NonXtal_Prot#'!$A:$AL,22,FALSE)+8,1)</f>
        <v>G</v>
      </c>
      <c r="AE337" s="50" t="str">
        <f>MID(VLOOKUP($A337,Seqs!$A:$B,2,FALSE),VLOOKUP($A337,'SegEnds_NonXtal_Prot#'!$A:$AL,22,FALSE)+9,1)</f>
        <v>V</v>
      </c>
      <c r="AF337" s="50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50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8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50" t="str">
        <f>MID(VLOOKUP($A338,Seqs!$A:$B,2,FALSE),VLOOKUP($A338,'SegEnds_NonXtal_Prot#'!A:AL,10,FALSE)+6,1)</f>
        <v>L</v>
      </c>
      <c r="X338" s="50" t="str">
        <f>MID(VLOOKUP($A338,Seqs!$A:$B,2,FALSE),VLOOKUP($A338,'SegEnds_NonXtal_Prot#'!A:AL,10,FALSE)+7,1)</f>
        <v>F</v>
      </c>
      <c r="Y338" s="50" t="str">
        <f>MID(VLOOKUP($A338,Seqs!$A:$B,2,FALSE),VLOOKUP($A338,'SegEnds_NonXtal_Prot#'!A:AL,10,FALSE)+8,1)</f>
        <v>L</v>
      </c>
      <c r="Z338" s="50" t="str">
        <f>MID(VLOOKUP($A338,Seqs!$A:$B,2,FALSE),VLOOKUP($A338,'SegEnds_NonXtal_Prot#'!A:AL,10,FALSE)+9,1)</f>
        <v>I</v>
      </c>
      <c r="AA338" s="50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50" t="str">
        <f>MID(VLOOKUP($A338,Seqs!$A:$B,2,FALSE),VLOOKUP($A338,'SegEnds_NonXtal_Prot#'!$A:$AL,22,FALSE)+7,1)</f>
        <v>V</v>
      </c>
      <c r="AD338" s="50" t="str">
        <f>MID(VLOOKUP($A338,Seqs!$A:$B,2,FALSE),VLOOKUP($A338,'SegEnds_NonXtal_Prot#'!$A:$AL,22,FALSE)+8,1)</f>
        <v>A</v>
      </c>
      <c r="AE338" s="50" t="str">
        <f>MID(VLOOKUP($A338,Seqs!$A:$B,2,FALSE),VLOOKUP($A338,'SegEnds_NonXtal_Prot#'!$A:$AL,22,FALSE)+9,1)</f>
        <v>V</v>
      </c>
      <c r="AF338" s="50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50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8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50" t="str">
        <f>MID(VLOOKUP($A339,Seqs!$A:$B,2,FALSE),VLOOKUP($A339,'SegEnds_NonXtal_Prot#'!A:AL,10,FALSE)+6,1)</f>
        <v>V</v>
      </c>
      <c r="X339" s="50" t="str">
        <f>MID(VLOOKUP($A339,Seqs!$A:$B,2,FALSE),VLOOKUP($A339,'SegEnds_NonXtal_Prot#'!A:AL,10,FALSE)+7,1)</f>
        <v>F</v>
      </c>
      <c r="Y339" s="50" t="str">
        <f>MID(VLOOKUP($A339,Seqs!$A:$B,2,FALSE),VLOOKUP($A339,'SegEnds_NonXtal_Prot#'!A:AL,10,FALSE)+8,1)</f>
        <v>L</v>
      </c>
      <c r="Z339" s="50" t="str">
        <f>MID(VLOOKUP($A339,Seqs!$A:$B,2,FALSE),VLOOKUP($A339,'SegEnds_NonXtal_Prot#'!A:AL,10,FALSE)+9,1)</f>
        <v>V</v>
      </c>
      <c r="AA339" s="50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50" t="str">
        <f>MID(VLOOKUP($A339,Seqs!$A:$B,2,FALSE),VLOOKUP($A339,'SegEnds_NonXtal_Prot#'!$A:$AL,22,FALSE)+7,1)</f>
        <v>V</v>
      </c>
      <c r="AD339" s="50" t="str">
        <f>MID(VLOOKUP($A339,Seqs!$A:$B,2,FALSE),VLOOKUP($A339,'SegEnds_NonXtal_Prot#'!$A:$AL,22,FALSE)+8,1)</f>
        <v>G</v>
      </c>
      <c r="AE339" s="50" t="str">
        <f>MID(VLOOKUP($A339,Seqs!$A:$B,2,FALSE),VLOOKUP($A339,'SegEnds_NonXtal_Prot#'!$A:$AL,22,FALSE)+9,1)</f>
        <v>F</v>
      </c>
      <c r="AF339" s="50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50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8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50" t="str">
        <f>MID(VLOOKUP($A340,Seqs!$A:$B,2,FALSE),VLOOKUP($A340,'SegEnds_NonXtal_Prot#'!A:AL,10,FALSE)+6,1)</f>
        <v>L</v>
      </c>
      <c r="X340" s="50" t="str">
        <f>MID(VLOOKUP($A340,Seqs!$A:$B,2,FALSE),VLOOKUP($A340,'SegEnds_NonXtal_Prot#'!A:AL,10,FALSE)+7,1)</f>
        <v>I</v>
      </c>
      <c r="Y340" s="50" t="str">
        <f>MID(VLOOKUP($A340,Seqs!$A:$B,2,FALSE),VLOOKUP($A340,'SegEnds_NonXtal_Prot#'!A:AL,10,FALSE)+8,1)</f>
        <v>L</v>
      </c>
      <c r="Z340" s="50" t="str">
        <f>MID(VLOOKUP($A340,Seqs!$A:$B,2,FALSE),VLOOKUP($A340,'SegEnds_NonXtal_Prot#'!A:AL,10,FALSE)+9,1)</f>
        <v>I</v>
      </c>
      <c r="AA340" s="50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50" t="str">
        <f>MID(VLOOKUP($A340,Seqs!$A:$B,2,FALSE),VLOOKUP($A340,'SegEnds_NonXtal_Prot#'!$A:$AL,22,FALSE)+7,1)</f>
        <v>V</v>
      </c>
      <c r="AD340" s="50" t="str">
        <f>MID(VLOOKUP($A340,Seqs!$A:$B,2,FALSE),VLOOKUP($A340,'SegEnds_NonXtal_Prot#'!$A:$AL,22,FALSE)+8,1)</f>
        <v>A</v>
      </c>
      <c r="AE340" s="50" t="str">
        <f>MID(VLOOKUP($A340,Seqs!$A:$B,2,FALSE),VLOOKUP($A340,'SegEnds_NonXtal_Prot#'!$A:$AL,22,FALSE)+9,1)</f>
        <v>I</v>
      </c>
      <c r="AF340" s="50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50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8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50" t="str">
        <f>MID(VLOOKUP($A341,Seqs!$A:$B,2,FALSE),VLOOKUP($A341,'SegEnds_NonXtal_Prot#'!A:AL,10,FALSE)+6,1)</f>
        <v>V</v>
      </c>
      <c r="X341" s="50" t="str">
        <f>MID(VLOOKUP($A341,Seqs!$A:$B,2,FALSE),VLOOKUP($A341,'SegEnds_NonXtal_Prot#'!A:AL,10,FALSE)+7,1)</f>
        <v>F</v>
      </c>
      <c r="Y341" s="50" t="str">
        <f>MID(VLOOKUP($A341,Seqs!$A:$B,2,FALSE),VLOOKUP($A341,'SegEnds_NonXtal_Prot#'!A:AL,10,FALSE)+8,1)</f>
        <v>V</v>
      </c>
      <c r="Z341" s="50" t="str">
        <f>MID(VLOOKUP($A341,Seqs!$A:$B,2,FALSE),VLOOKUP($A341,'SegEnds_NonXtal_Prot#'!A:AL,10,FALSE)+9,1)</f>
        <v>I</v>
      </c>
      <c r="AA341" s="50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50" t="str">
        <f>MID(VLOOKUP($A341,Seqs!$A:$B,2,FALSE),VLOOKUP($A341,'SegEnds_NonXtal_Prot#'!$A:$AL,22,FALSE)+7,1)</f>
        <v>T</v>
      </c>
      <c r="AD341" s="50" t="str">
        <f>MID(VLOOKUP($A341,Seqs!$A:$B,2,FALSE),VLOOKUP($A341,'SegEnds_NonXtal_Prot#'!$A:$AL,22,FALSE)+8,1)</f>
        <v>G</v>
      </c>
      <c r="AE341" s="50" t="str">
        <f>MID(VLOOKUP($A341,Seqs!$A:$B,2,FALSE),VLOOKUP($A341,'SegEnds_NonXtal_Prot#'!$A:$AL,22,FALSE)+9,1)</f>
        <v>L</v>
      </c>
      <c r="AF341" s="50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50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8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50" t="str">
        <f>MID(VLOOKUP($A342,Seqs!$A:$B,2,FALSE),VLOOKUP($A342,'SegEnds_NonXtal_Prot#'!A:AL,10,FALSE)+6,1)</f>
        <v>V</v>
      </c>
      <c r="X342" s="50" t="str">
        <f>MID(VLOOKUP($A342,Seqs!$A:$B,2,FALSE),VLOOKUP($A342,'SegEnds_NonXtal_Prot#'!A:AL,10,FALSE)+7,1)</f>
        <v>F</v>
      </c>
      <c r="Y342" s="50" t="str">
        <f>MID(VLOOKUP($A342,Seqs!$A:$B,2,FALSE),VLOOKUP($A342,'SegEnds_NonXtal_Prot#'!A:AL,10,FALSE)+8,1)</f>
        <v>L</v>
      </c>
      <c r="Z342" s="50" t="str">
        <f>MID(VLOOKUP($A342,Seqs!$A:$B,2,FALSE),VLOOKUP($A342,'SegEnds_NonXtal_Prot#'!A:AL,10,FALSE)+9,1)</f>
        <v>L</v>
      </c>
      <c r="AA342" s="50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50" t="str">
        <f>MID(VLOOKUP($A342,Seqs!$A:$B,2,FALSE),VLOOKUP($A342,'SegEnds_NonXtal_Prot#'!$A:$AL,22,FALSE)+7,1)</f>
        <v>T</v>
      </c>
      <c r="AD342" s="50" t="str">
        <f>MID(VLOOKUP($A342,Seqs!$A:$B,2,FALSE),VLOOKUP($A342,'SegEnds_NonXtal_Prot#'!$A:$AL,22,FALSE)+8,1)</f>
        <v>G</v>
      </c>
      <c r="AE342" s="50" t="str">
        <f>MID(VLOOKUP($A342,Seqs!$A:$B,2,FALSE),VLOOKUP($A342,'SegEnds_NonXtal_Prot#'!$A:$AL,22,FALSE)+9,1)</f>
        <v>L</v>
      </c>
      <c r="AF342" s="50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50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8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50" t="str">
        <f>MID(VLOOKUP($A343,Seqs!$A:$B,2,FALSE),VLOOKUP($A343,'SegEnds_NonXtal_Prot#'!A:AL,10,FALSE)+6,1)</f>
        <v>L</v>
      </c>
      <c r="X343" s="50" t="str">
        <f>MID(VLOOKUP($A343,Seqs!$A:$B,2,FALSE),VLOOKUP($A343,'SegEnds_NonXtal_Prot#'!A:AL,10,FALSE)+7,1)</f>
        <v>F</v>
      </c>
      <c r="Y343" s="50" t="str">
        <f>MID(VLOOKUP($A343,Seqs!$A:$B,2,FALSE),VLOOKUP($A343,'SegEnds_NonXtal_Prot#'!A:AL,10,FALSE)+8,1)</f>
        <v>L</v>
      </c>
      <c r="Z343" s="50" t="str">
        <f>MID(VLOOKUP($A343,Seqs!$A:$B,2,FALSE),VLOOKUP($A343,'SegEnds_NonXtal_Prot#'!A:AL,10,FALSE)+9,1)</f>
        <v>L</v>
      </c>
      <c r="AA343" s="50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50" t="str">
        <f>MID(VLOOKUP($A343,Seqs!$A:$B,2,FALSE),VLOOKUP($A343,'SegEnds_NonXtal_Prot#'!$A:$AL,22,FALSE)+7,1)</f>
        <v>V</v>
      </c>
      <c r="AD343" s="50" t="str">
        <f>MID(VLOOKUP($A343,Seqs!$A:$B,2,FALSE),VLOOKUP($A343,'SegEnds_NonXtal_Prot#'!$A:$AL,22,FALSE)+8,1)</f>
        <v>S</v>
      </c>
      <c r="AE343" s="50" t="str">
        <f>MID(VLOOKUP($A343,Seqs!$A:$B,2,FALSE),VLOOKUP($A343,'SegEnds_NonXtal_Prot#'!$A:$AL,22,FALSE)+9,1)</f>
        <v>V</v>
      </c>
      <c r="AF343" s="50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50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8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50" t="str">
        <f>MID(VLOOKUP($A344,Seqs!$A:$B,2,FALSE),VLOOKUP($A344,'SegEnds_NonXtal_Prot#'!A:AL,10,FALSE)+6,1)</f>
        <v>L</v>
      </c>
      <c r="X344" s="50" t="str">
        <f>MID(VLOOKUP($A344,Seqs!$A:$B,2,FALSE),VLOOKUP($A344,'SegEnds_NonXtal_Prot#'!A:AL,10,FALSE)+7,1)</f>
        <v>F</v>
      </c>
      <c r="Y344" s="50" t="str">
        <f>MID(VLOOKUP($A344,Seqs!$A:$B,2,FALSE),VLOOKUP($A344,'SegEnds_NonXtal_Prot#'!A:AL,10,FALSE)+8,1)</f>
        <v>L</v>
      </c>
      <c r="Z344" s="50" t="str">
        <f>MID(VLOOKUP($A344,Seqs!$A:$B,2,FALSE),VLOOKUP($A344,'SegEnds_NonXtal_Prot#'!A:AL,10,FALSE)+9,1)</f>
        <v>A</v>
      </c>
      <c r="AA344" s="50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50" t="str">
        <f>MID(VLOOKUP($A344,Seqs!$A:$B,2,FALSE),VLOOKUP($A344,'SegEnds_NonXtal_Prot#'!$A:$AL,22,FALSE)+7,1)</f>
        <v>V</v>
      </c>
      <c r="AD344" s="50" t="str">
        <f>MID(VLOOKUP($A344,Seqs!$A:$B,2,FALSE),VLOOKUP($A344,'SegEnds_NonXtal_Prot#'!$A:$AL,22,FALSE)+8,1)</f>
        <v>I</v>
      </c>
      <c r="AE344" s="50" t="str">
        <f>MID(VLOOKUP($A344,Seqs!$A:$B,2,FALSE),VLOOKUP($A344,'SegEnds_NonXtal_Prot#'!$A:$AL,22,FALSE)+9,1)</f>
        <v>L</v>
      </c>
      <c r="AF344" s="50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50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8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50" t="str">
        <f>MID(VLOOKUP($A345,Seqs!$A:$B,2,FALSE),VLOOKUP($A345,'SegEnds_NonXtal_Prot#'!A:AL,10,FALSE)+6,1)</f>
        <v>I</v>
      </c>
      <c r="X345" s="50" t="str">
        <f>MID(VLOOKUP($A345,Seqs!$A:$B,2,FALSE),VLOOKUP($A345,'SegEnds_NonXtal_Prot#'!A:AL,10,FALSE)+7,1)</f>
        <v>F</v>
      </c>
      <c r="Y345" s="50" t="str">
        <f>MID(VLOOKUP($A345,Seqs!$A:$B,2,FALSE),VLOOKUP($A345,'SegEnds_NonXtal_Prot#'!A:AL,10,FALSE)+8,1)</f>
        <v>L</v>
      </c>
      <c r="Z345" s="50" t="str">
        <f>MID(VLOOKUP($A345,Seqs!$A:$B,2,FALSE),VLOOKUP($A345,'SegEnds_NonXtal_Prot#'!A:AL,10,FALSE)+9,1)</f>
        <v>A</v>
      </c>
      <c r="AA345" s="50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50" t="str">
        <f>MID(VLOOKUP($A345,Seqs!$A:$B,2,FALSE),VLOOKUP($A345,'SegEnds_NonXtal_Prot#'!$A:$AL,22,FALSE)+7,1)</f>
        <v>V</v>
      </c>
      <c r="AD345" s="50" t="str">
        <f>MID(VLOOKUP($A345,Seqs!$A:$B,2,FALSE),VLOOKUP($A345,'SegEnds_NonXtal_Prot#'!$A:$AL,22,FALSE)+8,1)</f>
        <v>G</v>
      </c>
      <c r="AE345" s="50" t="str">
        <f>MID(VLOOKUP($A345,Seqs!$A:$B,2,FALSE),VLOOKUP($A345,'SegEnds_NonXtal_Prot#'!$A:$AL,22,FALSE)+9,1)</f>
        <v>V</v>
      </c>
      <c r="AF345" s="50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50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8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50" t="str">
        <f>MID(VLOOKUP($A346,Seqs!$A:$B,2,FALSE),VLOOKUP($A346,'SegEnds_NonXtal_Prot#'!A:AL,10,FALSE)+6,1)</f>
        <v>L</v>
      </c>
      <c r="X346" s="50" t="str">
        <f>MID(VLOOKUP($A346,Seqs!$A:$B,2,FALSE),VLOOKUP($A346,'SegEnds_NonXtal_Prot#'!A:AL,10,FALSE)+7,1)</f>
        <v>F</v>
      </c>
      <c r="Y346" s="50" t="str">
        <f>MID(VLOOKUP($A346,Seqs!$A:$B,2,FALSE),VLOOKUP($A346,'SegEnds_NonXtal_Prot#'!A:AL,10,FALSE)+8,1)</f>
        <v>L</v>
      </c>
      <c r="Z346" s="50" t="str">
        <f>MID(VLOOKUP($A346,Seqs!$A:$B,2,FALSE),VLOOKUP($A346,'SegEnds_NonXtal_Prot#'!A:AL,10,FALSE)+9,1)</f>
        <v>L</v>
      </c>
      <c r="AA346" s="50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50" t="str">
        <f>MID(VLOOKUP($A346,Seqs!$A:$B,2,FALSE),VLOOKUP($A346,'SegEnds_NonXtal_Prot#'!$A:$AL,22,FALSE)+7,1)</f>
        <v>L</v>
      </c>
      <c r="AD346" s="50" t="str">
        <f>MID(VLOOKUP($A346,Seqs!$A:$B,2,FALSE),VLOOKUP($A346,'SegEnds_NonXtal_Prot#'!$A:$AL,22,FALSE)+8,1)</f>
        <v>G</v>
      </c>
      <c r="AE346" s="50" t="str">
        <f>MID(VLOOKUP($A346,Seqs!$A:$B,2,FALSE),VLOOKUP($A346,'SegEnds_NonXtal_Prot#'!$A:$AL,22,FALSE)+9,1)</f>
        <v>L</v>
      </c>
      <c r="AF346" s="50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50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50" t="str">
        <f>MID(VLOOKUP($A347,Seqs!$A:$B,2,FALSE),VLOOKUP($A347,'SegEnds_NonXtal_Prot#'!A:AL,10,FALSE)+6,1)</f>
        <v>A</v>
      </c>
      <c r="X347" s="50" t="str">
        <f>MID(VLOOKUP($A347,Seqs!$A:$B,2,FALSE),VLOOKUP($A347,'SegEnds_NonXtal_Prot#'!A:AL,10,FALSE)+7,1)</f>
        <v>V</v>
      </c>
      <c r="Y347" s="50" t="str">
        <f>MID(VLOOKUP($A347,Seqs!$A:$B,2,FALSE),VLOOKUP($A347,'SegEnds_NonXtal_Prot#'!A:AL,10,FALSE)+8,1)</f>
        <v>F</v>
      </c>
      <c r="Z347" s="50" t="str">
        <f>MID(VLOOKUP($A347,Seqs!$A:$B,2,FALSE),VLOOKUP($A347,'SegEnds_NonXtal_Prot#'!A:AL,10,FALSE)+9,1)</f>
        <v>P</v>
      </c>
      <c r="AA347" s="50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50" t="str">
        <f>MID(VLOOKUP($A347,Seqs!$A:$B,2,FALSE),VLOOKUP($A347,'SegEnds_NonXtal_Prot#'!$A:$AL,22,FALSE)+7,1)</f>
        <v>L</v>
      </c>
      <c r="AD347" s="50" t="str">
        <f>MID(VLOOKUP($A347,Seqs!$A:$B,2,FALSE),VLOOKUP($A347,'SegEnds_NonXtal_Prot#'!$A:$AL,22,FALSE)+8,1)</f>
        <v>A</v>
      </c>
      <c r="AE347" s="50" t="str">
        <f>MID(VLOOKUP($A347,Seqs!$A:$B,2,FALSE),VLOOKUP($A347,'SegEnds_NonXtal_Prot#'!$A:$AL,22,FALSE)+9,1)</f>
        <v>I</v>
      </c>
      <c r="AF347" s="50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50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50" t="str">
        <f>MID(VLOOKUP($A348,Seqs!$A:$B,2,FALSE),VLOOKUP($A348,'SegEnds_NonXtal_Prot#'!A:AL,10,FALSE)+6,1)</f>
        <v>S</v>
      </c>
      <c r="X348" s="50" t="str">
        <f>MID(VLOOKUP($A348,Seqs!$A:$B,2,FALSE),VLOOKUP($A348,'SegEnds_NonXtal_Prot#'!A:AL,10,FALSE)+7,1)</f>
        <v>A</v>
      </c>
      <c r="Y348" s="50" t="str">
        <f>MID(VLOOKUP($A348,Seqs!$A:$B,2,FALSE),VLOOKUP($A348,'SegEnds_NonXtal_Prot#'!A:AL,10,FALSE)+8,1)</f>
        <v>Y</v>
      </c>
      <c r="Z348" s="50" t="str">
        <f>MID(VLOOKUP($A348,Seqs!$A:$B,2,FALSE),VLOOKUP($A348,'SegEnds_NonXtal_Prot#'!A:AL,10,FALSE)+9,1)</f>
        <v>L</v>
      </c>
      <c r="AA348" s="50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50" t="str">
        <f>MID(VLOOKUP($A348,Seqs!$A:$B,2,FALSE),VLOOKUP($A348,'SegEnds_NonXtal_Prot#'!$A:$AL,22,FALSE)+7,1)</f>
        <v>L</v>
      </c>
      <c r="AD348" s="50" t="str">
        <f>MID(VLOOKUP($A348,Seqs!$A:$B,2,FALSE),VLOOKUP($A348,'SegEnds_NonXtal_Prot#'!$A:$AL,22,FALSE)+8,1)</f>
        <v>M</v>
      </c>
      <c r="AE348" s="50" t="str">
        <f>MID(VLOOKUP($A348,Seqs!$A:$B,2,FALSE),VLOOKUP($A348,'SegEnds_NonXtal_Prot#'!$A:$AL,22,FALSE)+9,1)</f>
        <v>T</v>
      </c>
      <c r="AF348" s="50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50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50" t="str">
        <f>MID(VLOOKUP($A349,Seqs!$A:$B,2,FALSE),VLOOKUP($A349,'SegEnds_NonXtal_Prot#'!A:AL,10,FALSE)+6,1)</f>
        <v>P</v>
      </c>
      <c r="X349" s="50" t="str">
        <f>MID(VLOOKUP($A349,Seqs!$A:$B,2,FALSE),VLOOKUP($A349,'SegEnds_NonXtal_Prot#'!A:AL,10,FALSE)+7,1)</f>
        <v>V</v>
      </c>
      <c r="Y349" s="50" t="str">
        <f>MID(VLOOKUP($A349,Seqs!$A:$B,2,FALSE),VLOOKUP($A349,'SegEnds_NonXtal_Prot#'!A:AL,10,FALSE)+8,1)</f>
        <v>V</v>
      </c>
      <c r="Z349" s="50" t="str">
        <f>MID(VLOOKUP($A349,Seqs!$A:$B,2,FALSE),VLOOKUP($A349,'SegEnds_NonXtal_Prot#'!A:AL,10,FALSE)+9,1)</f>
        <v>I</v>
      </c>
      <c r="AA349" s="50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50" t="str">
        <f>MID(VLOOKUP($A349,Seqs!$A:$B,2,FALSE),VLOOKUP($A349,'SegEnds_NonXtal_Prot#'!$A:$AL,22,FALSE)+7,1)</f>
        <v>A</v>
      </c>
      <c r="AD349" s="50" t="str">
        <f>MID(VLOOKUP($A349,Seqs!$A:$B,2,FALSE),VLOOKUP($A349,'SegEnds_NonXtal_Prot#'!$A:$AL,22,FALSE)+8,1)</f>
        <v>V</v>
      </c>
      <c r="AE349" s="50" t="str">
        <f>MID(VLOOKUP($A349,Seqs!$A:$B,2,FALSE),VLOOKUP($A349,'SegEnds_NonXtal_Prot#'!$A:$AL,22,FALSE)+9,1)</f>
        <v>I</v>
      </c>
      <c r="AF349" s="50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50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50" t="str">
        <f>MID(VLOOKUP($A350,Seqs!$A:$B,2,FALSE),VLOOKUP($A350,'SegEnds_NonXtal_Prot#'!A:AL,10,FALSE)+6,1)</f>
        <v>P</v>
      </c>
      <c r="X350" s="50" t="str">
        <f>MID(VLOOKUP($A350,Seqs!$A:$B,2,FALSE),VLOOKUP($A350,'SegEnds_NonXtal_Prot#'!A:AL,10,FALSE)+7,1)</f>
        <v>V</v>
      </c>
      <c r="Y350" s="50" t="str">
        <f>MID(VLOOKUP($A350,Seqs!$A:$B,2,FALSE),VLOOKUP($A350,'SegEnds_NonXtal_Prot#'!A:AL,10,FALSE)+8,1)</f>
        <v>F</v>
      </c>
      <c r="Z350" s="50" t="str">
        <f>MID(VLOOKUP($A350,Seqs!$A:$B,2,FALSE),VLOOKUP($A350,'SegEnds_NonXtal_Prot#'!A:AL,10,FALSE)+9,1)</f>
        <v>I</v>
      </c>
      <c r="AA350" s="50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50" t="str">
        <f>MID(VLOOKUP($A350,Seqs!$A:$B,2,FALSE),VLOOKUP($A350,'SegEnds_NonXtal_Prot#'!$A:$AL,22,FALSE)+7,1)</f>
        <v>G</v>
      </c>
      <c r="AD350" s="50" t="str">
        <f>MID(VLOOKUP($A350,Seqs!$A:$B,2,FALSE),VLOOKUP($A350,'SegEnds_NonXtal_Prot#'!$A:$AL,22,FALSE)+8,1)</f>
        <v>L</v>
      </c>
      <c r="AE350" s="50" t="str">
        <f>MID(VLOOKUP($A350,Seqs!$A:$B,2,FALSE),VLOOKUP($A350,'SegEnds_NonXtal_Prot#'!$A:$AL,22,FALSE)+9,1)</f>
        <v>L</v>
      </c>
      <c r="AF350" s="50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50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50" t="str">
        <f>MID(VLOOKUP($A351,Seqs!$A:$B,2,FALSE),VLOOKUP($A351,'SegEnds_NonXtal_Prot#'!A:AL,10,FALSE)+6,1)</f>
        <v>L</v>
      </c>
      <c r="X351" s="50" t="str">
        <f>MID(VLOOKUP($A351,Seqs!$A:$B,2,FALSE),VLOOKUP($A351,'SegEnds_NonXtal_Prot#'!A:AL,10,FALSE)+7,1)</f>
        <v>T</v>
      </c>
      <c r="Y351" s="50" t="str">
        <f>MID(VLOOKUP($A351,Seqs!$A:$B,2,FALSE),VLOOKUP($A351,'SegEnds_NonXtal_Prot#'!A:AL,10,FALSE)+8,1)</f>
        <v>F</v>
      </c>
      <c r="Z351" s="50" t="str">
        <f>MID(VLOOKUP($A351,Seqs!$A:$B,2,FALSE),VLOOKUP($A351,'SegEnds_NonXtal_Prot#'!A:AL,10,FALSE)+9,1)</f>
        <v>A</v>
      </c>
      <c r="AA351" s="50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50" t="str">
        <f>MID(VLOOKUP($A351,Seqs!$A:$B,2,FALSE),VLOOKUP($A351,'SegEnds_NonXtal_Prot#'!$A:$AL,22,FALSE)+7,1)</f>
        <v>A</v>
      </c>
      <c r="AD351" s="50" t="str">
        <f>MID(VLOOKUP($A351,Seqs!$A:$B,2,FALSE),VLOOKUP($A351,'SegEnds_NonXtal_Prot#'!$A:$AL,22,FALSE)+8,1)</f>
        <v>V</v>
      </c>
      <c r="AE351" s="50" t="str">
        <f>MID(VLOOKUP($A351,Seqs!$A:$B,2,FALSE),VLOOKUP($A351,'SegEnds_NonXtal_Prot#'!$A:$AL,22,FALSE)+9,1)</f>
        <v>E</v>
      </c>
      <c r="AF351" s="50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50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50" t="str">
        <f>MID(VLOOKUP($A352,Seqs!$A:$B,2,FALSE),VLOOKUP($A352,'SegEnds_NonXtal_Prot#'!A:AL,10,FALSE)+6,1)</f>
        <v>L</v>
      </c>
      <c r="X352" s="50" t="str">
        <f>MID(VLOOKUP($A352,Seqs!$A:$B,2,FALSE),VLOOKUP($A352,'SegEnds_NonXtal_Prot#'!A:AL,10,FALSE)+7,1)</f>
        <v>V</v>
      </c>
      <c r="Y352" s="50" t="str">
        <f>MID(VLOOKUP($A352,Seqs!$A:$B,2,FALSE),VLOOKUP($A352,'SegEnds_NonXtal_Prot#'!A:AL,10,FALSE)+8,1)</f>
        <v>F</v>
      </c>
      <c r="Z352" s="50" t="str">
        <f>MID(VLOOKUP($A352,Seqs!$A:$B,2,FALSE),VLOOKUP($A352,'SegEnds_NonXtal_Prot#'!A:AL,10,FALSE)+9,1)</f>
        <v>A</v>
      </c>
      <c r="AA352" s="50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50" t="str">
        <f>MID(VLOOKUP($A352,Seqs!$A:$B,2,FALSE),VLOOKUP($A352,'SegEnds_NonXtal_Prot#'!$A:$AL,22,FALSE)+7,1)</f>
        <v>N</v>
      </c>
      <c r="AD352" s="50" t="str">
        <f>MID(VLOOKUP($A352,Seqs!$A:$B,2,FALSE),VLOOKUP($A352,'SegEnds_NonXtal_Prot#'!$A:$AL,22,FALSE)+8,1)</f>
        <v>T</v>
      </c>
      <c r="AE352" s="50" t="str">
        <f>MID(VLOOKUP($A352,Seqs!$A:$B,2,FALSE),VLOOKUP($A352,'SegEnds_NonXtal_Prot#'!$A:$AL,22,FALSE)+9,1)</f>
        <v>E</v>
      </c>
      <c r="AF352" s="50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50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50" t="str">
        <f>MID(VLOOKUP($A353,Seqs!$A:$B,2,FALSE),VLOOKUP($A353,'SegEnds_NonXtal_Prot#'!A:AL,10,FALSE)+6,1)</f>
        <v>L</v>
      </c>
      <c r="X353" s="50" t="str">
        <f>MID(VLOOKUP($A353,Seqs!$A:$B,2,FALSE),VLOOKUP($A353,'SegEnds_NonXtal_Prot#'!A:AL,10,FALSE)+7,1)</f>
        <v>A</v>
      </c>
      <c r="Y353" s="50" t="str">
        <f>MID(VLOOKUP($A353,Seqs!$A:$B,2,FALSE),VLOOKUP($A353,'SegEnds_NonXtal_Prot#'!A:AL,10,FALSE)+8,1)</f>
        <v>F</v>
      </c>
      <c r="Z353" s="50" t="str">
        <f>MID(VLOOKUP($A353,Seqs!$A:$B,2,FALSE),VLOOKUP($A353,'SegEnds_NonXtal_Prot#'!A:AL,10,FALSE)+9,1)</f>
        <v>A</v>
      </c>
      <c r="AA353" s="50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50" t="str">
        <f>MID(VLOOKUP($A353,Seqs!$A:$B,2,FALSE),VLOOKUP($A353,'SegEnds_NonXtal_Prot#'!$A:$AL,22,FALSE)+7,1)</f>
        <v>A</v>
      </c>
      <c r="AD353" s="50" t="str">
        <f>MID(VLOOKUP($A353,Seqs!$A:$B,2,FALSE),VLOOKUP($A353,'SegEnds_NonXtal_Prot#'!$A:$AL,22,FALSE)+8,1)</f>
        <v>T</v>
      </c>
      <c r="AE353" s="50" t="str">
        <f>MID(VLOOKUP($A353,Seqs!$A:$B,2,FALSE),VLOOKUP($A353,'SegEnds_NonXtal_Prot#'!$A:$AL,22,FALSE)+9,1)</f>
        <v>E</v>
      </c>
      <c r="AF353" s="50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50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50" t="str">
        <f>MID(VLOOKUP($A354,Seqs!$A:$B,2,FALSE),VLOOKUP($A354,'SegEnds_NonXtal_Prot#'!A:AL,10,FALSE)+6,1)</f>
        <v>S</v>
      </c>
      <c r="X354" s="50" t="str">
        <f>MID(VLOOKUP($A354,Seqs!$A:$B,2,FALSE),VLOOKUP($A354,'SegEnds_NonXtal_Prot#'!A:AL,10,FALSE)+7,1)</f>
        <v>T</v>
      </c>
      <c r="Y354" s="50" t="str">
        <f>MID(VLOOKUP($A354,Seqs!$A:$B,2,FALSE),VLOOKUP($A354,'SegEnds_NonXtal_Prot#'!A:AL,10,FALSE)+8,1)</f>
        <v>S</v>
      </c>
      <c r="Z354" s="50" t="str">
        <f>MID(VLOOKUP($A354,Seqs!$A:$B,2,FALSE),VLOOKUP($A354,'SegEnds_NonXtal_Prot#'!A:AL,10,FALSE)+9,1)</f>
        <v>F</v>
      </c>
      <c r="AA354" s="50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50" t="str">
        <f>MID(VLOOKUP($A354,Seqs!$A:$B,2,FALSE),VLOOKUP($A354,'SegEnds_NonXtal_Prot#'!$A:$AL,22,FALSE)+7,1)</f>
        <v>C</v>
      </c>
      <c r="AD354" s="50" t="str">
        <f>MID(VLOOKUP($A354,Seqs!$A:$B,2,FALSE),VLOOKUP($A354,'SegEnds_NonXtal_Prot#'!$A:$AL,22,FALSE)+8,1)</f>
        <v>T</v>
      </c>
      <c r="AE354" s="50" t="str">
        <f>MID(VLOOKUP($A354,Seqs!$A:$B,2,FALSE),VLOOKUP($A354,'SegEnds_NonXtal_Prot#'!$A:$AL,22,FALSE)+9,1)</f>
        <v>L</v>
      </c>
      <c r="AF354" s="50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50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50" t="str">
        <f>MID(VLOOKUP($A355,Seqs!$A:$B,2,FALSE),VLOOKUP($A355,'SegEnds_NonXtal_Prot#'!A:AL,10,FALSE)+6,1)</f>
        <v>C</v>
      </c>
      <c r="X355" s="50" t="str">
        <f>MID(VLOOKUP($A355,Seqs!$A:$B,2,FALSE),VLOOKUP($A355,'SegEnds_NonXtal_Prot#'!A:AL,10,FALSE)+7,1)</f>
        <v>P</v>
      </c>
      <c r="Y355" s="50" t="str">
        <f>MID(VLOOKUP($A355,Seqs!$A:$B,2,FALSE),VLOOKUP($A355,'SegEnds_NonXtal_Prot#'!A:AL,10,FALSE)+8,1)</f>
        <v>F</v>
      </c>
      <c r="Z355" s="50" t="str">
        <f>MID(VLOOKUP($A355,Seqs!$A:$B,2,FALSE),VLOOKUP($A355,'SegEnds_NonXtal_Prot#'!A:AL,10,FALSE)+9,1)</f>
        <v>T</v>
      </c>
      <c r="AA355" s="50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50" t="str">
        <f>MID(VLOOKUP($A355,Seqs!$A:$B,2,FALSE),VLOOKUP($A355,'SegEnds_NonXtal_Prot#'!$A:$AL,22,FALSE)+7,1)</f>
        <v>V</v>
      </c>
      <c r="AD355" s="50" t="str">
        <f>MID(VLOOKUP($A355,Seqs!$A:$B,2,FALSE),VLOOKUP($A355,'SegEnds_NonXtal_Prot#'!$A:$AL,22,FALSE)+8,1)</f>
        <v>V</v>
      </c>
      <c r="AE355" s="50" t="str">
        <f>MID(VLOOKUP($A355,Seqs!$A:$B,2,FALSE),VLOOKUP($A355,'SegEnds_NonXtal_Prot#'!$A:$AL,22,FALSE)+9,1)</f>
        <v>T</v>
      </c>
      <c r="AF355" s="50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50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50" t="str">
        <f>MID(VLOOKUP($A356,Seqs!$A:$B,2,FALSE),VLOOKUP($A356,'SegEnds_NonXtal_Prot#'!A:AL,10,FALSE)+6,1)</f>
        <v>L</v>
      </c>
      <c r="X356" s="50" t="str">
        <f>MID(VLOOKUP($A356,Seqs!$A:$B,2,FALSE),VLOOKUP($A356,'SegEnds_NonXtal_Prot#'!A:AL,10,FALSE)+7,1)</f>
        <v>T</v>
      </c>
      <c r="Y356" s="50" t="str">
        <f>MID(VLOOKUP($A356,Seqs!$A:$B,2,FALSE),VLOOKUP($A356,'SegEnds_NonXtal_Prot#'!A:AL,10,FALSE)+8,1)</f>
        <v>F</v>
      </c>
      <c r="Z356" s="50" t="str">
        <f>MID(VLOOKUP($A356,Seqs!$A:$B,2,FALSE),VLOOKUP($A356,'SegEnds_NonXtal_Prot#'!A:AL,10,FALSE)+9,1)</f>
        <v>A</v>
      </c>
      <c r="AA356" s="50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50" t="str">
        <f>MID(VLOOKUP($A356,Seqs!$A:$B,2,FALSE),VLOOKUP($A356,'SegEnds_NonXtal_Prot#'!$A:$AL,22,FALSE)+7,1)</f>
        <v>A</v>
      </c>
      <c r="AD356" s="50" t="str">
        <f>MID(VLOOKUP($A356,Seqs!$A:$B,2,FALSE),VLOOKUP($A356,'SegEnds_NonXtal_Prot#'!$A:$AL,22,FALSE)+8,1)</f>
        <v>I</v>
      </c>
      <c r="AE356" s="50" t="str">
        <f>MID(VLOOKUP($A356,Seqs!$A:$B,2,FALSE),VLOOKUP($A356,'SegEnds_NonXtal_Prot#'!$A:$AL,22,FALSE)+9,1)</f>
        <v>E</v>
      </c>
      <c r="AF356" s="50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50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50" t="str">
        <f>MID(VLOOKUP($A357,Seqs!$A:$B,2,FALSE),VLOOKUP($A357,'SegEnds_NonXtal_Prot#'!A:AL,10,FALSE)+6,1)</f>
        <v>S</v>
      </c>
      <c r="X357" s="50" t="str">
        <f>MID(VLOOKUP($A357,Seqs!$A:$B,2,FALSE),VLOOKUP($A357,'SegEnds_NonXtal_Prot#'!A:AL,10,FALSE)+7,1)</f>
        <v>L</v>
      </c>
      <c r="Y357" s="50" t="str">
        <f>MID(VLOOKUP($A357,Seqs!$A:$B,2,FALSE),VLOOKUP($A357,'SegEnds_NonXtal_Prot#'!A:AL,10,FALSE)+8,1)</f>
        <v>Y</v>
      </c>
      <c r="Z357" s="50" t="str">
        <f>MID(VLOOKUP($A357,Seqs!$A:$B,2,FALSE),VLOOKUP($A357,'SegEnds_NonXtal_Prot#'!A:AL,10,FALSE)+9,1)</f>
        <v>G</v>
      </c>
      <c r="AA357" s="50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50" t="str">
        <f>MID(VLOOKUP($A357,Seqs!$A:$B,2,FALSE),VLOOKUP($A357,'SegEnds_NonXtal_Prot#'!$A:$AL,22,FALSE)+7,1)</f>
        <v>C</v>
      </c>
      <c r="AD357" s="50" t="str">
        <f>MID(VLOOKUP($A357,Seqs!$A:$B,2,FALSE),VLOOKUP($A357,'SegEnds_NonXtal_Prot#'!$A:$AL,22,FALSE)+8,1)</f>
        <v>L</v>
      </c>
      <c r="AE357" s="50" t="str">
        <f>MID(VLOOKUP($A357,Seqs!$A:$B,2,FALSE),VLOOKUP($A357,'SegEnds_NonXtal_Prot#'!$A:$AL,22,FALSE)+9,1)</f>
        <v>T</v>
      </c>
      <c r="AF357" s="50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50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50" t="str">
        <f>MID(VLOOKUP($A358,Seqs!$A:$B,2,FALSE),VLOOKUP($A358,'SegEnds_NonXtal_Prot#'!A:AL,10,FALSE)+6,1)</f>
        <v>V</v>
      </c>
      <c r="X358" s="50" t="str">
        <f>MID(VLOOKUP($A358,Seqs!$A:$B,2,FALSE),VLOOKUP($A358,'SegEnds_NonXtal_Prot#'!A:AL,10,FALSE)+7,1)</f>
        <v>V</v>
      </c>
      <c r="Y358" s="50" t="str">
        <f>MID(VLOOKUP($A358,Seqs!$A:$B,2,FALSE),VLOOKUP($A358,'SegEnds_NonXtal_Prot#'!A:AL,10,FALSE)+8,1)</f>
        <v>P</v>
      </c>
      <c r="Z358" s="50" t="str">
        <f>MID(VLOOKUP($A358,Seqs!$A:$B,2,FALSE),VLOOKUP($A358,'SegEnds_NonXtal_Prot#'!A:AL,10,FALSE)+9,1)</f>
        <v>V</v>
      </c>
      <c r="AA358" s="50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50" t="str">
        <f>MID(VLOOKUP($A358,Seqs!$A:$B,2,FALSE),VLOOKUP($A358,'SegEnds_NonXtal_Prot#'!$A:$AL,22,FALSE)+7,1)</f>
        <v>V</v>
      </c>
      <c r="AD358" s="50" t="str">
        <f>MID(VLOOKUP($A358,Seqs!$A:$B,2,FALSE),VLOOKUP($A358,'SegEnds_NonXtal_Prot#'!$A:$AL,22,FALSE)+8,1)</f>
        <v>V</v>
      </c>
      <c r="AE358" s="50" t="str">
        <f>MID(VLOOKUP($A358,Seqs!$A:$B,2,FALSE),VLOOKUP($A358,'SegEnds_NonXtal_Prot#'!$A:$AL,22,FALSE)+9,1)</f>
        <v>I</v>
      </c>
      <c r="AF358" s="50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50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50" t="str">
        <f>MID(VLOOKUP($A359,Seqs!$A:$B,2,FALSE),VLOOKUP($A359,'SegEnds_NonXtal_Prot#'!A:AL,10,FALSE)+6,1)</f>
        <v>S</v>
      </c>
      <c r="X359" s="50" t="str">
        <f>MID(VLOOKUP($A359,Seqs!$A:$B,2,FALSE),VLOOKUP($A359,'SegEnds_NonXtal_Prot#'!A:AL,10,FALSE)+7,1)</f>
        <v>V</v>
      </c>
      <c r="Y359" s="50" t="str">
        <f>MID(VLOOKUP($A359,Seqs!$A:$B,2,FALSE),VLOOKUP($A359,'SegEnds_NonXtal_Prot#'!A:AL,10,FALSE)+8,1)</f>
        <v>L</v>
      </c>
      <c r="Z359" s="50" t="str">
        <f>MID(VLOOKUP($A359,Seqs!$A:$B,2,FALSE),VLOOKUP($A359,'SegEnds_NonXtal_Prot#'!A:AL,10,FALSE)+9,1)</f>
        <v>L</v>
      </c>
      <c r="AA359" s="50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50" t="str">
        <f>MID(VLOOKUP($A359,Seqs!$A:$B,2,FALSE),VLOOKUP($A359,'SegEnds_NonXtal_Prot#'!$A:$AL,22,FALSE)+7,1)</f>
        <v>C</v>
      </c>
      <c r="AD359" s="50" t="str">
        <f>MID(VLOOKUP($A359,Seqs!$A:$B,2,FALSE),VLOOKUP($A359,'SegEnds_NonXtal_Prot#'!$A:$AL,22,FALSE)+8,1)</f>
        <v>T</v>
      </c>
      <c r="AE359" s="50" t="str">
        <f>MID(VLOOKUP($A359,Seqs!$A:$B,2,FALSE),VLOOKUP($A359,'SegEnds_NonXtal_Prot#'!$A:$AL,22,FALSE)+9,1)</f>
        <v>W</v>
      </c>
      <c r="AF359" s="50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50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50" t="str">
        <f>MID(VLOOKUP($A360,Seqs!$A:$B,2,FALSE),VLOOKUP($A360,'SegEnds_NonXtal_Prot#'!A:AL,10,FALSE)+6,1)</f>
        <v>S</v>
      </c>
      <c r="X360" s="50" t="str">
        <f>MID(VLOOKUP($A360,Seqs!$A:$B,2,FALSE),VLOOKUP($A360,'SegEnds_NonXtal_Prot#'!A:AL,10,FALSE)+7,1)</f>
        <v>S</v>
      </c>
      <c r="Y360" s="50" t="str">
        <f>MID(VLOOKUP($A360,Seqs!$A:$B,2,FALSE),VLOOKUP($A360,'SegEnds_NonXtal_Prot#'!A:AL,10,FALSE)+8,1)</f>
        <v>L</v>
      </c>
      <c r="Z360" s="50" t="str">
        <f>MID(VLOOKUP($A360,Seqs!$A:$B,2,FALSE),VLOOKUP($A360,'SegEnds_NonXtal_Prot#'!A:AL,10,FALSE)+9,1)</f>
        <v>F</v>
      </c>
      <c r="AA360" s="50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50" t="str">
        <f>MID(VLOOKUP($A360,Seqs!$A:$B,2,FALSE),VLOOKUP($A360,'SegEnds_NonXtal_Prot#'!$A:$AL,22,FALSE)+7,1)</f>
        <v>C</v>
      </c>
      <c r="AD360" s="50" t="str">
        <f>MID(VLOOKUP($A360,Seqs!$A:$B,2,FALSE),VLOOKUP($A360,'SegEnds_NonXtal_Prot#'!$A:$AL,22,FALSE)+8,1)</f>
        <v>V</v>
      </c>
      <c r="AE360" s="50" t="str">
        <f>MID(VLOOKUP($A360,Seqs!$A:$B,2,FALSE),VLOOKUP($A360,'SegEnds_NonXtal_Prot#'!$A:$AL,22,FALSE)+9,1)</f>
        <v>I</v>
      </c>
      <c r="AF360" s="50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50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50" t="str">
        <f>MID(VLOOKUP($A361,Seqs!$A:$B,2,FALSE),VLOOKUP($A361,'SegEnds_NonXtal_Prot#'!A:AL,10,FALSE)+6,1)</f>
        <v>S</v>
      </c>
      <c r="X361" s="50" t="str">
        <f>MID(VLOOKUP($A361,Seqs!$A:$B,2,FALSE),VLOOKUP($A361,'SegEnds_NonXtal_Prot#'!A:AL,10,FALSE)+7,1)</f>
        <v>I</v>
      </c>
      <c r="Y361" s="50" t="str">
        <f>MID(VLOOKUP($A361,Seqs!$A:$B,2,FALSE),VLOOKUP($A361,'SegEnds_NonXtal_Prot#'!A:AL,10,FALSE)+8,1)</f>
        <v>F</v>
      </c>
      <c r="Z361" s="50" t="str">
        <f>MID(VLOOKUP($A361,Seqs!$A:$B,2,FALSE),VLOOKUP($A361,'SegEnds_NonXtal_Prot#'!A:AL,10,FALSE)+9,1)</f>
        <v>L</v>
      </c>
      <c r="AA361" s="50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50" t="str">
        <f>MID(VLOOKUP($A361,Seqs!$A:$B,2,FALSE),VLOOKUP($A361,'SegEnds_NonXtal_Prot#'!$A:$AL,22,FALSE)+7,1)</f>
        <v>L</v>
      </c>
      <c r="AD361" s="50" t="str">
        <f>MID(VLOOKUP($A361,Seqs!$A:$B,2,FALSE),VLOOKUP($A361,'SegEnds_NonXtal_Prot#'!$A:$AL,22,FALSE)+8,1)</f>
        <v>I</v>
      </c>
      <c r="AE361" s="50" t="str">
        <f>MID(VLOOKUP($A361,Seqs!$A:$B,2,FALSE),VLOOKUP($A361,'SegEnds_NonXtal_Prot#'!$A:$AL,22,FALSE)+9,1)</f>
        <v>C</v>
      </c>
      <c r="AF361" s="50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50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50" t="str">
        <f>MID(VLOOKUP($A362,Seqs!$A:$B,2,FALSE),VLOOKUP($A362,'SegEnds_NonXtal_Prot#'!A:AL,10,FALSE)+6,1)</f>
        <v>M</v>
      </c>
      <c r="X362" s="50" t="str">
        <f>MID(VLOOKUP($A362,Seqs!$A:$B,2,FALSE),VLOOKUP($A362,'SegEnds_NonXtal_Prot#'!A:AL,10,FALSE)+7,1)</f>
        <v>T</v>
      </c>
      <c r="Y362" s="50" t="str">
        <f>MID(VLOOKUP($A362,Seqs!$A:$B,2,FALSE),VLOOKUP($A362,'SegEnds_NonXtal_Prot#'!A:AL,10,FALSE)+8,1)</f>
        <v>F</v>
      </c>
      <c r="Z362" s="50" t="str">
        <f>MID(VLOOKUP($A362,Seqs!$A:$B,2,FALSE),VLOOKUP($A362,'SegEnds_NonXtal_Prot#'!A:AL,10,FALSE)+9,1)</f>
        <v>I</v>
      </c>
      <c r="AA362" s="50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50" t="str">
        <f>MID(VLOOKUP($A362,Seqs!$A:$B,2,FALSE),VLOOKUP($A362,'SegEnds_NonXtal_Prot#'!$A:$AL,22,FALSE)+7,1)</f>
        <v>V</v>
      </c>
      <c r="AD362" s="50" t="str">
        <f>MID(VLOOKUP($A362,Seqs!$A:$B,2,FALSE),VLOOKUP($A362,'SegEnds_NonXtal_Prot#'!$A:$AL,22,FALSE)+8,1)</f>
        <v>V</v>
      </c>
      <c r="AE362" s="50" t="str">
        <f>MID(VLOOKUP($A362,Seqs!$A:$B,2,FALSE),VLOOKUP($A362,'SegEnds_NonXtal_Prot#'!$A:$AL,22,FALSE)+9,1)</f>
        <v>A</v>
      </c>
      <c r="AF362" s="50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50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50" t="str">
        <f>MID(VLOOKUP($A363,Seqs!$A:$B,2,FALSE),VLOOKUP($A363,'SegEnds_NonXtal_Prot#'!A:AL,10,FALSE)+6,1)</f>
        <v>M</v>
      </c>
      <c r="X363" s="50" t="str">
        <f>MID(VLOOKUP($A363,Seqs!$A:$B,2,FALSE),VLOOKUP($A363,'SegEnds_NonXtal_Prot#'!A:AL,10,FALSE)+7,1)</f>
        <v>T</v>
      </c>
      <c r="Y363" s="50" t="str">
        <f>MID(VLOOKUP($A363,Seqs!$A:$B,2,FALSE),VLOOKUP($A363,'SegEnds_NonXtal_Prot#'!A:AL,10,FALSE)+8,1)</f>
        <v>F</v>
      </c>
      <c r="Z363" s="50" t="str">
        <f>MID(VLOOKUP($A363,Seqs!$A:$B,2,FALSE),VLOOKUP($A363,'SegEnds_NonXtal_Prot#'!A:AL,10,FALSE)+9,1)</f>
        <v>F</v>
      </c>
      <c r="AA363" s="50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50" t="str">
        <f>MID(VLOOKUP($A363,Seqs!$A:$B,2,FALSE),VLOOKUP($A363,'SegEnds_NonXtal_Prot#'!$A:$AL,22,FALSE)+7,1)</f>
        <v>V</v>
      </c>
      <c r="AD363" s="50" t="str">
        <f>MID(VLOOKUP($A363,Seqs!$A:$B,2,FALSE),VLOOKUP($A363,'SegEnds_NonXtal_Prot#'!$A:$AL,22,FALSE)+8,1)</f>
        <v>S</v>
      </c>
      <c r="AE363" s="50" t="str">
        <f>MID(VLOOKUP($A363,Seqs!$A:$B,2,FALSE),VLOOKUP($A363,'SegEnds_NonXtal_Prot#'!$A:$AL,22,FALSE)+9,1)</f>
        <v>V</v>
      </c>
      <c r="AF363" s="50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50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50" t="str">
        <f>MID(VLOOKUP($A364,Seqs!$A:$B,2,FALSE),VLOOKUP($A364,'SegEnds_NonXtal_Prot#'!A:AL,10,FALSE)+6,1)</f>
        <v>T</v>
      </c>
      <c r="X364" s="50" t="str">
        <f>MID(VLOOKUP($A364,Seqs!$A:$B,2,FALSE),VLOOKUP($A364,'SegEnds_NonXtal_Prot#'!A:AL,10,FALSE)+7,1)</f>
        <v>T</v>
      </c>
      <c r="Y364" s="50" t="str">
        <f>MID(VLOOKUP($A364,Seqs!$A:$B,2,FALSE),VLOOKUP($A364,'SegEnds_NonXtal_Prot#'!A:AL,10,FALSE)+8,1)</f>
        <v>F</v>
      </c>
      <c r="Z364" s="50" t="str">
        <f>MID(VLOOKUP($A364,Seqs!$A:$B,2,FALSE),VLOOKUP($A364,'SegEnds_NonXtal_Prot#'!A:AL,10,FALSE)+9,1)</f>
        <v>L</v>
      </c>
      <c r="AA364" s="50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50" t="str">
        <f>MID(VLOOKUP($A364,Seqs!$A:$B,2,FALSE),VLOOKUP($A364,'SegEnds_NonXtal_Prot#'!$A:$AL,22,FALSE)+7,1)</f>
        <v>I</v>
      </c>
      <c r="AD364" s="50" t="str">
        <f>MID(VLOOKUP($A364,Seqs!$A:$B,2,FALSE),VLOOKUP($A364,'SegEnds_NonXtal_Prot#'!$A:$AL,22,FALSE)+8,1)</f>
        <v>C</v>
      </c>
      <c r="AE364" s="50" t="str">
        <f>MID(VLOOKUP($A364,Seqs!$A:$B,2,FALSE),VLOOKUP($A364,'SegEnds_NonXtal_Prot#'!$A:$AL,22,FALSE)+9,1)</f>
        <v>V</v>
      </c>
      <c r="AF364" s="50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50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50" t="str">
        <f>MID(VLOOKUP($A365,Seqs!$A:$B,2,FALSE),VLOOKUP($A365,'SegEnds_NonXtal_Prot#'!A:AL,10,FALSE)+6,1)</f>
        <v>C</v>
      </c>
      <c r="X365" s="50" t="str">
        <f>MID(VLOOKUP($A365,Seqs!$A:$B,2,FALSE),VLOOKUP($A365,'SegEnds_NonXtal_Prot#'!A:AL,10,FALSE)+7,1)</f>
        <v>T</v>
      </c>
      <c r="Y365" s="50" t="str">
        <f>MID(VLOOKUP($A365,Seqs!$A:$B,2,FALSE),VLOOKUP($A365,'SegEnds_NonXtal_Prot#'!A:AL,10,FALSE)+8,1)</f>
        <v>F</v>
      </c>
      <c r="Z365" s="50" t="str">
        <f>MID(VLOOKUP($A365,Seqs!$A:$B,2,FALSE),VLOOKUP($A365,'SegEnds_NonXtal_Prot#'!A:AL,10,FALSE)+9,1)</f>
        <v>C</v>
      </c>
      <c r="AA365" s="50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50" t="str">
        <f>MID(VLOOKUP($A365,Seqs!$A:$B,2,FALSE),VLOOKUP($A365,'SegEnds_NonXtal_Prot#'!$A:$AL,22,FALSE)+7,1)</f>
        <v>I</v>
      </c>
      <c r="AD365" s="50" t="str">
        <f>MID(VLOOKUP($A365,Seqs!$A:$B,2,FALSE),VLOOKUP($A365,'SegEnds_NonXtal_Prot#'!$A:$AL,22,FALSE)+8,1)</f>
        <v>V</v>
      </c>
      <c r="AE365" s="50" t="str">
        <f>MID(VLOOKUP($A365,Seqs!$A:$B,2,FALSE),VLOOKUP($A365,'SegEnds_NonXtal_Prot#'!$A:$AL,22,FALSE)+9,1)</f>
        <v>A</v>
      </c>
      <c r="AF365" s="50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50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50" t="str">
        <f>MID(VLOOKUP($A366,Seqs!$A:$B,2,FALSE),VLOOKUP($A366,'SegEnds_NonXtal_Prot#'!A:AL,10,FALSE)+6,1)</f>
        <v>I</v>
      </c>
      <c r="X366" s="50" t="str">
        <f>MID(VLOOKUP($A366,Seqs!$A:$B,2,FALSE),VLOOKUP($A366,'SegEnds_NonXtal_Prot#'!A:AL,10,FALSE)+7,1)</f>
        <v>T</v>
      </c>
      <c r="Y366" s="50" t="str">
        <f>MID(VLOOKUP($A366,Seqs!$A:$B,2,FALSE),VLOOKUP($A366,'SegEnds_NonXtal_Prot#'!A:AL,10,FALSE)+8,1)</f>
        <v>F</v>
      </c>
      <c r="Z366" s="50" t="str">
        <f>MID(VLOOKUP($A366,Seqs!$A:$B,2,FALSE),VLOOKUP($A366,'SegEnds_NonXtal_Prot#'!A:AL,10,FALSE)+9,1)</f>
        <v>L</v>
      </c>
      <c r="AA366" s="50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50" t="str">
        <f>MID(VLOOKUP($A366,Seqs!$A:$B,2,FALSE),VLOOKUP($A366,'SegEnds_NonXtal_Prot#'!$A:$AL,22,FALSE)+7,1)</f>
        <v>M</v>
      </c>
      <c r="AD366" s="50" t="str">
        <f>MID(VLOOKUP($A366,Seqs!$A:$B,2,FALSE),VLOOKUP($A366,'SegEnds_NonXtal_Prot#'!$A:$AL,22,FALSE)+8,1)</f>
        <v>I</v>
      </c>
      <c r="AE366" s="50" t="str">
        <f>MID(VLOOKUP($A366,Seqs!$A:$B,2,FALSE),VLOOKUP($A366,'SegEnds_NonXtal_Prot#'!$A:$AL,22,FALSE)+9,1)</f>
        <v>A</v>
      </c>
      <c r="AF366" s="50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50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50" t="str">
        <f>MID(VLOOKUP($A367,Seqs!$A:$B,2,FALSE),VLOOKUP($A367,'SegEnds_NonXtal_Prot#'!A:AL,10,FALSE)+6,1)</f>
        <v>I</v>
      </c>
      <c r="X367" s="50" t="str">
        <f>MID(VLOOKUP($A367,Seqs!$A:$B,2,FALSE),VLOOKUP($A367,'SegEnds_NonXtal_Prot#'!A:AL,10,FALSE)+7,1)</f>
        <v>T</v>
      </c>
      <c r="Y367" s="50" t="str">
        <f>MID(VLOOKUP($A367,Seqs!$A:$B,2,FALSE),VLOOKUP($A367,'SegEnds_NonXtal_Prot#'!A:AL,10,FALSE)+8,1)</f>
        <v>F</v>
      </c>
      <c r="Z367" s="50" t="str">
        <f>MID(VLOOKUP($A367,Seqs!$A:$B,2,FALSE),VLOOKUP($A367,'SegEnds_NonXtal_Prot#'!A:AL,10,FALSE)+9,1)</f>
        <v>L</v>
      </c>
      <c r="AA367" s="50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50" t="str">
        <f>MID(VLOOKUP($A367,Seqs!$A:$B,2,FALSE),VLOOKUP($A367,'SegEnds_NonXtal_Prot#'!$A:$AL,22,FALSE)+7,1)</f>
        <v>V</v>
      </c>
      <c r="AD367" s="50" t="str">
        <f>MID(VLOOKUP($A367,Seqs!$A:$B,2,FALSE),VLOOKUP($A367,'SegEnds_NonXtal_Prot#'!$A:$AL,22,FALSE)+8,1)</f>
        <v>F</v>
      </c>
      <c r="AE367" s="50" t="str">
        <f>MID(VLOOKUP($A367,Seqs!$A:$B,2,FALSE),VLOOKUP($A367,'SegEnds_NonXtal_Prot#'!$A:$AL,22,FALSE)+9,1)</f>
        <v>I</v>
      </c>
      <c r="AF367" s="50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50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50" t="str">
        <f>MID(VLOOKUP($A368,Seqs!$A:$B,2,FALSE),VLOOKUP($A368,'SegEnds_NonXtal_Prot#'!A:AL,10,FALSE)+6,1)</f>
        <v>I</v>
      </c>
      <c r="X368" s="50" t="str">
        <f>MID(VLOOKUP($A368,Seqs!$A:$B,2,FALSE),VLOOKUP($A368,'SegEnds_NonXtal_Prot#'!A:AL,10,FALSE)+7,1)</f>
        <v>T</v>
      </c>
      <c r="Y368" s="50" t="str">
        <f>MID(VLOOKUP($A368,Seqs!$A:$B,2,FALSE),VLOOKUP($A368,'SegEnds_NonXtal_Prot#'!A:AL,10,FALSE)+8,1)</f>
        <v>F</v>
      </c>
      <c r="Z368" s="50" t="str">
        <f>MID(VLOOKUP($A368,Seqs!$A:$B,2,FALSE),VLOOKUP($A368,'SegEnds_NonXtal_Prot#'!A:AL,10,FALSE)+9,1)</f>
        <v>L</v>
      </c>
      <c r="AA368" s="50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50" t="str">
        <f>MID(VLOOKUP($A368,Seqs!$A:$B,2,FALSE),VLOOKUP($A368,'SegEnds_NonXtal_Prot#'!$A:$AL,22,FALSE)+7,1)</f>
        <v>V</v>
      </c>
      <c r="AD368" s="50" t="str">
        <f>MID(VLOOKUP($A368,Seqs!$A:$B,2,FALSE),VLOOKUP($A368,'SegEnds_NonXtal_Prot#'!$A:$AL,22,FALSE)+8,1)</f>
        <v>F</v>
      </c>
      <c r="AE368" s="50" t="str">
        <f>MID(VLOOKUP($A368,Seqs!$A:$B,2,FALSE),VLOOKUP($A368,'SegEnds_NonXtal_Prot#'!$A:$AL,22,FALSE)+9,1)</f>
        <v>V</v>
      </c>
      <c r="AF368" s="50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50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50" t="str">
        <f>MID(VLOOKUP($A369,Seqs!$A:$B,2,FALSE),VLOOKUP($A369,'SegEnds_NonXtal_Prot#'!A:AL,10,FALSE)+6,1)</f>
        <v>A</v>
      </c>
      <c r="X369" s="50" t="str">
        <f>MID(VLOOKUP($A369,Seqs!$A:$B,2,FALSE),VLOOKUP($A369,'SegEnds_NonXtal_Prot#'!A:AL,10,FALSE)+7,1)</f>
        <v>V</v>
      </c>
      <c r="Y369" s="50" t="str">
        <f>MID(VLOOKUP($A369,Seqs!$A:$B,2,FALSE),VLOOKUP($A369,'SegEnds_NonXtal_Prot#'!A:AL,10,FALSE)+8,1)</f>
        <v>A</v>
      </c>
      <c r="Z369" s="50" t="str">
        <f>MID(VLOOKUP($A369,Seqs!$A:$B,2,FALSE),VLOOKUP($A369,'SegEnds_NonXtal_Prot#'!A:AL,10,FALSE)+9,1)</f>
        <v>Y</v>
      </c>
      <c r="AA369" s="50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50" t="str">
        <f>MID(VLOOKUP($A369,Seqs!$A:$B,2,FALSE),VLOOKUP($A369,'SegEnds_NonXtal_Prot#'!$A:$AL,22,FALSE)+7,1)</f>
        <v>T</v>
      </c>
      <c r="AD369" s="50" t="str">
        <f>MID(VLOOKUP($A369,Seqs!$A:$B,2,FALSE),VLOOKUP($A369,'SegEnds_NonXtal_Prot#'!$A:$AL,22,FALSE)+8,1)</f>
        <v>I</v>
      </c>
      <c r="AE369" s="50" t="str">
        <f>MID(VLOOKUP($A369,Seqs!$A:$B,2,FALSE),VLOOKUP($A369,'SegEnds_NonXtal_Prot#'!$A:$AL,22,FALSE)+9,1)</f>
        <v>T</v>
      </c>
      <c r="AF369" s="50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50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50" t="str">
        <f>MID(VLOOKUP($A370,Seqs!$A:$B,2,FALSE),VLOOKUP($A370,'SegEnds_NonXtal_Prot#'!A:AL,10,FALSE)+6,1)</f>
        <v>S</v>
      </c>
      <c r="X370" s="50" t="str">
        <f>MID(VLOOKUP($A370,Seqs!$A:$B,2,FALSE),VLOOKUP($A370,'SegEnds_NonXtal_Prot#'!A:AL,10,FALSE)+7,1)</f>
        <v>V</v>
      </c>
      <c r="Y370" s="50" t="str">
        <f>MID(VLOOKUP($A370,Seqs!$A:$B,2,FALSE),VLOOKUP($A370,'SegEnds_NonXtal_Prot#'!A:AL,10,FALSE)+8,1)</f>
        <v>G</v>
      </c>
      <c r="Z370" s="50" t="str">
        <f>MID(VLOOKUP($A370,Seqs!$A:$B,2,FALSE),VLOOKUP($A370,'SegEnds_NonXtal_Prot#'!A:AL,10,FALSE)+9,1)</f>
        <v>Y</v>
      </c>
      <c r="AA370" s="50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50" t="str">
        <f>MID(VLOOKUP($A370,Seqs!$A:$B,2,FALSE),VLOOKUP($A370,'SegEnds_NonXtal_Prot#'!$A:$AL,22,FALSE)+7,1)</f>
        <v>T</v>
      </c>
      <c r="AD370" s="50" t="str">
        <f>MID(VLOOKUP($A370,Seqs!$A:$B,2,FALSE),VLOOKUP($A370,'SegEnds_NonXtal_Prot#'!$A:$AL,22,FALSE)+8,1)</f>
        <v>I</v>
      </c>
      <c r="AE370" s="50" t="str">
        <f>MID(VLOOKUP($A370,Seqs!$A:$B,2,FALSE),VLOOKUP($A370,'SegEnds_NonXtal_Prot#'!$A:$AL,22,FALSE)+9,1)</f>
        <v>L</v>
      </c>
      <c r="AF370" s="50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50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50" t="str">
        <f>MID(VLOOKUP($A371,Seqs!$A:$B,2,FALSE),VLOOKUP($A371,'SegEnds_NonXtal_Prot#'!A:AL,10,FALSE)+6,1)</f>
        <v>S</v>
      </c>
      <c r="X371" s="50" t="str">
        <f>MID(VLOOKUP($A371,Seqs!$A:$B,2,FALSE),VLOOKUP($A371,'SegEnds_NonXtal_Prot#'!A:AL,10,FALSE)+7,1)</f>
        <v>V</v>
      </c>
      <c r="Y371" s="50" t="str">
        <f>MID(VLOOKUP($A371,Seqs!$A:$B,2,FALSE),VLOOKUP($A371,'SegEnds_NonXtal_Prot#'!A:AL,10,FALSE)+8,1)</f>
        <v>A</v>
      </c>
      <c r="Z371" s="50" t="str">
        <f>MID(VLOOKUP($A371,Seqs!$A:$B,2,FALSE),VLOOKUP($A371,'SegEnds_NonXtal_Prot#'!A:AL,10,FALSE)+9,1)</f>
        <v>Y</v>
      </c>
      <c r="AA371" s="50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50" t="str">
        <f>MID(VLOOKUP($A371,Seqs!$A:$B,2,FALSE),VLOOKUP($A371,'SegEnds_NonXtal_Prot#'!$A:$AL,22,FALSE)+7,1)</f>
        <v>T</v>
      </c>
      <c r="AD371" s="50" t="str">
        <f>MID(VLOOKUP($A371,Seqs!$A:$B,2,FALSE),VLOOKUP($A371,'SegEnds_NonXtal_Prot#'!$A:$AL,22,FALSE)+8,1)</f>
        <v>I</v>
      </c>
      <c r="AE371" s="50" t="str">
        <f>MID(VLOOKUP($A371,Seqs!$A:$B,2,FALSE),VLOOKUP($A371,'SegEnds_NonXtal_Prot#'!$A:$AL,22,FALSE)+9,1)</f>
        <v>T</v>
      </c>
      <c r="AF371" s="50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50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50" t="str">
        <f>MID(VLOOKUP($A372,Seqs!$A:$B,2,FALSE),VLOOKUP($A372,'SegEnds_NonXtal_Prot#'!A:AL,10,FALSE)+6,1)</f>
        <v>S</v>
      </c>
      <c r="X372" s="50" t="str">
        <f>MID(VLOOKUP($A372,Seqs!$A:$B,2,FALSE),VLOOKUP($A372,'SegEnds_NonXtal_Prot#'!A:AL,10,FALSE)+7,1)</f>
        <v>L</v>
      </c>
      <c r="Y372" s="50" t="str">
        <f>MID(VLOOKUP($A372,Seqs!$A:$B,2,FALSE),VLOOKUP($A372,'SegEnds_NonXtal_Prot#'!A:AL,10,FALSE)+8,1)</f>
        <v>I</v>
      </c>
      <c r="Z372" s="50" t="str">
        <f>MID(VLOOKUP($A372,Seqs!$A:$B,2,FALSE),VLOOKUP($A372,'SegEnds_NonXtal_Prot#'!A:AL,10,FALSE)+9,1)</f>
        <v>F</v>
      </c>
      <c r="AA372" s="50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50" t="str">
        <f>MID(VLOOKUP($A372,Seqs!$A:$B,2,FALSE),VLOOKUP($A372,'SegEnds_NonXtal_Prot#'!$A:$AL,22,FALSE)+7,1)</f>
        <v>T</v>
      </c>
      <c r="AD372" s="50" t="str">
        <f>MID(VLOOKUP($A372,Seqs!$A:$B,2,FALSE),VLOOKUP($A372,'SegEnds_NonXtal_Prot#'!$A:$AL,22,FALSE)+8,1)</f>
        <v>I</v>
      </c>
      <c r="AE372" s="50" t="str">
        <f>MID(VLOOKUP($A372,Seqs!$A:$B,2,FALSE),VLOOKUP($A372,'SegEnds_NonXtal_Prot#'!$A:$AL,22,FALSE)+9,1)</f>
        <v>I</v>
      </c>
      <c r="AF372" s="50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50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50" t="str">
        <f>MID(VLOOKUP($A373,Seqs!$A:$B,2,FALSE),VLOOKUP($A373,'SegEnds_NonXtal_Prot#'!A:AL,10,FALSE)+6,1)</f>
        <v>S</v>
      </c>
      <c r="X373" s="50" t="str">
        <f>MID(VLOOKUP($A373,Seqs!$A:$B,2,FALSE),VLOOKUP($A373,'SegEnds_NonXtal_Prot#'!A:AL,10,FALSE)+7,1)</f>
        <v>I</v>
      </c>
      <c r="Y373" s="50" t="str">
        <f>MID(VLOOKUP($A373,Seqs!$A:$B,2,FALSE),VLOOKUP($A373,'SegEnds_NonXtal_Prot#'!A:AL,10,FALSE)+8,1)</f>
        <v>A</v>
      </c>
      <c r="Z373" s="50" t="str">
        <f>MID(VLOOKUP($A373,Seqs!$A:$B,2,FALSE),VLOOKUP($A373,'SegEnds_NonXtal_Prot#'!A:AL,10,FALSE)+9,1)</f>
        <v>Y</v>
      </c>
      <c r="AA373" s="50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50" t="str">
        <f>MID(VLOOKUP($A373,Seqs!$A:$B,2,FALSE),VLOOKUP($A373,'SegEnds_NonXtal_Prot#'!$A:$AL,22,FALSE)+7,1)</f>
        <v>T</v>
      </c>
      <c r="AD373" s="50" t="str">
        <f>MID(VLOOKUP($A373,Seqs!$A:$B,2,FALSE),VLOOKUP($A373,'SegEnds_NonXtal_Prot#'!$A:$AL,22,FALSE)+8,1)</f>
        <v>I</v>
      </c>
      <c r="AE373" s="50" t="str">
        <f>MID(VLOOKUP($A373,Seqs!$A:$B,2,FALSE),VLOOKUP($A373,'SegEnds_NonXtal_Prot#'!$A:$AL,22,FALSE)+9,1)</f>
        <v>V</v>
      </c>
      <c r="AF373" s="50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50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50" t="str">
        <f>MID(VLOOKUP($A374,Seqs!$A:$B,2,FALSE),VLOOKUP($A374,'SegEnds_NonXtal_Prot#'!A:AL,10,FALSE)+6,1)</f>
        <v>S</v>
      </c>
      <c r="X374" s="50" t="str">
        <f>MID(VLOOKUP($A374,Seqs!$A:$B,2,FALSE),VLOOKUP($A374,'SegEnds_NonXtal_Prot#'!A:AL,10,FALSE)+7,1)</f>
        <v>L</v>
      </c>
      <c r="Y374" s="50" t="str">
        <f>MID(VLOOKUP($A374,Seqs!$A:$B,2,FALSE),VLOOKUP($A374,'SegEnds_NonXtal_Prot#'!A:AL,10,FALSE)+8,1)</f>
        <v>G</v>
      </c>
      <c r="Z374" s="50" t="str">
        <f>MID(VLOOKUP($A374,Seqs!$A:$B,2,FALSE),VLOOKUP($A374,'SegEnds_NonXtal_Prot#'!A:AL,10,FALSE)+9,1)</f>
        <v>F</v>
      </c>
      <c r="AA374" s="50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50" t="str">
        <f>MID(VLOOKUP($A374,Seqs!$A:$B,2,FALSE),VLOOKUP($A374,'SegEnds_NonXtal_Prot#'!$A:$AL,22,FALSE)+7,1)</f>
        <v>S</v>
      </c>
      <c r="AD374" s="50" t="str">
        <f>MID(VLOOKUP($A374,Seqs!$A:$B,2,FALSE),VLOOKUP($A374,'SegEnds_NonXtal_Prot#'!$A:$AL,22,FALSE)+8,1)</f>
        <v>I</v>
      </c>
      <c r="AE374" s="50" t="str">
        <f>MID(VLOOKUP($A374,Seqs!$A:$B,2,FALSE),VLOOKUP($A374,'SegEnds_NonXtal_Prot#'!$A:$AL,22,FALSE)+9,1)</f>
        <v>T</v>
      </c>
      <c r="AF374" s="50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50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50" t="str">
        <f>MID(VLOOKUP($A375,Seqs!$A:$B,2,FALSE),VLOOKUP($A375,'SegEnds_NonXtal_Prot#'!A:AL,10,FALSE)+6,1)</f>
        <v>S</v>
      </c>
      <c r="X375" s="50" t="str">
        <f>MID(VLOOKUP($A375,Seqs!$A:$B,2,FALSE),VLOOKUP($A375,'SegEnds_NonXtal_Prot#'!A:AL,10,FALSE)+7,1)</f>
        <v>L</v>
      </c>
      <c r="Y375" s="50" t="str">
        <f>MID(VLOOKUP($A375,Seqs!$A:$B,2,FALSE),VLOOKUP($A375,'SegEnds_NonXtal_Prot#'!A:AL,10,FALSE)+8,1)</f>
        <v>M</v>
      </c>
      <c r="Z375" s="50" t="str">
        <f>MID(VLOOKUP($A375,Seqs!$A:$B,2,FALSE),VLOOKUP($A375,'SegEnds_NonXtal_Prot#'!A:AL,10,FALSE)+9,1)</f>
        <v>Y</v>
      </c>
      <c r="AA375" s="50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50" t="str">
        <f>MID(VLOOKUP($A375,Seqs!$A:$B,2,FALSE),VLOOKUP($A375,'SegEnds_NonXtal_Prot#'!$A:$AL,22,FALSE)+7,1)</f>
        <v>T</v>
      </c>
      <c r="AD375" s="50" t="str">
        <f>MID(VLOOKUP($A375,Seqs!$A:$B,2,FALSE),VLOOKUP($A375,'SegEnds_NonXtal_Prot#'!$A:$AL,22,FALSE)+8,1)</f>
        <v>V</v>
      </c>
      <c r="AE375" s="50" t="str">
        <f>MID(VLOOKUP($A375,Seqs!$A:$B,2,FALSE),VLOOKUP($A375,'SegEnds_NonXtal_Prot#'!$A:$AL,22,FALSE)+9,1)</f>
        <v>M</v>
      </c>
      <c r="AF375" s="50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50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50" t="str">
        <f>MID(VLOOKUP($A376,Seqs!$A:$B,2,FALSE),VLOOKUP($A376,'SegEnds_NonXtal_Prot#'!A:AL,10,FALSE)+6,1)</f>
        <v>A</v>
      </c>
      <c r="X376" s="50" t="str">
        <f>MID(VLOOKUP($A376,Seqs!$A:$B,2,FALSE),VLOOKUP($A376,'SegEnds_NonXtal_Prot#'!A:AL,10,FALSE)+7,1)</f>
        <v>V</v>
      </c>
      <c r="Y376" s="50" t="str">
        <f>MID(VLOOKUP($A376,Seqs!$A:$B,2,FALSE),VLOOKUP($A376,'SegEnds_NonXtal_Prot#'!A:AL,10,FALSE)+8,1)</f>
        <v>A</v>
      </c>
      <c r="Z376" s="50" t="str">
        <f>MID(VLOOKUP($A376,Seqs!$A:$B,2,FALSE),VLOOKUP($A376,'SegEnds_NonXtal_Prot#'!A:AL,10,FALSE)+9,1)</f>
        <v>H</v>
      </c>
      <c r="AA376" s="50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50" t="str">
        <f>MID(VLOOKUP($A376,Seqs!$A:$B,2,FALSE),VLOOKUP($A376,'SegEnds_NonXtal_Prot#'!$A:$AL,22,FALSE)+7,1)</f>
        <v>T</v>
      </c>
      <c r="AD376" s="50" t="str">
        <f>MID(VLOOKUP($A376,Seqs!$A:$B,2,FALSE),VLOOKUP($A376,'SegEnds_NonXtal_Prot#'!$A:$AL,22,FALSE)+8,1)</f>
        <v>I</v>
      </c>
      <c r="AE376" s="50" t="str">
        <f>MID(VLOOKUP($A376,Seqs!$A:$B,2,FALSE),VLOOKUP($A376,'SegEnds_NonXtal_Prot#'!$A:$AL,22,FALSE)+9,1)</f>
        <v>T</v>
      </c>
      <c r="AF376" s="50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50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50" t="str">
        <f>MID(VLOOKUP($A377,Seqs!$A:$B,2,FALSE),VLOOKUP($A377,'SegEnds_NonXtal_Prot#'!A:AL,10,FALSE)+6,1)</f>
        <v>S</v>
      </c>
      <c r="X377" s="50" t="str">
        <f>MID(VLOOKUP($A377,Seqs!$A:$B,2,FALSE),VLOOKUP($A377,'SegEnds_NonXtal_Prot#'!A:AL,10,FALSE)+7,1)</f>
        <v>V</v>
      </c>
      <c r="Y377" s="50" t="str">
        <f>MID(VLOOKUP($A377,Seqs!$A:$B,2,FALSE),VLOOKUP($A377,'SegEnds_NonXtal_Prot#'!A:AL,10,FALSE)+8,1)</f>
        <v>G</v>
      </c>
      <c r="Z377" s="50" t="str">
        <f>MID(VLOOKUP($A377,Seqs!$A:$B,2,FALSE),VLOOKUP($A377,'SegEnds_NonXtal_Prot#'!A:AL,10,FALSE)+9,1)</f>
        <v>Y</v>
      </c>
      <c r="AA377" s="50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50" t="str">
        <f>MID(VLOOKUP($A377,Seqs!$A:$B,2,FALSE),VLOOKUP($A377,'SegEnds_NonXtal_Prot#'!$A:$AL,22,FALSE)+7,1)</f>
        <v>S</v>
      </c>
      <c r="AD377" s="50" t="str">
        <f>MID(VLOOKUP($A377,Seqs!$A:$B,2,FALSE),VLOOKUP($A377,'SegEnds_NonXtal_Prot#'!$A:$AL,22,FALSE)+8,1)</f>
        <v>I</v>
      </c>
      <c r="AE377" s="50" t="str">
        <f>MID(VLOOKUP($A377,Seqs!$A:$B,2,FALSE),VLOOKUP($A377,'SegEnds_NonXtal_Prot#'!$A:$AL,22,FALSE)+9,1)</f>
        <v>A</v>
      </c>
      <c r="AF377" s="50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50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50" t="str">
        <f>MID(VLOOKUP($A378,Seqs!$A:$B,2,FALSE),VLOOKUP($A378,'SegEnds_NonXtal_Prot#'!A:AL,10,FALSE)+6,1)</f>
        <v>S</v>
      </c>
      <c r="X378" s="50" t="str">
        <f>MID(VLOOKUP($A378,Seqs!$A:$B,2,FALSE),VLOOKUP($A378,'SegEnds_NonXtal_Prot#'!A:AL,10,FALSE)+7,1)</f>
        <v>L</v>
      </c>
      <c r="Y378" s="50" t="str">
        <f>MID(VLOOKUP($A378,Seqs!$A:$B,2,FALSE),VLOOKUP($A378,'SegEnds_NonXtal_Prot#'!A:AL,10,FALSE)+8,1)</f>
        <v>A</v>
      </c>
      <c r="Z378" s="50" t="str">
        <f>MID(VLOOKUP($A378,Seqs!$A:$B,2,FALSE),VLOOKUP($A378,'SegEnds_NonXtal_Prot#'!A:AL,10,FALSE)+9,1)</f>
        <v>F</v>
      </c>
      <c r="AA378" s="50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50" t="str">
        <f>MID(VLOOKUP($A378,Seqs!$A:$B,2,FALSE),VLOOKUP($A378,'SegEnds_NonXtal_Prot#'!$A:$AL,22,FALSE)+7,1)</f>
        <v>T</v>
      </c>
      <c r="AD378" s="50" t="str">
        <f>MID(VLOOKUP($A378,Seqs!$A:$B,2,FALSE),VLOOKUP($A378,'SegEnds_NonXtal_Prot#'!$A:$AL,22,FALSE)+8,1)</f>
        <v>I</v>
      </c>
      <c r="AE378" s="50" t="str">
        <f>MID(VLOOKUP($A378,Seqs!$A:$B,2,FALSE),VLOOKUP($A378,'SegEnds_NonXtal_Prot#'!$A:$AL,22,FALSE)+9,1)</f>
        <v>V</v>
      </c>
      <c r="AF378" s="50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50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50" t="str">
        <f>MID(VLOOKUP($A379,Seqs!$A:$B,2,FALSE),VLOOKUP($A379,'SegEnds_NonXtal_Prot#'!A:AL,10,FALSE)+6,1)</f>
        <v>S</v>
      </c>
      <c r="X379" s="50" t="str">
        <f>MID(VLOOKUP($A379,Seqs!$A:$B,2,FALSE),VLOOKUP($A379,'SegEnds_NonXtal_Prot#'!A:AL,10,FALSE)+7,1)</f>
        <v>I</v>
      </c>
      <c r="Y379" s="50" t="str">
        <f>MID(VLOOKUP($A379,Seqs!$A:$B,2,FALSE),VLOOKUP($A379,'SegEnds_NonXtal_Prot#'!A:AL,10,FALSE)+8,1)</f>
        <v>G</v>
      </c>
      <c r="Z379" s="50" t="str">
        <f>MID(VLOOKUP($A379,Seqs!$A:$B,2,FALSE),VLOOKUP($A379,'SegEnds_NonXtal_Prot#'!A:AL,10,FALSE)+9,1)</f>
        <v>W</v>
      </c>
      <c r="AA379" s="50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50" t="str">
        <f>MID(VLOOKUP($A379,Seqs!$A:$B,2,FALSE),VLOOKUP($A379,'SegEnds_NonXtal_Prot#'!$A:$AL,22,FALSE)+7,1)</f>
        <v>T</v>
      </c>
      <c r="AD379" s="50" t="str">
        <f>MID(VLOOKUP($A379,Seqs!$A:$B,2,FALSE),VLOOKUP($A379,'SegEnds_NonXtal_Prot#'!$A:$AL,22,FALSE)+8,1)</f>
        <v>V</v>
      </c>
      <c r="AE379" s="50" t="str">
        <f>MID(VLOOKUP($A379,Seqs!$A:$B,2,FALSE),VLOOKUP($A379,'SegEnds_NonXtal_Prot#'!$A:$AL,22,FALSE)+9,1)</f>
        <v>A</v>
      </c>
      <c r="AF379" s="50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50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50" t="str">
        <f>MID(VLOOKUP($A380,Seqs!$A:$B,2,FALSE),VLOOKUP($A380,'SegEnds_NonXtal_Prot#'!A:AL,10,FALSE)+6,1)</f>
        <v>G</v>
      </c>
      <c r="X380" s="50" t="str">
        <f>MID(VLOOKUP($A380,Seqs!$A:$B,2,FALSE),VLOOKUP($A380,'SegEnds_NonXtal_Prot#'!A:AL,10,FALSE)+7,1)</f>
        <v>M</v>
      </c>
      <c r="Y380" s="50" t="str">
        <f>MID(VLOOKUP($A380,Seqs!$A:$B,2,FALSE),VLOOKUP($A380,'SegEnds_NonXtal_Prot#'!A:AL,10,FALSE)+8,1)</f>
        <v>V</v>
      </c>
      <c r="Z380" s="50" t="str">
        <f>MID(VLOOKUP($A380,Seqs!$A:$B,2,FALSE),VLOOKUP($A380,'SegEnds_NonXtal_Prot#'!A:AL,10,FALSE)+9,1)</f>
        <v>I</v>
      </c>
      <c r="AA380" s="50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50" t="str">
        <f>MID(VLOOKUP($A380,Seqs!$A:$B,2,FALSE),VLOOKUP($A380,'SegEnds_NonXtal_Prot#'!$A:$AL,22,FALSE)+7,1)</f>
        <v>C</v>
      </c>
      <c r="AD380" s="50" t="str">
        <f>MID(VLOOKUP($A380,Seqs!$A:$B,2,FALSE),VLOOKUP($A380,'SegEnds_NonXtal_Prot#'!$A:$AL,22,FALSE)+8,1)</f>
        <v>V</v>
      </c>
      <c r="AE380" s="50" t="str">
        <f>MID(VLOOKUP($A380,Seqs!$A:$B,2,FALSE),VLOOKUP($A380,'SegEnds_NonXtal_Prot#'!$A:$AL,22,FALSE)+9,1)</f>
        <v>E</v>
      </c>
      <c r="AF380" s="50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50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50" t="str">
        <f>MID(VLOOKUP($A381,Seqs!$A:$B,2,FALSE),VLOOKUP($A381,'SegEnds_NonXtal_Prot#'!A:AL,10,FALSE)+6,1)</f>
        <v>F</v>
      </c>
      <c r="X381" s="50" t="str">
        <f>MID(VLOOKUP($A381,Seqs!$A:$B,2,FALSE),VLOOKUP($A381,'SegEnds_NonXtal_Prot#'!A:AL,10,FALSE)+7,1)</f>
        <v>S</v>
      </c>
      <c r="Y381" s="50" t="str">
        <f>MID(VLOOKUP($A381,Seqs!$A:$B,2,FALSE),VLOOKUP($A381,'SegEnds_NonXtal_Prot#'!A:AL,10,FALSE)+8,1)</f>
        <v>F</v>
      </c>
      <c r="Z381" s="50" t="str">
        <f>MID(VLOOKUP($A381,Seqs!$A:$B,2,FALSE),VLOOKUP($A381,'SegEnds_NonXtal_Prot#'!A:AL,10,FALSE)+9,1)</f>
        <v>Y</v>
      </c>
      <c r="AA381" s="50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50" t="str">
        <f>MID(VLOOKUP($A381,Seqs!$A:$B,2,FALSE),VLOOKUP($A381,'SegEnds_NonXtal_Prot#'!$A:$AL,22,FALSE)+7,1)</f>
        <v>A</v>
      </c>
      <c r="AD381" s="50" t="str">
        <f>MID(VLOOKUP($A381,Seqs!$A:$B,2,FALSE),VLOOKUP($A381,'SegEnds_NonXtal_Prot#'!$A:$AL,22,FALSE)+8,1)</f>
        <v>C</v>
      </c>
      <c r="AE381" s="50" t="str">
        <f>MID(VLOOKUP($A381,Seqs!$A:$B,2,FALSE),VLOOKUP($A381,'SegEnds_NonXtal_Prot#'!$A:$AL,22,FALSE)+9,1)</f>
        <v>L</v>
      </c>
      <c r="AF381" s="50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50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50" t="str">
        <f>MID(VLOOKUP($A382,Seqs!$A:$B,2,FALSE),VLOOKUP($A382,'SegEnds_NonXtal_Prot#'!A:AL,10,FALSE)+6,1)</f>
        <v>M</v>
      </c>
      <c r="X382" s="50" t="str">
        <f>MID(VLOOKUP($A382,Seqs!$A:$B,2,FALSE),VLOOKUP($A382,'SegEnds_NonXtal_Prot#'!A:AL,10,FALSE)+7,1)</f>
        <v>T</v>
      </c>
      <c r="Y382" s="50" t="str">
        <f>MID(VLOOKUP($A382,Seqs!$A:$B,2,FALSE),VLOOKUP($A382,'SegEnds_NonXtal_Prot#'!A:AL,10,FALSE)+8,1)</f>
        <v>V</v>
      </c>
      <c r="Z382" s="50" t="str">
        <f>MID(VLOOKUP($A382,Seqs!$A:$B,2,FALSE),VLOOKUP($A382,'SegEnds_NonXtal_Prot#'!A:AL,10,FALSE)+9,1)</f>
        <v>S</v>
      </c>
      <c r="AA382" s="50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50" t="str">
        <f>MID(VLOOKUP($A382,Seqs!$A:$B,2,FALSE),VLOOKUP($A382,'SegEnds_NonXtal_Prot#'!$A:$AL,22,FALSE)+7,1)</f>
        <v>S</v>
      </c>
      <c r="AD382" s="50" t="str">
        <f>MID(VLOOKUP($A382,Seqs!$A:$B,2,FALSE),VLOOKUP($A382,'SegEnds_NonXtal_Prot#'!$A:$AL,22,FALSE)+8,1)</f>
        <v>A</v>
      </c>
      <c r="AE382" s="50" t="str">
        <f>MID(VLOOKUP($A382,Seqs!$A:$B,2,FALSE),VLOOKUP($A382,'SegEnds_NonXtal_Prot#'!$A:$AL,22,FALSE)+9,1)</f>
        <v>E</v>
      </c>
      <c r="AF382" s="50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50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5ht2b_human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50" t="str">
        <f>MID(VLOOKUP($A383,Seqs!$A:$B,2,FALSE),VLOOKUP($A383,'SegEnds_NonXtal_Prot#'!A:AL,10,FALSE)+6,1)</f>
        <v>S</v>
      </c>
      <c r="X383" s="50" t="str">
        <f>MID(VLOOKUP($A383,Seqs!$A:$B,2,FALSE),VLOOKUP($A383,'SegEnds_NonXtal_Prot#'!A:AL,10,FALSE)+7,1)</f>
        <v>Y</v>
      </c>
      <c r="Y383" s="50" t="str">
        <f>MID(VLOOKUP($A383,Seqs!$A:$B,2,FALSE),VLOOKUP($A383,'SegEnds_NonXtal_Prot#'!A:AL,10,FALSE)+8,1)</f>
        <v>F</v>
      </c>
      <c r="Z383" s="50" t="str">
        <f>MID(VLOOKUP($A383,Seqs!$A:$B,2,FALSE),VLOOKUP($A383,'SegEnds_NonXtal_Prot#'!A:AL,10,FALSE)+9,1)</f>
        <v>Y</v>
      </c>
      <c r="AA383" s="50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50" t="str">
        <f>MID(VLOOKUP($A383,Seqs!$A:$B,2,FALSE),VLOOKUP($A383,'SegEnds_NonXtal_Prot#'!$A:$AL,22,FALSE)+7,1)</f>
        <v>L</v>
      </c>
      <c r="AD383" s="50" t="str">
        <f>MID(VLOOKUP($A383,Seqs!$A:$B,2,FALSE),VLOOKUP($A383,'SegEnds_NonXtal_Prot#'!$A:$AL,22,FALSE)+8,1)</f>
        <v>K</v>
      </c>
      <c r="AE383" s="50" t="str">
        <f>MID(VLOOKUP($A383,Seqs!$A:$B,2,FALSE),VLOOKUP($A383,'SegEnds_NonXtal_Prot#'!$A:$AL,22,FALSE)+9,1)</f>
        <v>K</v>
      </c>
      <c r="AF383" s="50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50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50" t="str">
        <f>MID(VLOOKUP($A384,Seqs!$A:$B,2,FALSE),VLOOKUP($A384,'SegEnds_NonXtal_Prot#'!A:AL,10,FALSE)+6,1)</f>
        <v>K</v>
      </c>
      <c r="X384" s="50" t="str">
        <f>MID(VLOOKUP($A384,Seqs!$A:$B,2,FALSE),VLOOKUP($A384,'SegEnds_NonXtal_Prot#'!A:AL,10,FALSE)+7,1)</f>
        <v>R</v>
      </c>
      <c r="Y384" s="50" t="str">
        <f>MID(VLOOKUP($A384,Seqs!$A:$B,2,FALSE),VLOOKUP($A384,'SegEnds_NonXtal_Prot#'!A:AL,10,FALSE)+8,1)</f>
        <v>R</v>
      </c>
      <c r="Z384" s="50" t="str">
        <f>MID(VLOOKUP($A384,Seqs!$A:$B,2,FALSE),VLOOKUP($A384,'SegEnds_NonXtal_Prot#'!A:AL,10,FALSE)+9,1)</f>
        <v>N</v>
      </c>
      <c r="AA384" s="50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50" t="str">
        <f>MID(VLOOKUP($A384,Seqs!$A:$B,2,FALSE),VLOOKUP($A384,'SegEnds_NonXtal_Prot#'!$A:$AL,22,FALSE)+7,1)</f>
        <v>G</v>
      </c>
      <c r="AD384" s="50" t="str">
        <f>MID(VLOOKUP($A384,Seqs!$A:$B,2,FALSE),VLOOKUP($A384,'SegEnds_NonXtal_Prot#'!$A:$AL,22,FALSE)+8,1)</f>
        <v>L</v>
      </c>
      <c r="AE384" s="50" t="str">
        <f>MID(VLOOKUP($A384,Seqs!$A:$B,2,FALSE),VLOOKUP($A384,'SegEnds_NonXtal_Prot#'!$A:$AL,22,FALSE)+9,1)</f>
        <v>W</v>
      </c>
      <c r="AF384" s="50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50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50" t="str">
        <f>MID(VLOOKUP($A385,Seqs!$A:$B,2,FALSE),VLOOKUP($A385,'SegEnds_NonXtal_Prot#'!A:AL,10,FALSE)+6,1)</f>
        <v>V</v>
      </c>
      <c r="X385" s="50" t="str">
        <f>MID(VLOOKUP($A385,Seqs!$A:$B,2,FALSE),VLOOKUP($A385,'SegEnds_NonXtal_Prot#'!A:AL,10,FALSE)+7,1)</f>
        <v>V</v>
      </c>
      <c r="Y385" s="50" t="str">
        <f>MID(VLOOKUP($A385,Seqs!$A:$B,2,FALSE),VLOOKUP($A385,'SegEnds_NonXtal_Prot#'!A:AL,10,FALSE)+8,1)</f>
        <v>M</v>
      </c>
      <c r="Z385" s="50" t="str">
        <f>MID(VLOOKUP($A385,Seqs!$A:$B,2,FALSE),VLOOKUP($A385,'SegEnds_NonXtal_Prot#'!A:AL,10,FALSE)+9,1)</f>
        <v>G</v>
      </c>
      <c r="AA385" s="50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50" t="str">
        <f>MID(VLOOKUP($A385,Seqs!$A:$B,2,FALSE),VLOOKUP($A385,'SegEnds_NonXtal_Prot#'!$A:$AL,22,FALSE)+7,1)</f>
        <v>F</v>
      </c>
      <c r="AD385" s="50" t="str">
        <f>MID(VLOOKUP($A385,Seqs!$A:$B,2,FALSE),VLOOKUP($A385,'SegEnds_NonXtal_Prot#'!$A:$AL,22,FALSE)+8,1)</f>
        <v>T</v>
      </c>
      <c r="AE385" s="50" t="str">
        <f>MID(VLOOKUP($A385,Seqs!$A:$B,2,FALSE),VLOOKUP($A385,'SegEnds_NonXtal_Prot#'!$A:$AL,22,FALSE)+9,1)</f>
        <v>T</v>
      </c>
      <c r="AF385" s="50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50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50" t="str">
        <f>MID(VLOOKUP($A386,Seqs!$A:$B,2,FALSE),VLOOKUP($A386,'SegEnds_NonXtal_Prot#'!A:AL,10,FALSE)+6,1)</f>
        <v>E</v>
      </c>
      <c r="X386" s="50" t="str">
        <f>MID(VLOOKUP($A386,Seqs!$A:$B,2,FALSE),VLOOKUP($A386,'SegEnds_NonXtal_Prot#'!A:AL,10,FALSE)+7,1)</f>
        <v>I</v>
      </c>
      <c r="Y386" s="50" t="str">
        <f>MID(VLOOKUP($A386,Seqs!$A:$B,2,FALSE),VLOOKUP($A386,'SegEnds_NonXtal_Prot#'!A:AL,10,FALSE)+8,1)</f>
        <v>L</v>
      </c>
      <c r="Z386" s="50" t="str">
        <f>MID(VLOOKUP($A386,Seqs!$A:$B,2,FALSE),VLOOKUP($A386,'SegEnds_NonXtal_Prot#'!A:AL,10,FALSE)+9,1)</f>
        <v>V</v>
      </c>
      <c r="AA386" s="50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50" t="str">
        <f>MID(VLOOKUP($A386,Seqs!$A:$B,2,FALSE),VLOOKUP($A386,'SegEnds_NonXtal_Prot#'!$A:$AL,22,FALSE)+7,1)</f>
        <v>L</v>
      </c>
      <c r="AD386" s="50" t="str">
        <f>MID(VLOOKUP($A386,Seqs!$A:$B,2,FALSE),VLOOKUP($A386,'SegEnds_NonXtal_Prot#'!$A:$AL,22,FALSE)+8,1)</f>
        <v>N</v>
      </c>
      <c r="AE386" s="50" t="str">
        <f>MID(VLOOKUP($A386,Seqs!$A:$B,2,FALSE),VLOOKUP($A386,'SegEnds_NonXtal_Prot#'!$A:$AL,22,FALSE)+9,1)</f>
        <v>L</v>
      </c>
      <c r="AF386" s="50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50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50" t="str">
        <f>MID(VLOOKUP($A387,Seqs!$A:$B,2,FALSE),VLOOKUP($A387,'SegEnds_NonXtal_Prot#'!A:AL,10,FALSE)+6,1)</f>
        <v>L</v>
      </c>
      <c r="X387" s="50" t="str">
        <f>MID(VLOOKUP($A387,Seqs!$A:$B,2,FALSE),VLOOKUP($A387,'SegEnds_NonXtal_Prot#'!A:AL,10,FALSE)+7,1)</f>
        <v>F</v>
      </c>
      <c r="Y387" s="50" t="str">
        <f>MID(VLOOKUP($A387,Seqs!$A:$B,2,FALSE),VLOOKUP($A387,'SegEnds_NonXtal_Prot#'!A:AL,10,FALSE)+8,1)</f>
        <v>L</v>
      </c>
      <c r="Z387" s="50" t="str">
        <f>MID(VLOOKUP($A387,Seqs!$A:$B,2,FALSE),VLOOKUP($A387,'SegEnds_NonXtal_Prot#'!A:AL,10,FALSE)+9,1)</f>
        <v>V</v>
      </c>
      <c r="AA387" s="50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50" t="str">
        <f>MID(VLOOKUP($A387,Seqs!$A:$B,2,FALSE),VLOOKUP($A387,'SegEnds_NonXtal_Prot#'!$A:$AL,22,FALSE)+7,1)</f>
        <v>F</v>
      </c>
      <c r="AD387" s="50" t="str">
        <f>MID(VLOOKUP($A387,Seqs!$A:$B,2,FALSE),VLOOKUP($A387,'SegEnds_NonXtal_Prot#'!$A:$AL,22,FALSE)+8,1)</f>
        <v>T</v>
      </c>
      <c r="AE387" s="50" t="str">
        <f>MID(VLOOKUP($A387,Seqs!$A:$B,2,FALSE),VLOOKUP($A387,'SegEnds_NonXtal_Prot#'!$A:$AL,22,FALSE)+9,1)</f>
        <v>T</v>
      </c>
      <c r="AF387" s="50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50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50" t="str">
        <f>MID(VLOOKUP($A388,Seqs!$A:$B,2,FALSE),VLOOKUP($A388,'SegEnds_NonXtal_Prot#'!A:AL,10,FALSE)+6,1)</f>
        <v>L</v>
      </c>
      <c r="X388" s="50" t="str">
        <f>MID(VLOOKUP($A388,Seqs!$A:$B,2,FALSE),VLOOKUP($A388,'SegEnds_NonXtal_Prot#'!A:AL,10,FALSE)+7,1)</f>
        <v>M</v>
      </c>
      <c r="Y388" s="50" t="str">
        <f>MID(VLOOKUP($A388,Seqs!$A:$B,2,FALSE),VLOOKUP($A388,'SegEnds_NonXtal_Prot#'!A:AL,10,FALSE)+8,1)</f>
        <v>M</v>
      </c>
      <c r="Z388" s="50" t="str">
        <f>MID(VLOOKUP($A388,Seqs!$A:$B,2,FALSE),VLOOKUP($A388,'SegEnds_NonXtal_Prot#'!A:AL,10,FALSE)+9,1)</f>
        <v>L</v>
      </c>
      <c r="AA388" s="50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50" t="str">
        <f>MID(VLOOKUP($A388,Seqs!$A:$B,2,FALSE),VLOOKUP($A388,'SegEnds_NonXtal_Prot#'!$A:$AL,22,FALSE)+7,1)</f>
        <v>S</v>
      </c>
      <c r="AD388" s="50" t="str">
        <f>MID(VLOOKUP($A388,Seqs!$A:$B,2,FALSE),VLOOKUP($A388,'SegEnds_NonXtal_Prot#'!$A:$AL,22,FALSE)+8,1)</f>
        <v>H</v>
      </c>
      <c r="AE388" s="50" t="str">
        <f>MID(VLOOKUP($A388,Seqs!$A:$B,2,FALSE),VLOOKUP($A388,'SegEnds_NonXtal_Prot#'!$A:$AL,22,FALSE)+9,1)</f>
        <v>S</v>
      </c>
      <c r="AF388" s="50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50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acm2_human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50" t="str">
        <f>MID(VLOOKUP($A389,Seqs!$A:$B,2,FALSE),VLOOKUP($A389,'SegEnds_NonXtal_Prot#'!A:AL,10,FALSE)+6,1)</f>
        <v>V</v>
      </c>
      <c r="X389" s="50" t="str">
        <f>MID(VLOOKUP($A389,Seqs!$A:$B,2,FALSE),VLOOKUP($A389,'SegEnds_NonXtal_Prot#'!A:AL,10,FALSE)+7,1)</f>
        <v>M</v>
      </c>
      <c r="Y389" s="50" t="str">
        <f>MID(VLOOKUP($A389,Seqs!$A:$B,2,FALSE),VLOOKUP($A389,'SegEnds_NonXtal_Prot#'!A:AL,10,FALSE)+8,1)</f>
        <v>L</v>
      </c>
      <c r="Z389" s="50" t="str">
        <f>MID(VLOOKUP($A389,Seqs!$A:$B,2,FALSE),VLOOKUP($A389,'SegEnds_NonXtal_Prot#'!A:AL,10,FALSE)+9,1)</f>
        <v>F</v>
      </c>
      <c r="AA389" s="50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50" t="str">
        <f>MID(VLOOKUP($A389,Seqs!$A:$B,2,FALSE),VLOOKUP($A389,'SegEnds_NonXtal_Prot#'!$A:$AL,22,FALSE)+7,1)</f>
        <v>C</v>
      </c>
      <c r="AD389" s="50" t="str">
        <f>MID(VLOOKUP($A389,Seqs!$A:$B,2,FALSE),VLOOKUP($A389,'SegEnds_NonXtal_Prot#'!$A:$AL,22,FALSE)+8,1)</f>
        <v>N</v>
      </c>
      <c r="AE389" s="50" t="str">
        <f>MID(VLOOKUP($A389,Seqs!$A:$B,2,FALSE),VLOOKUP($A389,'SegEnds_NonXtal_Prot#'!$A:$AL,22,FALSE)+9,1)</f>
        <v>L</v>
      </c>
      <c r="AF389" s="50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50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5ht2b_human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50" t="str">
        <f>MID(VLOOKUP($A390,Seqs!$A:$B,2,FALSE),VLOOKUP($A390,'SegEnds_NonXtal_Prot#'!A:AL,10,FALSE)+6,1)</f>
        <v>V</v>
      </c>
      <c r="X390" s="50" t="str">
        <f>MID(VLOOKUP($A390,Seqs!$A:$B,2,FALSE),VLOOKUP($A390,'SegEnds_NonXtal_Prot#'!A:AL,10,FALSE)+7,1)</f>
        <v>I</v>
      </c>
      <c r="Y390" s="50" t="str">
        <f>MID(VLOOKUP($A390,Seqs!$A:$B,2,FALSE),VLOOKUP($A390,'SegEnds_NonXtal_Prot#'!A:AL,10,FALSE)+8,1)</f>
        <v>L</v>
      </c>
      <c r="Z390" s="50" t="str">
        <f>MID(VLOOKUP($A390,Seqs!$A:$B,2,FALSE),VLOOKUP($A390,'SegEnds_NonXtal_Prot#'!A:AL,10,FALSE)+9,1)</f>
        <v>L</v>
      </c>
      <c r="AA390" s="50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50" t="str">
        <f>MID(VLOOKUP($A390,Seqs!$A:$B,2,FALSE),VLOOKUP($A390,'SegEnds_NonXtal_Prot#'!$A:$AL,22,FALSE)+7,1)</f>
        <v>C</v>
      </c>
      <c r="AD390" s="50" t="str">
        <f>MID(VLOOKUP($A390,Seqs!$A:$B,2,FALSE),VLOOKUP($A390,'SegEnds_NonXtal_Prot#'!$A:$AL,22,FALSE)+8,1)</f>
        <v>H</v>
      </c>
      <c r="AE390" s="50" t="str">
        <f>MID(VLOOKUP($A390,Seqs!$A:$B,2,FALSE),VLOOKUP($A390,'SegEnds_NonXtal_Prot#'!$A:$AL,22,FALSE)+9,1)</f>
        <v>L</v>
      </c>
      <c r="AF390" s="50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50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5ht2b_human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50" t="str">
        <f>MID(VLOOKUP($A391,Seqs!$A:$B,2,FALSE),VLOOKUP($A391,'SegEnds_NonXtal_Prot#'!A:AL,10,FALSE)+6,1)</f>
        <v>V</v>
      </c>
      <c r="X391" s="50" t="str">
        <f>MID(VLOOKUP($A391,Seqs!$A:$B,2,FALSE),VLOOKUP($A391,'SegEnds_NonXtal_Prot#'!A:AL,10,FALSE)+7,1)</f>
        <v>L</v>
      </c>
      <c r="Y391" s="50" t="str">
        <f>MID(VLOOKUP($A391,Seqs!$A:$B,2,FALSE),VLOOKUP($A391,'SegEnds_NonXtal_Prot#'!A:AL,10,FALSE)+8,1)</f>
        <v>L</v>
      </c>
      <c r="Z391" s="50" t="str">
        <f>MID(VLOOKUP($A391,Seqs!$A:$B,2,FALSE),VLOOKUP($A391,'SegEnds_NonXtal_Prot#'!A:AL,10,FALSE)+9,1)</f>
        <v>L</v>
      </c>
      <c r="AA391" s="50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50" t="str">
        <f>MID(VLOOKUP($A391,Seqs!$A:$B,2,FALSE),VLOOKUP($A391,'SegEnds_NonXtal_Prot#'!$A:$AL,22,FALSE)+7,1)</f>
        <v>C</v>
      </c>
      <c r="AD391" s="50" t="str">
        <f>MID(VLOOKUP($A391,Seqs!$A:$B,2,FALSE),VLOOKUP($A391,'SegEnds_NonXtal_Prot#'!$A:$AL,22,FALSE)+8,1)</f>
        <v>H</v>
      </c>
      <c r="AE391" s="50" t="str">
        <f>MID(VLOOKUP($A391,Seqs!$A:$B,2,FALSE),VLOOKUP($A391,'SegEnds_NonXtal_Prot#'!$A:$AL,22,FALSE)+9,1)</f>
        <v>L</v>
      </c>
      <c r="AF391" s="50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50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50" t="str">
        <f>MID(VLOOKUP($A392,Seqs!$A:$B,2,FALSE),VLOOKUP($A392,'SegEnds_NonXtal_Prot#'!A:AL,10,FALSE)+6,1)</f>
        <v>V</v>
      </c>
      <c r="X392" s="50" t="str">
        <f>MID(VLOOKUP($A392,Seqs!$A:$B,2,FALSE),VLOOKUP($A392,'SegEnds_NonXtal_Prot#'!A:AL,10,FALSE)+7,1)</f>
        <v>L</v>
      </c>
      <c r="Y392" s="50" t="str">
        <f>MID(VLOOKUP($A392,Seqs!$A:$B,2,FALSE),VLOOKUP($A392,'SegEnds_NonXtal_Prot#'!A:AL,10,FALSE)+8,1)</f>
        <v>L</v>
      </c>
      <c r="Z392" s="50" t="str">
        <f>MID(VLOOKUP($A392,Seqs!$A:$B,2,FALSE),VLOOKUP($A392,'SegEnds_NonXtal_Prot#'!A:AL,10,FALSE)+9,1)</f>
        <v>L</v>
      </c>
      <c r="AA392" s="50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50" t="str">
        <f>MID(VLOOKUP($A392,Seqs!$A:$B,2,FALSE),VLOOKUP($A392,'SegEnds_NonXtal_Prot#'!$A:$AL,22,FALSE)+7,1)</f>
        <v>C</v>
      </c>
      <c r="AD392" s="50" t="str">
        <f>MID(VLOOKUP($A392,Seqs!$A:$B,2,FALSE),VLOOKUP($A392,'SegEnds_NonXtal_Prot#'!$A:$AL,22,FALSE)+8,1)</f>
        <v>Q</v>
      </c>
      <c r="AE392" s="50" t="str">
        <f>MID(VLOOKUP($A392,Seqs!$A:$B,2,FALSE),VLOOKUP($A392,'SegEnds_NonXtal_Prot#'!$A:$AL,22,FALSE)+9,1)</f>
        <v>L</v>
      </c>
      <c r="AF392" s="50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50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50" t="str">
        <f>MID(VLOOKUP($A393,Seqs!$A:$B,2,FALSE),VLOOKUP($A393,'SegEnds_NonXtal_Prot#'!A:AL,10,FALSE)+6,1)</f>
        <v>L</v>
      </c>
      <c r="X393" s="50" t="str">
        <f>MID(VLOOKUP($A393,Seqs!$A:$B,2,FALSE),VLOOKUP($A393,'SegEnds_NonXtal_Prot#'!A:AL,10,FALSE)+7,1)</f>
        <v>L</v>
      </c>
      <c r="Y393" s="50" t="str">
        <f>MID(VLOOKUP($A393,Seqs!$A:$B,2,FALSE),VLOOKUP($A393,'SegEnds_NonXtal_Prot#'!A:AL,10,FALSE)+8,1)</f>
        <v>F</v>
      </c>
      <c r="Z393" s="50" t="str">
        <f>MID(VLOOKUP($A393,Seqs!$A:$B,2,FALSE),VLOOKUP($A393,'SegEnds_NonXtal_Prot#'!A:AL,10,FALSE)+9,1)</f>
        <v>L</v>
      </c>
      <c r="AA393" s="50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50" t="str">
        <f>MID(VLOOKUP($A393,Seqs!$A:$B,2,FALSE),VLOOKUP($A393,'SegEnds_NonXtal_Prot#'!$A:$AL,22,FALSE)+7,1)</f>
        <v>I</v>
      </c>
      <c r="AD393" s="50" t="str">
        <f>MID(VLOOKUP($A393,Seqs!$A:$B,2,FALSE),VLOOKUP($A393,'SegEnds_NonXtal_Prot#'!$A:$AL,22,FALSE)+8,1)</f>
        <v>C</v>
      </c>
      <c r="AE393" s="50" t="str">
        <f>MID(VLOOKUP($A393,Seqs!$A:$B,2,FALSE),VLOOKUP($A393,'SegEnds_NonXtal_Prot#'!$A:$AL,22,FALSE)+9,1)</f>
        <v>T</v>
      </c>
      <c r="AF393" s="50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50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hrh1_human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50" t="str">
        <f>MID(VLOOKUP($A394,Seqs!$A:$B,2,FALSE),VLOOKUP($A394,'SegEnds_NonXtal_Prot#'!A:AL,10,FALSE)+6,1)</f>
        <v>V</v>
      </c>
      <c r="X394" s="50" t="str">
        <f>MID(VLOOKUP($A394,Seqs!$A:$B,2,FALSE),VLOOKUP($A394,'SegEnds_NonXtal_Prot#'!A:AL,10,FALSE)+7,1)</f>
        <v>G</v>
      </c>
      <c r="Y394" s="50" t="str">
        <f>MID(VLOOKUP($A394,Seqs!$A:$B,2,FALSE),VLOOKUP($A394,'SegEnds_NonXtal_Prot#'!A:AL,10,FALSE)+8,1)</f>
        <v>T</v>
      </c>
      <c r="Z394" s="50" t="str">
        <f>MID(VLOOKUP($A394,Seqs!$A:$B,2,FALSE),VLOOKUP($A394,'SegEnds_NonXtal_Prot#'!A:AL,10,FALSE)+9,1)</f>
        <v>V</v>
      </c>
      <c r="AA394" s="50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50" t="str">
        <f>MID(VLOOKUP($A394,Seqs!$A:$B,2,FALSE),VLOOKUP($A394,'SegEnds_NonXtal_Prot#'!$A:$AL,22,FALSE)+7,1)</f>
        <v>I</v>
      </c>
      <c r="AD394" s="50" t="str">
        <f>MID(VLOOKUP($A394,Seqs!$A:$B,2,FALSE),VLOOKUP($A394,'SegEnds_NonXtal_Prot#'!$A:$AL,22,FALSE)+8,1)</f>
        <v>I</v>
      </c>
      <c r="AE394" s="50" t="str">
        <f>MID(VLOOKUP($A394,Seqs!$A:$B,2,FALSE),VLOOKUP($A394,'SegEnds_NonXtal_Prot#'!$A:$AL,22,FALSE)+9,1)</f>
        <v>T</v>
      </c>
      <c r="AF394" s="50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50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50" t="str">
        <f>MID(VLOOKUP($A395,Seqs!$A:$B,2,FALSE),VLOOKUP($A395,'SegEnds_NonXtal_Prot#'!A:AL,10,FALSE)+6,1)</f>
        <v>V</v>
      </c>
      <c r="X395" s="50" t="str">
        <f>MID(VLOOKUP($A395,Seqs!$A:$B,2,FALSE),VLOOKUP($A395,'SegEnds_NonXtal_Prot#'!A:AL,10,FALSE)+7,1)</f>
        <v>I</v>
      </c>
      <c r="Y395" s="50" t="str">
        <f>MID(VLOOKUP($A395,Seqs!$A:$B,2,FALSE),VLOOKUP($A395,'SegEnds_NonXtal_Prot#'!A:AL,10,FALSE)+8,1)</f>
        <v>L</v>
      </c>
      <c r="Z395" s="50" t="str">
        <f>MID(VLOOKUP($A395,Seqs!$A:$B,2,FALSE),VLOOKUP($A395,'SegEnds_NonXtal_Prot#'!A:AL,10,FALSE)+9,1)</f>
        <v>F</v>
      </c>
      <c r="AA395" s="50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50" t="str">
        <f>MID(VLOOKUP($A395,Seqs!$A:$B,2,FALSE),VLOOKUP($A395,'SegEnds_NonXtal_Prot#'!$A:$AL,22,FALSE)+7,1)</f>
        <v>F</v>
      </c>
      <c r="AD395" s="50" t="str">
        <f>MID(VLOOKUP($A395,Seqs!$A:$B,2,FALSE),VLOOKUP($A395,'SegEnds_NonXtal_Prot#'!$A:$AL,22,FALSE)+8,1)</f>
        <v>D</v>
      </c>
      <c r="AE395" s="50" t="str">
        <f>MID(VLOOKUP($A395,Seqs!$A:$B,2,FALSE),VLOOKUP($A395,'SegEnds_NonXtal_Prot#'!$A:$AL,22,FALSE)+9,1)</f>
        <v>S</v>
      </c>
      <c r="AF395" s="50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50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50" t="str">
        <f>MID(VLOOKUP($A396,Seqs!$A:$B,2,FALSE),VLOOKUP($A396,'SegEnds_NonXtal_Prot#'!A:AL,10,FALSE)+6,1)</f>
        <v>V</v>
      </c>
      <c r="X396" s="50" t="str">
        <f>MID(VLOOKUP($A396,Seqs!$A:$B,2,FALSE),VLOOKUP($A396,'SegEnds_NonXtal_Prot#'!A:AL,10,FALSE)+7,1)</f>
        <v>L</v>
      </c>
      <c r="Y396" s="50" t="str">
        <f>MID(VLOOKUP($A396,Seqs!$A:$B,2,FALSE),VLOOKUP($A396,'SegEnds_NonXtal_Prot#'!A:AL,10,FALSE)+8,1)</f>
        <v>L</v>
      </c>
      <c r="Z396" s="50" t="str">
        <f>MID(VLOOKUP($A396,Seqs!$A:$B,2,FALSE),VLOOKUP($A396,'SegEnds_NonXtal_Prot#'!A:AL,10,FALSE)+9,1)</f>
        <v>L</v>
      </c>
      <c r="AA396" s="50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50" t="str">
        <f>MID(VLOOKUP($A396,Seqs!$A:$B,2,FALSE),VLOOKUP($A396,'SegEnds_NonXtal_Prot#'!$A:$AL,22,FALSE)+7,1)</f>
        <v>C</v>
      </c>
      <c r="AD396" s="50" t="str">
        <f>MID(VLOOKUP($A396,Seqs!$A:$B,2,FALSE),VLOOKUP($A396,'SegEnds_NonXtal_Prot#'!$A:$AL,22,FALSE)+8,1)</f>
        <v>H</v>
      </c>
      <c r="AE396" s="50" t="str">
        <f>MID(VLOOKUP($A396,Seqs!$A:$B,2,FALSE),VLOOKUP($A396,'SegEnds_NonXtal_Prot#'!$A:$AL,22,FALSE)+9,1)</f>
        <v>L</v>
      </c>
      <c r="AF396" s="50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50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50" t="str">
        <f>MID(VLOOKUP($A397,Seqs!$A:$B,2,FALSE),VLOOKUP($A397,'SegEnds_NonXtal_Prot#'!A:AL,10,FALSE)+6,1)</f>
        <v>V</v>
      </c>
      <c r="X397" s="50" t="str">
        <f>MID(VLOOKUP($A397,Seqs!$A:$B,2,FALSE),VLOOKUP($A397,'SegEnds_NonXtal_Prot#'!A:AL,10,FALSE)+7,1)</f>
        <v>L</v>
      </c>
      <c r="Y397" s="50" t="str">
        <f>MID(VLOOKUP($A397,Seqs!$A:$B,2,FALSE),VLOOKUP($A397,'SegEnds_NonXtal_Prot#'!A:AL,10,FALSE)+8,1)</f>
        <v>L</v>
      </c>
      <c r="Z397" s="50" t="str">
        <f>MID(VLOOKUP($A397,Seqs!$A:$B,2,FALSE),VLOOKUP($A397,'SegEnds_NonXtal_Prot#'!A:AL,10,FALSE)+9,1)</f>
        <v>L</v>
      </c>
      <c r="AA397" s="50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50" t="str">
        <f>MID(VLOOKUP($A397,Seqs!$A:$B,2,FALSE),VLOOKUP($A397,'SegEnds_NonXtal_Prot#'!$A:$AL,22,FALSE)+7,1)</f>
        <v>C</v>
      </c>
      <c r="AD397" s="50" t="str">
        <f>MID(VLOOKUP($A397,Seqs!$A:$B,2,FALSE),VLOOKUP($A397,'SegEnds_NonXtal_Prot#'!$A:$AL,22,FALSE)+8,1)</f>
        <v>H</v>
      </c>
      <c r="AE397" s="50" t="str">
        <f>MID(VLOOKUP($A397,Seqs!$A:$B,2,FALSE),VLOOKUP($A397,'SegEnds_NonXtal_Prot#'!$A:$AL,22,FALSE)+9,1)</f>
        <v>L</v>
      </c>
      <c r="AF397" s="50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50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50" t="str">
        <f>MID(VLOOKUP($A398,Seqs!$A:$B,2,FALSE),VLOOKUP($A398,'SegEnds_NonXtal_Prot#'!A:AL,10,FALSE)+6,1)</f>
        <v>V</v>
      </c>
      <c r="X398" s="50" t="str">
        <f>MID(VLOOKUP($A398,Seqs!$A:$B,2,FALSE),VLOOKUP($A398,'SegEnds_NonXtal_Prot#'!A:AL,10,FALSE)+7,1)</f>
        <v>L</v>
      </c>
      <c r="Y398" s="50" t="str">
        <f>MID(VLOOKUP($A398,Seqs!$A:$B,2,FALSE),VLOOKUP($A398,'SegEnds_NonXtal_Prot#'!A:AL,10,FALSE)+8,1)</f>
        <v>V</v>
      </c>
      <c r="Z398" s="50" t="str">
        <f>MID(VLOOKUP($A398,Seqs!$A:$B,2,FALSE),VLOOKUP($A398,'SegEnds_NonXtal_Prot#'!A:AL,10,FALSE)+9,1)</f>
        <v>L</v>
      </c>
      <c r="AA398" s="50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50" t="str">
        <f>MID(VLOOKUP($A398,Seqs!$A:$B,2,FALSE),VLOOKUP($A398,'SegEnds_NonXtal_Prot#'!$A:$AL,22,FALSE)+7,1)</f>
        <v>C</v>
      </c>
      <c r="AD398" s="50" t="str">
        <f>MID(VLOOKUP($A398,Seqs!$A:$B,2,FALSE),VLOOKUP($A398,'SegEnds_NonXtal_Prot#'!$A:$AL,22,FALSE)+8,1)</f>
        <v>H</v>
      </c>
      <c r="AE398" s="50" t="str">
        <f>MID(VLOOKUP($A398,Seqs!$A:$B,2,FALSE),VLOOKUP($A398,'SegEnds_NonXtal_Prot#'!$A:$AL,22,FALSE)+9,1)</f>
        <v>L</v>
      </c>
      <c r="AF398" s="50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50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drd3_human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50" t="str">
        <f>MID(VLOOKUP($A399,Seqs!$A:$B,2,FALSE),VLOOKUP($A399,'SegEnds_NonXtal_Prot#'!A:AL,10,FALSE)+6,1)</f>
        <v>A</v>
      </c>
      <c r="X399" s="50" t="str">
        <f>MID(VLOOKUP($A399,Seqs!$A:$B,2,FALSE),VLOOKUP($A399,'SegEnds_NonXtal_Prot#'!A:AL,10,FALSE)+7,1)</f>
        <v>L</v>
      </c>
      <c r="Y399" s="50" t="str">
        <f>MID(VLOOKUP($A399,Seqs!$A:$B,2,FALSE),VLOOKUP($A399,'SegEnds_NonXtal_Prot#'!A:AL,10,FALSE)+8,1)</f>
        <v>L</v>
      </c>
      <c r="Z399" s="50" t="str">
        <f>MID(VLOOKUP($A399,Seqs!$A:$B,2,FALSE),VLOOKUP($A399,'SegEnds_NonXtal_Prot#'!A:AL,10,FALSE)+9,1)</f>
        <v>L</v>
      </c>
      <c r="AA399" s="50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50" t="str">
        <f>MID(VLOOKUP($A399,Seqs!$A:$B,2,FALSE),VLOOKUP($A399,'SegEnds_NonXtal_Prot#'!$A:$AL,22,FALSE)+7,1)</f>
        <v>C</v>
      </c>
      <c r="AD399" s="50" t="str">
        <f>MID(VLOOKUP($A399,Seqs!$A:$B,2,FALSE),VLOOKUP($A399,'SegEnds_NonXtal_Prot#'!$A:$AL,22,FALSE)+8,1)</f>
        <v>H</v>
      </c>
      <c r="AE399" s="50" t="str">
        <f>MID(VLOOKUP($A399,Seqs!$A:$B,2,FALSE),VLOOKUP($A399,'SegEnds_NonXtal_Prot#'!$A:$AL,22,FALSE)+9,1)</f>
        <v>L</v>
      </c>
      <c r="AF399" s="50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50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50" t="str">
        <f>MID(VLOOKUP($A400,Seqs!$A:$B,2,FALSE),VLOOKUP($A400,'SegEnds_NonXtal_Prot#'!A:AL,10,FALSE)+6,1)</f>
        <v>I</v>
      </c>
      <c r="X400" s="50" t="str">
        <f>MID(VLOOKUP($A400,Seqs!$A:$B,2,FALSE),VLOOKUP($A400,'SegEnds_NonXtal_Prot#'!A:AL,10,FALSE)+7,1)</f>
        <v>I</v>
      </c>
      <c r="Y400" s="50" t="str">
        <f>MID(VLOOKUP($A400,Seqs!$A:$B,2,FALSE),VLOOKUP($A400,'SegEnds_NonXtal_Prot#'!A:AL,10,FALSE)+8,1)</f>
        <v>L</v>
      </c>
      <c r="Z400" s="50" t="str">
        <f>MID(VLOOKUP($A400,Seqs!$A:$B,2,FALSE),VLOOKUP($A400,'SegEnds_NonXtal_Prot#'!A:AL,10,FALSE)+9,1)</f>
        <v>T</v>
      </c>
      <c r="AA400" s="50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50" t="str">
        <f>MID(VLOOKUP($A400,Seqs!$A:$B,2,FALSE),VLOOKUP($A400,'SegEnds_NonXtal_Prot#'!$A:$AL,22,FALSE)+7,1)</f>
        <v>G</v>
      </c>
      <c r="AD400" s="50" t="str">
        <f>MID(VLOOKUP($A400,Seqs!$A:$B,2,FALSE),VLOOKUP($A400,'SegEnds_NonXtal_Prot#'!$A:$AL,22,FALSE)+8,1)</f>
        <v>S</v>
      </c>
      <c r="AE400" s="50" t="str">
        <f>MID(VLOOKUP($A400,Seqs!$A:$B,2,FALSE),VLOOKUP($A400,'SegEnds_NonXtal_Prot#'!$A:$AL,22,FALSE)+9,1)</f>
        <v>T</v>
      </c>
      <c r="AF400" s="50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50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ednrb_human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50" t="str">
        <f>MID(VLOOKUP($A401,Seqs!$A:$B,2,FALSE),VLOOKUP($A401,'SegEnds_NonXtal_Prot#'!A:AL,10,FALSE)+6,1)</f>
        <v>V</v>
      </c>
      <c r="X401" s="50" t="str">
        <f>MID(VLOOKUP($A401,Seqs!$A:$B,2,FALSE),VLOOKUP($A401,'SegEnds_NonXtal_Prot#'!A:AL,10,FALSE)+7,1)</f>
        <v>I</v>
      </c>
      <c r="Y401" s="50" t="str">
        <f>MID(VLOOKUP($A401,Seqs!$A:$B,2,FALSE),VLOOKUP($A401,'SegEnds_NonXtal_Prot#'!A:AL,10,FALSE)+8,1)</f>
        <v>L</v>
      </c>
      <c r="Z401" s="50" t="str">
        <f>MID(VLOOKUP($A401,Seqs!$A:$B,2,FALSE),VLOOKUP($A401,'SegEnds_NonXtal_Prot#'!A:AL,10,FALSE)+9,1)</f>
        <v>L</v>
      </c>
      <c r="AA401" s="50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50" t="str">
        <f>MID(VLOOKUP($A401,Seqs!$A:$B,2,FALSE),VLOOKUP($A401,'SegEnds_NonXtal_Prot#'!$A:$AL,22,FALSE)+7,1)</f>
        <v>F</v>
      </c>
      <c r="AD401" s="50" t="str">
        <f>MID(VLOOKUP($A401,Seqs!$A:$B,2,FALSE),VLOOKUP($A401,'SegEnds_NonXtal_Prot#'!$A:$AL,22,FALSE)+8,1)</f>
        <v>I</v>
      </c>
      <c r="AE401" s="50" t="str">
        <f>MID(VLOOKUP($A401,Seqs!$A:$B,2,FALSE),VLOOKUP($A401,'SegEnds_NonXtal_Prot#'!$A:$AL,22,FALSE)+9,1)</f>
        <v>S</v>
      </c>
      <c r="AF401" s="50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50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50" t="str">
        <f>MID(VLOOKUP($A402,Seqs!$A:$B,2,FALSE),VLOOKUP($A402,'SegEnds_NonXtal_Prot#'!A:AL,10,FALSE)+6,1)</f>
        <v>V</v>
      </c>
      <c r="X402" s="50" t="str">
        <f>MID(VLOOKUP($A402,Seqs!$A:$B,2,FALSE),VLOOKUP($A402,'SegEnds_NonXtal_Prot#'!A:AL,10,FALSE)+7,1)</f>
        <v>M</v>
      </c>
      <c r="Y402" s="50" t="str">
        <f>MID(VLOOKUP($A402,Seqs!$A:$B,2,FALSE),VLOOKUP($A402,'SegEnds_NonXtal_Prot#'!A:AL,10,FALSE)+8,1)</f>
        <v>V</v>
      </c>
      <c r="Z402" s="50" t="str">
        <f>MID(VLOOKUP($A402,Seqs!$A:$B,2,FALSE),VLOOKUP($A402,'SegEnds_NonXtal_Prot#'!A:AL,10,FALSE)+9,1)</f>
        <v>V</v>
      </c>
      <c r="AA402" s="50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50" t="str">
        <f>MID(VLOOKUP($A402,Seqs!$A:$B,2,FALSE),VLOOKUP($A402,'SegEnds_NonXtal_Prot#'!$A:$AL,22,FALSE)+7,1)</f>
        <v>L</v>
      </c>
      <c r="AD402" s="50" t="str">
        <f>MID(VLOOKUP($A402,Seqs!$A:$B,2,FALSE),VLOOKUP($A402,'SegEnds_NonXtal_Prot#'!$A:$AL,22,FALSE)+8,1)</f>
        <v>V</v>
      </c>
      <c r="AE402" s="50" t="str">
        <f>MID(VLOOKUP($A402,Seqs!$A:$B,2,FALSE),VLOOKUP($A402,'SegEnds_NonXtal_Prot#'!$A:$AL,22,FALSE)+9,1)</f>
        <v>S</v>
      </c>
      <c r="AF402" s="50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50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50" t="str">
        <f>MID(VLOOKUP($A403,Seqs!$A:$B,2,FALSE),VLOOKUP($A403,'SegEnds_NonXtal_Prot#'!A:AL,10,FALSE)+6,1)</f>
        <v>V</v>
      </c>
      <c r="X403" s="50" t="str">
        <f>MID(VLOOKUP($A403,Seqs!$A:$B,2,FALSE),VLOOKUP($A403,'SegEnds_NonXtal_Prot#'!A:AL,10,FALSE)+7,1)</f>
        <v>I</v>
      </c>
      <c r="Y403" s="50" t="str">
        <f>MID(VLOOKUP($A403,Seqs!$A:$B,2,FALSE),VLOOKUP($A403,'SegEnds_NonXtal_Prot#'!A:AL,10,FALSE)+8,1)</f>
        <v>S</v>
      </c>
      <c r="Z403" s="50" t="str">
        <f>MID(VLOOKUP($A403,Seqs!$A:$B,2,FALSE),VLOOKUP($A403,'SegEnds_NonXtal_Prot#'!A:AL,10,FALSE)+9,1)</f>
        <v>L</v>
      </c>
      <c r="AA403" s="50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50" t="str">
        <f>MID(VLOOKUP($A403,Seqs!$A:$B,2,FALSE),VLOOKUP($A403,'SegEnds_NonXtal_Prot#'!$A:$AL,22,FALSE)+7,1)</f>
        <v>I</v>
      </c>
      <c r="AD403" s="50" t="str">
        <f>MID(VLOOKUP($A403,Seqs!$A:$B,2,FALSE),VLOOKUP($A403,'SegEnds_NonXtal_Prot#'!$A:$AL,22,FALSE)+8,1)</f>
        <v>I</v>
      </c>
      <c r="AE403" s="50" t="str">
        <f>MID(VLOOKUP($A403,Seqs!$A:$B,2,FALSE),VLOOKUP($A403,'SegEnds_NonXtal_Prot#'!$A:$AL,22,FALSE)+9,1)</f>
        <v>S</v>
      </c>
      <c r="AF403" s="50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50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50" t="str">
        <f>MID(VLOOKUP($A404,Seqs!$A:$B,2,FALSE),VLOOKUP($A404,'SegEnds_NonXtal_Prot#'!A:AL,10,FALSE)+6,1)</f>
        <v>W</v>
      </c>
      <c r="X404" s="50" t="str">
        <f>MID(VLOOKUP($A404,Seqs!$A:$B,2,FALSE),VLOOKUP($A404,'SegEnds_NonXtal_Prot#'!A:AL,10,FALSE)+7,1)</f>
        <v>M</v>
      </c>
      <c r="Y404" s="50" t="str">
        <f>MID(VLOOKUP($A404,Seqs!$A:$B,2,FALSE),VLOOKUP($A404,'SegEnds_NonXtal_Prot#'!A:AL,10,FALSE)+8,1)</f>
        <v>M</v>
      </c>
      <c r="Z404" s="50" t="str">
        <f>MID(VLOOKUP($A404,Seqs!$A:$B,2,FALSE),VLOOKUP($A404,'SegEnds_NonXtal_Prot#'!A:AL,10,FALSE)+9,1)</f>
        <v>L</v>
      </c>
      <c r="AA404" s="50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50" t="str">
        <f>MID(VLOOKUP($A404,Seqs!$A:$B,2,FALSE),VLOOKUP($A404,'SegEnds_NonXtal_Prot#'!$A:$AL,22,FALSE)+7,1)</f>
        <v>S</v>
      </c>
      <c r="AD404" s="50" t="str">
        <f>MID(VLOOKUP($A404,Seqs!$A:$B,2,FALSE),VLOOKUP($A404,'SegEnds_NonXtal_Prot#'!$A:$AL,22,FALSE)+8,1)</f>
        <v>F</v>
      </c>
      <c r="AE404" s="50" t="str">
        <f>MID(VLOOKUP($A404,Seqs!$A:$B,2,FALSE),VLOOKUP($A404,'SegEnds_NonXtal_Prot#'!$A:$AL,22,FALSE)+9,1)</f>
        <v>S</v>
      </c>
      <c r="AF404" s="50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50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50" t="str">
        <f>MID(VLOOKUP($A405,Seqs!$A:$B,2,FALSE),VLOOKUP($A405,'SegEnds_NonXtal_Prot#'!A:AL,10,FALSE)+6,1)</f>
        <v>F</v>
      </c>
      <c r="X405" s="50" t="str">
        <f>MID(VLOOKUP($A405,Seqs!$A:$B,2,FALSE),VLOOKUP($A405,'SegEnds_NonXtal_Prot#'!A:AL,10,FALSE)+7,1)</f>
        <v>I</v>
      </c>
      <c r="Y405" s="50" t="str">
        <f>MID(VLOOKUP($A405,Seqs!$A:$B,2,FALSE),VLOOKUP($A405,'SegEnds_NonXtal_Prot#'!A:AL,10,FALSE)+8,1)</f>
        <v>F</v>
      </c>
      <c r="Z405" s="50" t="str">
        <f>MID(VLOOKUP($A405,Seqs!$A:$B,2,FALSE),VLOOKUP($A405,'SegEnds_NonXtal_Prot#'!A:AL,10,FALSE)+9,1)</f>
        <v>Y</v>
      </c>
      <c r="AA405" s="50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50" t="str">
        <f>MID(VLOOKUP($A405,Seqs!$A:$B,2,FALSE),VLOOKUP($A405,'SegEnds_NonXtal_Prot#'!$A:$AL,22,FALSE)+7,1)</f>
        <v>M</v>
      </c>
      <c r="AD405" s="50" t="str">
        <f>MID(VLOOKUP($A405,Seqs!$A:$B,2,FALSE),VLOOKUP($A405,'SegEnds_NonXtal_Prot#'!$A:$AL,22,FALSE)+8,1)</f>
        <v>I</v>
      </c>
      <c r="AE405" s="50" t="str">
        <f>MID(VLOOKUP($A405,Seqs!$A:$B,2,FALSE),VLOOKUP($A405,'SegEnds_NonXtal_Prot#'!$A:$AL,22,FALSE)+9,1)</f>
        <v>C</v>
      </c>
      <c r="AF405" s="50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50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50" t="str">
        <f>MID(VLOOKUP($A406,Seqs!$A:$B,2,FALSE),VLOOKUP($A406,'SegEnds_NonXtal_Prot#'!A:AL,10,FALSE)+6,1)</f>
        <v>A</v>
      </c>
      <c r="X406" s="50" t="str">
        <f>MID(VLOOKUP($A406,Seqs!$A:$B,2,FALSE),VLOOKUP($A406,'SegEnds_NonXtal_Prot#'!A:AL,10,FALSE)+7,1)</f>
        <v>S</v>
      </c>
      <c r="Y406" s="50" t="str">
        <f>MID(VLOOKUP($A406,Seqs!$A:$B,2,FALSE),VLOOKUP($A406,'SegEnds_NonXtal_Prot#'!A:AL,10,FALSE)+8,1)</f>
        <v>M</v>
      </c>
      <c r="Z406" s="50" t="str">
        <f>MID(VLOOKUP($A406,Seqs!$A:$B,2,FALSE),VLOOKUP($A406,'SegEnds_NonXtal_Prot#'!A:AL,10,FALSE)+9,1)</f>
        <v>L</v>
      </c>
      <c r="AA406" s="50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50" t="str">
        <f>MID(VLOOKUP($A406,Seqs!$A:$B,2,FALSE),VLOOKUP($A406,'SegEnds_NonXtal_Prot#'!$A:$AL,22,FALSE)+7,1)</f>
        <v>V</v>
      </c>
      <c r="AD406" s="50" t="str">
        <f>MID(VLOOKUP($A406,Seqs!$A:$B,2,FALSE),VLOOKUP($A406,'SegEnds_NonXtal_Prot#'!$A:$AL,22,FALSE)+8,1)</f>
        <v>T</v>
      </c>
      <c r="AE406" s="50" t="str">
        <f>MID(VLOOKUP($A406,Seqs!$A:$B,2,FALSE),VLOOKUP($A406,'SegEnds_NonXtal_Prot#'!$A:$AL,22,FALSE)+9,1)</f>
        <v>I</v>
      </c>
      <c r="AF406" s="50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50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apj_human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50" t="str">
        <f>MID(VLOOKUP($A407,Seqs!$A:$B,2,FALSE),VLOOKUP($A407,'SegEnds_NonXtal_Prot#'!A:AL,10,FALSE)+6,1)</f>
        <v>L</v>
      </c>
      <c r="X407" s="50" t="str">
        <f>MID(VLOOKUP($A407,Seqs!$A:$B,2,FALSE),VLOOKUP($A407,'SegEnds_NonXtal_Prot#'!A:AL,10,FALSE)+7,1)</f>
        <v>I</v>
      </c>
      <c r="Y407" s="50" t="str">
        <f>MID(VLOOKUP($A407,Seqs!$A:$B,2,FALSE),VLOOKUP($A407,'SegEnds_NonXtal_Prot#'!A:AL,10,FALSE)+8,1)</f>
        <v>F</v>
      </c>
      <c r="Z407" s="50" t="str">
        <f>MID(VLOOKUP($A407,Seqs!$A:$B,2,FALSE),VLOOKUP($A407,'SegEnds_NonXtal_Prot#'!A:AL,10,FALSE)+9,1)</f>
        <v>G</v>
      </c>
      <c r="AA407" s="50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50" t="str">
        <f>MID(VLOOKUP($A407,Seqs!$A:$B,2,FALSE),VLOOKUP($A407,'SegEnds_NonXtal_Prot#'!$A:$AL,22,FALSE)+7,1)</f>
        <v>L</v>
      </c>
      <c r="AD407" s="50" t="str">
        <f>MID(VLOOKUP($A407,Seqs!$A:$B,2,FALSE),VLOOKUP($A407,'SegEnds_NonXtal_Prot#'!$A:$AL,22,FALSE)+8,1)</f>
        <v>N</v>
      </c>
      <c r="AE407" s="50" t="str">
        <f>MID(VLOOKUP($A407,Seqs!$A:$B,2,FALSE),VLOOKUP($A407,'SegEnds_NonXtal_Prot#'!$A:$AL,22,FALSE)+9,1)</f>
        <v>I</v>
      </c>
      <c r="AF407" s="50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50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aa2ar_human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50" t="str">
        <f>MID(VLOOKUP($A408,Seqs!$A:$B,2,FALSE),VLOOKUP($A408,'SegEnds_NonXtal_Prot#'!A:AL,10,FALSE)+6,1)</f>
        <v>I</v>
      </c>
      <c r="X408" s="50" t="str">
        <f>MID(VLOOKUP($A408,Seqs!$A:$B,2,FALSE),VLOOKUP($A408,'SegEnds_NonXtal_Prot#'!A:AL,10,FALSE)+7,1)</f>
        <v>I</v>
      </c>
      <c r="Y408" s="50" t="str">
        <f>MID(VLOOKUP($A408,Seqs!$A:$B,2,FALSE),VLOOKUP($A408,'SegEnds_NonXtal_Prot#'!A:AL,10,FALSE)+8,1)</f>
        <v>I</v>
      </c>
      <c r="Z408" s="50" t="str">
        <f>MID(VLOOKUP($A408,Seqs!$A:$B,2,FALSE),VLOOKUP($A408,'SegEnds_NonXtal_Prot#'!A:AL,10,FALSE)+9,1)</f>
        <v>T</v>
      </c>
      <c r="AA408" s="50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50" t="str">
        <f>MID(VLOOKUP($A408,Seqs!$A:$B,2,FALSE),VLOOKUP($A408,'SegEnds_NonXtal_Prot#'!$A:$AL,22,FALSE)+7,1)</f>
        <v>L</v>
      </c>
      <c r="AD408" s="50" t="str">
        <f>MID(VLOOKUP($A408,Seqs!$A:$B,2,FALSE),VLOOKUP($A408,'SegEnds_NonXtal_Prot#'!$A:$AL,22,FALSE)+8,1)</f>
        <v>N</v>
      </c>
      <c r="AE408" s="50" t="str">
        <f>MID(VLOOKUP($A408,Seqs!$A:$B,2,FALSE),VLOOKUP($A408,'SegEnds_NonXtal_Prot#'!$A:$AL,22,FALSE)+9,1)</f>
        <v>F</v>
      </c>
      <c r="AF408" s="50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50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50" t="str">
        <f>MID(VLOOKUP($A409,Seqs!$A:$B,2,FALSE),VLOOKUP($A409,'SegEnds_NonXtal_Prot#'!A:AL,10,FALSE)+6,1)</f>
        <v>L</v>
      </c>
      <c r="X409" s="50" t="str">
        <f>MID(VLOOKUP($A409,Seqs!$A:$B,2,FALSE),VLOOKUP($A409,'SegEnds_NonXtal_Prot#'!A:AL,10,FALSE)+7,1)</f>
        <v>I</v>
      </c>
      <c r="Y409" s="50" t="str">
        <f>MID(VLOOKUP($A409,Seqs!$A:$B,2,FALSE),VLOOKUP($A409,'SegEnds_NonXtal_Prot#'!A:AL,10,FALSE)+8,1)</f>
        <v>I</v>
      </c>
      <c r="Z409" s="50" t="str">
        <f>MID(VLOOKUP($A409,Seqs!$A:$B,2,FALSE),VLOOKUP($A409,'SegEnds_NonXtal_Prot#'!A:AL,10,FALSE)+9,1)</f>
        <v>L</v>
      </c>
      <c r="AA409" s="50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50" t="str">
        <f>MID(VLOOKUP($A409,Seqs!$A:$B,2,FALSE),VLOOKUP($A409,'SegEnds_NonXtal_Prot#'!$A:$AL,22,FALSE)+7,1)</f>
        <v>L</v>
      </c>
      <c r="AD409" s="50" t="str">
        <f>MID(VLOOKUP($A409,Seqs!$A:$B,2,FALSE),VLOOKUP($A409,'SegEnds_NonXtal_Prot#'!$A:$AL,22,FALSE)+8,1)</f>
        <v>L</v>
      </c>
      <c r="AE409" s="50" t="str">
        <f>MID(VLOOKUP($A409,Seqs!$A:$B,2,FALSE),VLOOKUP($A409,'SegEnds_NonXtal_Prot#'!$A:$AL,22,FALSE)+9,1)</f>
        <v>T</v>
      </c>
      <c r="AF409" s="50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50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50"/>
      <c r="X410" s="50"/>
      <c r="Y410" s="50"/>
      <c r="Z410" s="50"/>
      <c r="AA410" s="50"/>
      <c r="AB410" s="28"/>
      <c r="AC410" s="50"/>
      <c r="AD410" s="50"/>
      <c r="AE410" s="50"/>
      <c r="AG410" s="16"/>
    </row>
    <row r="411" spans="1:34" s="2" customFormat="1" x14ac:dyDescent="0.2">
      <c r="H411" s="4"/>
      <c r="V411" s="28"/>
      <c r="W411" s="50"/>
      <c r="X411" s="50"/>
      <c r="Y411" s="50"/>
      <c r="Z411" s="50"/>
      <c r="AA411" s="50"/>
      <c r="AB411" s="28"/>
      <c r="AC411" s="50"/>
      <c r="AD411" s="50"/>
      <c r="AE411" s="50"/>
      <c r="AG411" s="16"/>
    </row>
    <row r="412" spans="1:34" s="2" customFormat="1" x14ac:dyDescent="0.2">
      <c r="H412" s="4"/>
      <c r="V412" s="28"/>
      <c r="W412" s="50"/>
      <c r="X412" s="50"/>
      <c r="Y412" s="50"/>
      <c r="Z412" s="50"/>
      <c r="AA412" s="50"/>
      <c r="AB412" s="28"/>
      <c r="AC412" s="50"/>
      <c r="AD412" s="50"/>
      <c r="AE412" s="50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6" priority="4" operator="equal">
      <formula>"P"</formula>
    </cfRule>
  </conditionalFormatting>
  <conditionalFormatting sqref="AC1:AC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G2:AH409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99" activePane="bottomLeft" state="frozenSplit"/>
      <selection pane="bottomLeft" activeCell="B117" sqref="B117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3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3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3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3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3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3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NoXtal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GSFYYSFKTEQLITLWVLFVFTIVGNSVVLFSTWRR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</v>
      </c>
      <c r="Q2" s="4" t="str">
        <f t="shared" ref="Q2:Q65" si="12">IFERROR(MID($E2,AC2,(BA2+1)),"")</f>
        <v>SSSISFPCREQRS</v>
      </c>
      <c r="R2" s="5">
        <f>VLOOKUP($A2,'SegEnds_NonXtal_Prot#'!$A:$AL,3,FALSE)</f>
        <v>42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332</v>
      </c>
      <c r="AO2" s="5">
        <f>VLOOKUP($A2,'SegEnds_NonXtal_Prot#'!$A:$AL,38,FALSE)</f>
        <v>346</v>
      </c>
      <c r="AP2" s="5">
        <f t="shared" ref="AP2:AP65" si="13">IFERROR(AD2-R2,"-")</f>
        <v>35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27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'SegEnds_NonXtal_Prot#'!A180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196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44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KNWSALLTAVVIILTIAGNILVIMAVSLENATNYFLMSLAIADMLLGFLVMPVSMLTILYPSKLCAVWIYLDVLFSTASIMHLCAISLDRYVAIQNSRTKAFLKIIAVWTISVGISMPIPVFGDDNFVLIGSFVSFFIPLTIMVITYFLTIKSLQKEATLCVSDLMQSISNEQKACKVLGIVFFLFVVMWCPFFITNIMAVICNEDVIGALLNVFVWIGYLSSAVNPLVYTLFNKTYRSAFSRYI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11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328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PPVILSMVILSLTFLLGLPGNGLVLWVAGLKTVNTIWFLHLTLADLLCCLSLPFSLAHLALQGRFLCKLIPSIIVLNMFASVFLLTAISLDRCLVVFKNVGMACSICGCIWVVAFVMCIPVFVYRQVPTPLVAITITRLVVGFLLPSVIMIACYSFIVFRMQRGKSQSKTFRVAVVVVAVFLVCWTPYHIFGVLSLLTGKTLMSWDHVCIALASANSCFNPFLYALLGKDFRKKARQSIQ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QVPTPLVAITITRLVVGFLLPSVIMIACYSFIVFRMQRG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328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451</v>
      </c>
      <c r="AP106" s="5">
        <f t="shared" si="38"/>
        <v>30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33</v>
      </c>
      <c r="AZ106" s="4">
        <f t="shared" si="48"/>
        <v>28</v>
      </c>
      <c r="BA106" s="4">
        <f t="shared" si="49"/>
        <v>12</v>
      </c>
    </row>
    <row r="107" spans="1:53" x14ac:dyDescent="0.2">
      <c r="A107" s="1" t="str">
        <f>'SegEnds_NonXtal_Prot#'!A78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'SegEnds_NonXtal_Prot#'!A79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GGNFRKRLSTFRKHS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185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313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33</v>
      </c>
      <c r="AY116" s="4">
        <f t="shared" si="47"/>
        <v>38</v>
      </c>
      <c r="AZ116" s="4">
        <f t="shared" si="48"/>
        <v>32</v>
      </c>
      <c r="BA116" s="4">
        <f t="shared" si="49"/>
        <v>14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</v>
      </c>
      <c r="R136" s="5">
        <f>VLOOKUP($A136,'SegEnds_NonXtal_Prot#'!$A:$AL,3,FALSE)</f>
        <v>24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197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320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34</v>
      </c>
      <c r="AY136" s="4">
        <f t="shared" si="72"/>
        <v>31</v>
      </c>
      <c r="AZ136" s="4">
        <f t="shared" si="73"/>
        <v>32</v>
      </c>
      <c r="BA136" s="4">
        <f t="shared" si="74"/>
        <v>14</v>
      </c>
    </row>
    <row r="137" spans="1:53" x14ac:dyDescent="0.2">
      <c r="A137" s="1" t="str">
        <f>'SegEnds_NonXtal_Prot#'!A108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</v>
      </c>
      <c r="R139" s="5">
        <f>VLOOKUP($A139,'SegEnds_NonXtal_Prot#'!$A:$AL,3,FALSE)</f>
        <v>33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194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318</v>
      </c>
      <c r="AP139" s="5">
        <f t="shared" si="63"/>
        <v>28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40</v>
      </c>
      <c r="AY139" s="4">
        <f t="shared" si="72"/>
        <v>32</v>
      </c>
      <c r="AZ139" s="4">
        <f t="shared" si="73"/>
        <v>28</v>
      </c>
      <c r="BA139" s="4">
        <f t="shared" si="74"/>
        <v>11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WDAGLAGLLVGTMGVSLLSNALVLLCLLHSRQAPALFTLNLTCGNLLCTVVNMPLTLAGVVAQGDRLCRLAAFLDTFLAANSMLSMAALSIDRWVAVVFRLRDAALMVAYTWLHALTFPAAALALSFAVFTGAFHALSFLLSFVVLCCTYLKVLKVARFHCKRIDVITEEQKRRRQRATKKISTFIGTFLVCFAPYVITRLVELFSGSHWGVLSKCLAYSKAASDPFVYSLLRHQYRKSCKEIL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CFYNDSFKYTLYGCMFSMVFVLGLISNCVAIYIFICVNETTTYMINLAMSDLLFVFTLPFRIFYFTTGDLLCKISVMLFYTNMYGSILFLTCISVDRFLAIVYTKRNAKIVCTGVWLTVIGGSAPAVFVQTWKTYLSRIVIFIEIVGFFIPLILNVTCSSMVLKTLTKPSRSKINKTKVLKMIFVHLIIFCFCFVPYNINLILYSLVRTQNCSVVAAVRTMYPITLCIAVSNCCFDPIVYYFTSDTIQNSIKMKNW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9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176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36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38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CGKETLIPVFLILFIALVGLVGNGFVLWLLGFR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26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166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32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24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</v>
      </c>
      <c r="M239" s="4" t="str">
        <f t="shared" si="83"/>
        <v>CFI</v>
      </c>
      <c r="N239" s="4" t="str">
        <f t="shared" si="84"/>
        <v>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15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181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158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30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42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'SegEnds_NonXtal_Prot#'!A227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SHMDSEFRYTLFPIVYSIIFVLGVIANGYVLWVFARLNEIKIFMVNLTMADMLFLITLPLWIVYYQNPKFLCNVAGCLFFINTYCSVAFLGVITYNRFQAVTRTRKRGISLSLVIWVAIVGAASYFLILDEKGSVPVLIIHIFIVFSFFLVFLIILFCNLVIIRTLLMQQRNAEVKRRALWMVCTVLAVFIICFVPHHVVQLPWTLADSKFHQAINDAHQVTLCLLSTNCVLDPVIYCFLTKKFRKHLTEKFY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SHMDSEFRYTLFPIVYSIIFVLGVIANGYVLWVFARL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TKKFRKHLTEKFY</v>
      </c>
      <c r="R242" s="5">
        <f>VLOOKUP($A242,'SegEnds_NonXtal_Prot#'!$A:$AL,3,FALSE)</f>
        <v>7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309</v>
      </c>
      <c r="AP242" s="5">
        <f t="shared" si="88"/>
        <v>36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12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'SegEnds_NonXtal_Prot#'!A241</f>
        <v>taar1_human</v>
      </c>
      <c r="B253" s="1" t="str">
        <f t="shared" si="75"/>
        <v>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NNWSNDVRASLYSLMVLIILTTLVGNLIVIVSISHF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NILVICVMIFISWSVPAVFAFGMIFLE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16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162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35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PCHSCNLLDDSALPFFILTSVLGILASSTVLFMLFRP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</v>
      </c>
      <c r="R273" s="5">
        <f>VLOOKUP($A273,'SegEnds_NonXtal_Prot#'!$A:$AL,3,FALSE)</f>
        <v>50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200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320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32</v>
      </c>
      <c r="AY273" s="4">
        <f t="shared" si="122"/>
        <v>30</v>
      </c>
      <c r="AZ273" s="4">
        <f t="shared" si="123"/>
        <v>32</v>
      </c>
      <c r="BA273" s="4">
        <f t="shared" si="124"/>
        <v>12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</v>
      </c>
      <c r="M277" s="4" t="str">
        <f t="shared" si="108"/>
        <v>CLY</v>
      </c>
      <c r="N277" s="4" t="str">
        <f t="shared" si="109"/>
        <v>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247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25</v>
      </c>
      <c r="AW277" s="4">
        <f t="shared" si="120"/>
        <v>2</v>
      </c>
      <c r="AX277" s="4">
        <f t="shared" si="121"/>
        <v>37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AKIVIGMALVGIMLVCGIGNFIFIAALVRYNLTNLLIANLAISDFLVAIVCCPFEMDYYVVRGHVLCTSVNYLRTVSLYVSTNALLAIAIDRYLAIVHKCQTATGLIALVWTVSILIAIPSAYFTLYYKSYFLFIFGIEFVGPVVTMTLCYARISRELWFKAVPGFQIRKRLRCRRKTVLVLMCILTAYVLCWAPFYGFTIVRDFFEKHYLTAFYIVECIAMSNSMINTLCFVTVNDTVKYFKKIML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61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29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63" workbookViewId="0">
      <selection activeCell="C87" sqref="C8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126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34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126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1176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t="s">
        <v>1463</v>
      </c>
      <c r="C347" t="s">
        <v>1463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158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173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103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158</v>
      </c>
      <c r="C370" t="s">
        <v>352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139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182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50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50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50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50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2" priority="2" operator="equal">
      <formula>FALSE</formula>
    </cfRule>
  </conditionalFormatting>
  <conditionalFormatting sqref="G2:G409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2018-02-09T19:11:25Z</dcterms:modified>
  <cp:category/>
  <cp:contentStatus/>
</cp:coreProperties>
</file>